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6/PAA 2026 BOGOTA CAMINA SEGURA/MODIF PAA VR 2 A VR 3 - 2026 UAECOB/"/>
    </mc:Choice>
  </mc:AlternateContent>
  <xr:revisionPtr revIDLastSave="636" documentId="13_ncr:1_{DFDAE4A1-D5FE-4134-9975-06E0DF641178}" xr6:coauthVersionLast="47" xr6:coauthVersionMax="47" xr10:uidLastSave="{B1B00375-BCE2-407B-9FBF-9E20B29CA844}"/>
  <bookViews>
    <workbookView xWindow="-110" yWindow="-110" windowWidth="19420" windowHeight="11500" tabRatio="702" firstSheet="1" activeTab="1" xr2:uid="{00000000-000D-0000-FFFF-FFFF00000000}"/>
  </bookViews>
  <sheets>
    <sheet name="Hoja1" sheetId="14" state="hidden" r:id="rId1"/>
    <sheet name="PAA VR3 2026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0" hidden="1">Hoja1!$C$12:$C$28</definedName>
    <definedName name="_xlnm._FilterDatabase" localSheetId="1" hidden="1">'PAA VR3 2026 UAECOB BCS'!#REF!</definedName>
    <definedName name="_xlnm._FilterDatabase" localSheetId="4" hidden="1">TD!$J$66:$K$66</definedName>
    <definedName name="_Hlk177992892" localSheetId="1">'PAA VR3 2026 UAECOB BCS'!#REF!</definedName>
    <definedName name="Sec_Prog_MGA">#REF!</definedName>
  </definedNames>
  <calcPr calcId="191029"/>
  <pivotCaches>
    <pivotCache cacheId="146"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 l="1"/>
  <c r="J22" i="1"/>
  <c r="J29" i="1"/>
  <c r="J28" i="1"/>
  <c r="J27" i="1"/>
  <c r="J26" i="1"/>
  <c r="AB50" i="1" l="1"/>
  <c r="AC50" i="1" s="1"/>
  <c r="Y50" i="1"/>
  <c r="Z50" i="1" s="1"/>
  <c r="U5" i="1"/>
  <c r="S50" i="1"/>
  <c r="T50" i="1"/>
  <c r="U50" i="1"/>
  <c r="V50" i="1"/>
  <c r="W50" i="1"/>
  <c r="AB49" i="1"/>
  <c r="Y49" i="1"/>
  <c r="AB48" i="1"/>
  <c r="Y48" i="1"/>
  <c r="Z48" i="1" s="1"/>
  <c r="AB47" i="1"/>
  <c r="AB46" i="1"/>
  <c r="AB45" i="1"/>
  <c r="AB44" i="1"/>
  <c r="AB43" i="1"/>
  <c r="Y47" i="1"/>
  <c r="Y46" i="1"/>
  <c r="Y45" i="1"/>
  <c r="Y44" i="1"/>
  <c r="Y43" i="1"/>
  <c r="AE50" i="1" l="1"/>
  <c r="AI50" i="1"/>
  <c r="AD50" i="1"/>
  <c r="AF50" i="1" s="1"/>
  <c r="AB42" i="1" l="1"/>
  <c r="Y42" i="1"/>
  <c r="AB41" i="1" l="1"/>
  <c r="AC41" i="1" s="1"/>
  <c r="Y41" i="1"/>
  <c r="Z41" i="1" s="1"/>
  <c r="S49" i="1"/>
  <c r="T49" i="1"/>
  <c r="U49" i="1"/>
  <c r="V49" i="1"/>
  <c r="W49" i="1"/>
  <c r="Z49" i="1"/>
  <c r="AC49" i="1"/>
  <c r="S48" i="1"/>
  <c r="T48" i="1"/>
  <c r="U48" i="1"/>
  <c r="V48" i="1"/>
  <c r="W48" i="1"/>
  <c r="AC48" i="1"/>
  <c r="S47" i="1"/>
  <c r="T47" i="1"/>
  <c r="U47" i="1"/>
  <c r="V47" i="1"/>
  <c r="W47" i="1"/>
  <c r="Z47" i="1"/>
  <c r="AC47" i="1"/>
  <c r="S46" i="1"/>
  <c r="T46" i="1"/>
  <c r="U46" i="1"/>
  <c r="V46" i="1"/>
  <c r="W46" i="1"/>
  <c r="Z46" i="1"/>
  <c r="AC46" i="1"/>
  <c r="S45" i="1"/>
  <c r="T45" i="1"/>
  <c r="U45" i="1"/>
  <c r="V45" i="1"/>
  <c r="W45" i="1"/>
  <c r="Z45" i="1"/>
  <c r="AC45" i="1"/>
  <c r="S44" i="1"/>
  <c r="T44" i="1"/>
  <c r="U44" i="1"/>
  <c r="V44" i="1"/>
  <c r="W44" i="1"/>
  <c r="Z44" i="1"/>
  <c r="AC44" i="1"/>
  <c r="S43" i="1"/>
  <c r="T43" i="1"/>
  <c r="U43" i="1"/>
  <c r="V43" i="1"/>
  <c r="W43" i="1"/>
  <c r="Z43" i="1"/>
  <c r="AC43" i="1"/>
  <c r="S42" i="1"/>
  <c r="T42" i="1"/>
  <c r="U42" i="1"/>
  <c r="V42" i="1"/>
  <c r="W42" i="1"/>
  <c r="Z42" i="1"/>
  <c r="AC42" i="1"/>
  <c r="S41" i="1"/>
  <c r="T41" i="1"/>
  <c r="U41" i="1"/>
  <c r="V41" i="1"/>
  <c r="W41" i="1"/>
  <c r="J23" i="1"/>
  <c r="AB40" i="1"/>
  <c r="AC40" i="1" s="1"/>
  <c r="Y40" i="1"/>
  <c r="Z40" i="1" s="1"/>
  <c r="S40" i="1"/>
  <c r="T40" i="1"/>
  <c r="U40" i="1"/>
  <c r="V40" i="1"/>
  <c r="W40" i="1"/>
  <c r="AD42" i="1" l="1"/>
  <c r="AF42" i="1" s="1"/>
  <c r="AD48" i="1"/>
  <c r="AF48" i="1" s="1"/>
  <c r="AE44" i="1"/>
  <c r="AE41" i="1"/>
  <c r="AE47" i="1"/>
  <c r="AD49" i="1"/>
  <c r="AF49" i="1" s="1"/>
  <c r="AD41" i="1"/>
  <c r="AF41" i="1" s="1"/>
  <c r="AD46" i="1"/>
  <c r="AF46" i="1" s="1"/>
  <c r="AD44" i="1"/>
  <c r="AF44" i="1" s="1"/>
  <c r="AI49" i="1"/>
  <c r="AE43" i="1"/>
  <c r="AE45" i="1"/>
  <c r="AE46" i="1"/>
  <c r="AE48" i="1"/>
  <c r="AE49" i="1"/>
  <c r="AI43" i="1"/>
  <c r="AI45" i="1"/>
  <c r="AD47" i="1"/>
  <c r="AF47" i="1" s="1"/>
  <c r="AD43" i="1"/>
  <c r="AF43" i="1" s="1"/>
  <c r="AD45" i="1"/>
  <c r="AF45" i="1" s="1"/>
  <c r="AE42" i="1"/>
  <c r="AI46" i="1"/>
  <c r="AI48" i="1"/>
  <c r="AI47" i="1"/>
  <c r="AI42" i="1"/>
  <c r="AI44" i="1"/>
  <c r="AI41" i="1"/>
  <c r="AI40" i="1"/>
  <c r="AD40" i="1"/>
  <c r="AF40" i="1" s="1"/>
  <c r="AE40" i="1"/>
  <c r="AB39" i="1" l="1"/>
  <c r="AC39" i="1" s="1"/>
  <c r="Y39" i="1"/>
  <c r="Z39" i="1" s="1"/>
  <c r="S39" i="1"/>
  <c r="T39" i="1"/>
  <c r="U39" i="1"/>
  <c r="V39" i="1"/>
  <c r="W39" i="1"/>
  <c r="J595" i="1"/>
  <c r="J593" i="1"/>
  <c r="J589" i="1"/>
  <c r="AB38" i="1"/>
  <c r="AC38" i="1" s="1"/>
  <c r="Y38" i="1"/>
  <c r="Z38" i="1" s="1"/>
  <c r="S38" i="1"/>
  <c r="T38" i="1"/>
  <c r="U38" i="1"/>
  <c r="V38" i="1"/>
  <c r="W38" i="1"/>
  <c r="J25" i="1"/>
  <c r="AI39" i="1" l="1"/>
  <c r="AD39" i="1"/>
  <c r="AF39" i="1" s="1"/>
  <c r="AE39" i="1"/>
  <c r="AE38" i="1"/>
  <c r="AI38" i="1"/>
  <c r="AD38" i="1"/>
  <c r="AF38" i="1" s="1"/>
  <c r="AB37" i="1" l="1"/>
  <c r="AC37" i="1" s="1"/>
  <c r="Y37" i="1"/>
  <c r="Z37" i="1" s="1"/>
  <c r="S37" i="1"/>
  <c r="T37" i="1"/>
  <c r="U37" i="1"/>
  <c r="V37" i="1"/>
  <c r="W37" i="1"/>
  <c r="AI37" i="1" l="1"/>
  <c r="AD37" i="1"/>
  <c r="AF37" i="1" s="1"/>
  <c r="AE37" i="1"/>
  <c r="AB36" i="1" l="1"/>
  <c r="AC36" i="1" s="1"/>
  <c r="Y36" i="1"/>
  <c r="Z36" i="1" s="1"/>
  <c r="J13" i="1"/>
  <c r="S36" i="1"/>
  <c r="T36" i="1"/>
  <c r="U36" i="1"/>
  <c r="V36" i="1"/>
  <c r="W36" i="1"/>
  <c r="AI36" i="1" l="1"/>
  <c r="AD36" i="1"/>
  <c r="AF36" i="1" s="1"/>
  <c r="AE36" i="1"/>
  <c r="AB35" i="1" l="1"/>
  <c r="Y35" i="1"/>
  <c r="Z35" i="1" s="1"/>
  <c r="J17" i="1"/>
  <c r="J16" i="1"/>
  <c r="J15" i="1"/>
  <c r="J14" i="1"/>
  <c r="J19" i="1" l="1"/>
  <c r="AB34" i="1"/>
  <c r="AC34" i="1" s="1"/>
  <c r="Y34" i="1"/>
  <c r="Z34" i="1" s="1"/>
  <c r="J18" i="1"/>
  <c r="AB33" i="1"/>
  <c r="AC33" i="1" s="1"/>
  <c r="Y33" i="1"/>
  <c r="Z33" i="1" s="1"/>
  <c r="S35" i="1"/>
  <c r="T35" i="1"/>
  <c r="U35" i="1"/>
  <c r="V35" i="1"/>
  <c r="W35" i="1"/>
  <c r="AC35" i="1"/>
  <c r="S34" i="1"/>
  <c r="T34" i="1"/>
  <c r="U34" i="1"/>
  <c r="V34" i="1"/>
  <c r="W34" i="1"/>
  <c r="S33" i="1"/>
  <c r="T33" i="1"/>
  <c r="U33" i="1"/>
  <c r="V33" i="1"/>
  <c r="W33" i="1"/>
  <c r="AI34" i="1" l="1"/>
  <c r="AD35" i="1"/>
  <c r="AF35" i="1" s="1"/>
  <c r="AD34" i="1"/>
  <c r="AF34" i="1" s="1"/>
  <c r="AI35" i="1"/>
  <c r="AE33" i="1"/>
  <c r="AD33" i="1"/>
  <c r="AF33" i="1" s="1"/>
  <c r="AE34" i="1"/>
  <c r="AE35" i="1"/>
  <c r="AI33" i="1"/>
  <c r="J99" i="1"/>
  <c r="J81" i="1"/>
  <c r="AB657" i="1" l="1"/>
  <c r="AC657" i="1" s="1"/>
  <c r="Y657" i="1"/>
  <c r="Z657" i="1" s="1"/>
  <c r="AB656" i="1"/>
  <c r="AC656" i="1" s="1"/>
  <c r="Y656" i="1"/>
  <c r="Z656" i="1" s="1"/>
  <c r="S657" i="1"/>
  <c r="T657" i="1"/>
  <c r="U657" i="1"/>
  <c r="V657" i="1"/>
  <c r="W657" i="1"/>
  <c r="S656" i="1"/>
  <c r="T656" i="1"/>
  <c r="U656" i="1"/>
  <c r="V656" i="1"/>
  <c r="W656" i="1"/>
  <c r="AI657" i="1" l="1"/>
  <c r="AE657" i="1"/>
  <c r="AI656" i="1"/>
  <c r="AD656" i="1"/>
  <c r="AF656" i="1" s="1"/>
  <c r="AD657" i="1"/>
  <c r="AF657" i="1" s="1"/>
  <c r="AE656" i="1"/>
  <c r="AB655" i="1" l="1"/>
  <c r="AC655" i="1" s="1"/>
  <c r="Y655" i="1"/>
  <c r="Z655" i="1" s="1"/>
  <c r="AB654" i="1"/>
  <c r="AC654" i="1" s="1"/>
  <c r="Y654" i="1"/>
  <c r="Z654" i="1" s="1"/>
  <c r="S655" i="1"/>
  <c r="T655" i="1"/>
  <c r="U655" i="1"/>
  <c r="V655" i="1"/>
  <c r="W655" i="1"/>
  <c r="S654" i="1"/>
  <c r="T654" i="1"/>
  <c r="U654" i="1"/>
  <c r="V654" i="1"/>
  <c r="W654" i="1"/>
  <c r="AI654" i="1" l="1"/>
  <c r="AE654" i="1"/>
  <c r="AD655" i="1"/>
  <c r="AF655" i="1" s="1"/>
  <c r="AD654" i="1"/>
  <c r="AF654" i="1" s="1"/>
  <c r="AE655" i="1"/>
  <c r="AI655" i="1"/>
  <c r="J359" i="1" l="1"/>
  <c r="AB653" i="1" l="1"/>
  <c r="AC653" i="1" s="1"/>
  <c r="Y653" i="1"/>
  <c r="Z653" i="1" s="1"/>
  <c r="S653" i="1"/>
  <c r="T653" i="1"/>
  <c r="U653" i="1"/>
  <c r="V653" i="1"/>
  <c r="W653" i="1"/>
  <c r="AE653" i="1" l="1"/>
  <c r="AI653" i="1"/>
  <c r="AD653" i="1"/>
  <c r="AF653" i="1" s="1"/>
  <c r="AB652" i="1" l="1"/>
  <c r="Y652" i="1"/>
  <c r="Z652" i="1" s="1"/>
  <c r="AB651" i="1"/>
  <c r="Y651" i="1"/>
  <c r="Z651" i="1" s="1"/>
  <c r="Q6" i="1"/>
  <c r="S652" i="1" l="1"/>
  <c r="T652" i="1"/>
  <c r="U652" i="1"/>
  <c r="V652" i="1"/>
  <c r="W652" i="1"/>
  <c r="AC652" i="1"/>
  <c r="AD652" i="1" s="1"/>
  <c r="AF652" i="1" s="1"/>
  <c r="AE652" i="1" l="1"/>
  <c r="AI652" i="1"/>
  <c r="S651" i="1" l="1"/>
  <c r="T651" i="1"/>
  <c r="U651" i="1"/>
  <c r="V651" i="1"/>
  <c r="W651" i="1"/>
  <c r="AC651" i="1"/>
  <c r="AB32" i="1"/>
  <c r="AC32" i="1" s="1"/>
  <c r="Y32" i="1"/>
  <c r="Z32" i="1" s="1"/>
  <c r="AB31" i="1"/>
  <c r="AC31" i="1" s="1"/>
  <c r="Y31" i="1"/>
  <c r="Z31" i="1" s="1"/>
  <c r="S32" i="1"/>
  <c r="T32" i="1"/>
  <c r="U32" i="1"/>
  <c r="V32" i="1"/>
  <c r="W32" i="1"/>
  <c r="S31" i="1"/>
  <c r="T31" i="1"/>
  <c r="U31" i="1"/>
  <c r="V31" i="1"/>
  <c r="W31" i="1"/>
  <c r="AB650" i="1"/>
  <c r="AC650" i="1" s="1"/>
  <c r="Y650" i="1"/>
  <c r="Z650" i="1" s="1"/>
  <c r="AB649" i="1"/>
  <c r="AC649" i="1" s="1"/>
  <c r="Y649" i="1"/>
  <c r="Z649" i="1" s="1"/>
  <c r="S649" i="1"/>
  <c r="S650" i="1"/>
  <c r="T649" i="1"/>
  <c r="T650" i="1"/>
  <c r="U649" i="1"/>
  <c r="U650" i="1"/>
  <c r="V649" i="1"/>
  <c r="V650" i="1"/>
  <c r="W649" i="1"/>
  <c r="W650" i="1"/>
  <c r="AB648" i="1"/>
  <c r="AC648" i="1" s="1"/>
  <c r="Y648" i="1"/>
  <c r="Z648" i="1" s="1"/>
  <c r="S648" i="1"/>
  <c r="T648" i="1"/>
  <c r="U648" i="1"/>
  <c r="V648" i="1"/>
  <c r="W648" i="1"/>
  <c r="AB647" i="1"/>
  <c r="AC647" i="1" s="1"/>
  <c r="Y647" i="1"/>
  <c r="Z647" i="1" s="1"/>
  <c r="S647" i="1"/>
  <c r="T647" i="1"/>
  <c r="U647" i="1"/>
  <c r="V647" i="1"/>
  <c r="W647" i="1"/>
  <c r="AB646" i="1"/>
  <c r="AC646" i="1" s="1"/>
  <c r="Y646" i="1"/>
  <c r="Z646" i="1" s="1"/>
  <c r="S646" i="1"/>
  <c r="T646" i="1"/>
  <c r="U646" i="1"/>
  <c r="V646" i="1"/>
  <c r="W646" i="1"/>
  <c r="AB645" i="1"/>
  <c r="AC645" i="1" s="1"/>
  <c r="Y645" i="1"/>
  <c r="Z645" i="1" s="1"/>
  <c r="S645" i="1"/>
  <c r="T645" i="1"/>
  <c r="U645" i="1"/>
  <c r="V645" i="1"/>
  <c r="W645" i="1"/>
  <c r="AB644" i="1"/>
  <c r="AC644" i="1" s="1"/>
  <c r="Y644" i="1"/>
  <c r="Z644" i="1" s="1"/>
  <c r="AB643" i="1"/>
  <c r="AC643" i="1" s="1"/>
  <c r="Y643" i="1"/>
  <c r="Z643" i="1" s="1"/>
  <c r="AB642" i="1"/>
  <c r="AC642" i="1" s="1"/>
  <c r="Y642" i="1"/>
  <c r="Z642" i="1" s="1"/>
  <c r="S644" i="1"/>
  <c r="T644" i="1"/>
  <c r="U644" i="1"/>
  <c r="V644" i="1"/>
  <c r="W644" i="1"/>
  <c r="S643" i="1"/>
  <c r="T643" i="1"/>
  <c r="U643" i="1"/>
  <c r="V643" i="1"/>
  <c r="W643" i="1"/>
  <c r="S642" i="1"/>
  <c r="T642" i="1"/>
  <c r="U642" i="1"/>
  <c r="V642" i="1"/>
  <c r="W642" i="1"/>
  <c r="AB641" i="1"/>
  <c r="AC641" i="1" s="1"/>
  <c r="Y641" i="1"/>
  <c r="Z641" i="1" s="1"/>
  <c r="AB640" i="1"/>
  <c r="AC640" i="1" s="1"/>
  <c r="Y640" i="1"/>
  <c r="Z640" i="1" s="1"/>
  <c r="S641" i="1"/>
  <c r="T641" i="1"/>
  <c r="U641" i="1"/>
  <c r="V641" i="1"/>
  <c r="W641" i="1"/>
  <c r="S640" i="1"/>
  <c r="T640" i="1"/>
  <c r="U640" i="1"/>
  <c r="V640" i="1"/>
  <c r="W640" i="1"/>
  <c r="AB639" i="1"/>
  <c r="AC639" i="1" s="1"/>
  <c r="Y639" i="1"/>
  <c r="Z639" i="1" s="1"/>
  <c r="S639" i="1"/>
  <c r="T639" i="1"/>
  <c r="U639" i="1"/>
  <c r="V639" i="1"/>
  <c r="W639" i="1"/>
  <c r="J638" i="1"/>
  <c r="AB638" i="1"/>
  <c r="AC638" i="1" s="1"/>
  <c r="Y638" i="1"/>
  <c r="Z638" i="1" s="1"/>
  <c r="S638" i="1"/>
  <c r="T638" i="1"/>
  <c r="U638" i="1"/>
  <c r="V638" i="1"/>
  <c r="W638" i="1"/>
  <c r="AB637" i="1"/>
  <c r="AC637" i="1" s="1"/>
  <c r="Y637" i="1"/>
  <c r="Z637" i="1" s="1"/>
  <c r="AB636" i="1"/>
  <c r="AC636" i="1" s="1"/>
  <c r="Y636" i="1"/>
  <c r="Z636" i="1" s="1"/>
  <c r="AB635" i="1"/>
  <c r="AC635" i="1" s="1"/>
  <c r="Y635" i="1"/>
  <c r="Z635" i="1" s="1"/>
  <c r="AB634" i="1"/>
  <c r="AC634" i="1" s="1"/>
  <c r="Y634" i="1"/>
  <c r="Z634" i="1" s="1"/>
  <c r="AB633" i="1"/>
  <c r="AC633" i="1" s="1"/>
  <c r="Y633" i="1"/>
  <c r="Z633" i="1" s="1"/>
  <c r="AB632" i="1"/>
  <c r="AC632" i="1" s="1"/>
  <c r="Y632" i="1"/>
  <c r="Z632" i="1" s="1"/>
  <c r="AB631" i="1"/>
  <c r="AC631" i="1" s="1"/>
  <c r="Y631" i="1"/>
  <c r="Z631" i="1" s="1"/>
  <c r="S632" i="1"/>
  <c r="S633" i="1"/>
  <c r="S634" i="1"/>
  <c r="S635" i="1"/>
  <c r="S636" i="1"/>
  <c r="S637" i="1"/>
  <c r="T632" i="1"/>
  <c r="T633" i="1"/>
  <c r="T634" i="1"/>
  <c r="T635" i="1"/>
  <c r="T636" i="1"/>
  <c r="T637" i="1"/>
  <c r="U632" i="1"/>
  <c r="U633" i="1"/>
  <c r="U634" i="1"/>
  <c r="U635" i="1"/>
  <c r="U636" i="1"/>
  <c r="U637" i="1"/>
  <c r="V632" i="1"/>
  <c r="V633" i="1"/>
  <c r="V634" i="1"/>
  <c r="V635" i="1"/>
  <c r="V636" i="1"/>
  <c r="V637" i="1"/>
  <c r="W632" i="1"/>
  <c r="W633" i="1"/>
  <c r="W634" i="1"/>
  <c r="W635" i="1"/>
  <c r="W636" i="1"/>
  <c r="W637" i="1"/>
  <c r="J628" i="1"/>
  <c r="J627" i="1"/>
  <c r="S631" i="1"/>
  <c r="T631" i="1"/>
  <c r="U631" i="1"/>
  <c r="V631" i="1"/>
  <c r="W631" i="1"/>
  <c r="Y630" i="1"/>
  <c r="Z630" i="1" s="1"/>
  <c r="AB630" i="1"/>
  <c r="AC630" i="1" s="1"/>
  <c r="S630" i="1"/>
  <c r="T630" i="1"/>
  <c r="U630" i="1"/>
  <c r="V630" i="1"/>
  <c r="W630" i="1"/>
  <c r="AB629" i="1"/>
  <c r="AC629" i="1" s="1"/>
  <c r="Y629" i="1"/>
  <c r="Z629" i="1" s="1"/>
  <c r="S629" i="1"/>
  <c r="T629" i="1"/>
  <c r="U629" i="1"/>
  <c r="V629" i="1"/>
  <c r="W629" i="1"/>
  <c r="AB628" i="1"/>
  <c r="AC628" i="1" s="1"/>
  <c r="Y628" i="1"/>
  <c r="Z628" i="1" s="1"/>
  <c r="AB627" i="1"/>
  <c r="AC627" i="1" s="1"/>
  <c r="Y627" i="1"/>
  <c r="Z627" i="1" s="1"/>
  <c r="S628" i="1"/>
  <c r="T628" i="1"/>
  <c r="U628" i="1"/>
  <c r="V628" i="1"/>
  <c r="W628" i="1"/>
  <c r="S627" i="1"/>
  <c r="T627" i="1"/>
  <c r="U627" i="1"/>
  <c r="V627" i="1"/>
  <c r="W627" i="1"/>
  <c r="AB626" i="1"/>
  <c r="AC626" i="1" s="1"/>
  <c r="AB625" i="1"/>
  <c r="AC625" i="1" s="1"/>
  <c r="AB624" i="1"/>
  <c r="AC624" i="1" s="1"/>
  <c r="AB623" i="1"/>
  <c r="AC623" i="1" s="1"/>
  <c r="AB622" i="1"/>
  <c r="AC622" i="1" s="1"/>
  <c r="AB621" i="1"/>
  <c r="AC621" i="1" s="1"/>
  <c r="AB620" i="1"/>
  <c r="AC620" i="1" s="1"/>
  <c r="AB619" i="1"/>
  <c r="AC619" i="1" s="1"/>
  <c r="AB618" i="1"/>
  <c r="AC618" i="1" s="1"/>
  <c r="AB617" i="1"/>
  <c r="AC617" i="1" s="1"/>
  <c r="AB616" i="1"/>
  <c r="AC616" i="1" s="1"/>
  <c r="Y626" i="1"/>
  <c r="Z626" i="1" s="1"/>
  <c r="Y625" i="1"/>
  <c r="Z625" i="1" s="1"/>
  <c r="Y624" i="1"/>
  <c r="Z624" i="1" s="1"/>
  <c r="Y623" i="1"/>
  <c r="Z623" i="1" s="1"/>
  <c r="Y622" i="1"/>
  <c r="Z622" i="1" s="1"/>
  <c r="Y621" i="1"/>
  <c r="Z621" i="1" s="1"/>
  <c r="Y620" i="1"/>
  <c r="Z620" i="1" s="1"/>
  <c r="Y619" i="1"/>
  <c r="Z619" i="1" s="1"/>
  <c r="Y618" i="1"/>
  <c r="Z618" i="1" s="1"/>
  <c r="Y617" i="1"/>
  <c r="Z617" i="1" s="1"/>
  <c r="Y616" i="1"/>
  <c r="Z616" i="1" s="1"/>
  <c r="S626" i="1"/>
  <c r="T626" i="1"/>
  <c r="U626" i="1"/>
  <c r="V626" i="1"/>
  <c r="W626" i="1"/>
  <c r="S625" i="1"/>
  <c r="T625" i="1"/>
  <c r="U625" i="1"/>
  <c r="V625" i="1"/>
  <c r="W625" i="1"/>
  <c r="S624" i="1"/>
  <c r="T624" i="1"/>
  <c r="U624" i="1"/>
  <c r="V624" i="1"/>
  <c r="W624" i="1"/>
  <c r="S623" i="1"/>
  <c r="T623" i="1"/>
  <c r="U623" i="1"/>
  <c r="V623" i="1"/>
  <c r="W623" i="1"/>
  <c r="S622" i="1"/>
  <c r="T622" i="1"/>
  <c r="U622" i="1"/>
  <c r="V622" i="1"/>
  <c r="W622" i="1"/>
  <c r="S621" i="1"/>
  <c r="T621" i="1"/>
  <c r="U621" i="1"/>
  <c r="V621" i="1"/>
  <c r="W621" i="1"/>
  <c r="S620" i="1"/>
  <c r="T620" i="1"/>
  <c r="U620" i="1"/>
  <c r="V620" i="1"/>
  <c r="W620" i="1"/>
  <c r="S619" i="1"/>
  <c r="T619" i="1"/>
  <c r="U619" i="1"/>
  <c r="V619" i="1"/>
  <c r="W619" i="1"/>
  <c r="S618" i="1"/>
  <c r="T618" i="1"/>
  <c r="U618" i="1"/>
  <c r="V618" i="1"/>
  <c r="W618" i="1"/>
  <c r="S617" i="1"/>
  <c r="T617" i="1"/>
  <c r="U617" i="1"/>
  <c r="V617" i="1"/>
  <c r="W617" i="1"/>
  <c r="S616" i="1"/>
  <c r="T616" i="1"/>
  <c r="U616" i="1"/>
  <c r="V616" i="1"/>
  <c r="W616" i="1"/>
  <c r="AB615" i="1"/>
  <c r="AC615" i="1" s="1"/>
  <c r="AB614" i="1"/>
  <c r="AC614" i="1" s="1"/>
  <c r="Y615" i="1"/>
  <c r="Z615" i="1" s="1"/>
  <c r="Y614" i="1"/>
  <c r="Z614" i="1" s="1"/>
  <c r="S615" i="1"/>
  <c r="T615" i="1"/>
  <c r="U615" i="1"/>
  <c r="V615" i="1"/>
  <c r="W615" i="1"/>
  <c r="S614" i="1"/>
  <c r="T614" i="1"/>
  <c r="U614" i="1"/>
  <c r="V614" i="1"/>
  <c r="W614" i="1"/>
  <c r="Y406" i="1"/>
  <c r="Z406" i="1" s="1"/>
  <c r="AB613" i="1"/>
  <c r="AC613" i="1" s="1"/>
  <c r="AB30" i="1"/>
  <c r="AC30" i="1" s="1"/>
  <c r="Y613" i="1"/>
  <c r="Z613" i="1" s="1"/>
  <c r="Y30" i="1"/>
  <c r="Z30" i="1" s="1"/>
  <c r="S613" i="1"/>
  <c r="T613" i="1"/>
  <c r="U613" i="1"/>
  <c r="V613" i="1"/>
  <c r="W613" i="1"/>
  <c r="S30" i="1"/>
  <c r="T30" i="1"/>
  <c r="U30" i="1"/>
  <c r="V30" i="1"/>
  <c r="W30" i="1"/>
  <c r="Y612" i="1"/>
  <c r="Z612" i="1" s="1"/>
  <c r="AB612" i="1"/>
  <c r="AC612" i="1" s="1"/>
  <c r="Y611" i="1"/>
  <c r="Z611" i="1" s="1"/>
  <c r="AB611" i="1"/>
  <c r="AC611" i="1" s="1"/>
  <c r="S612" i="1"/>
  <c r="T612" i="1"/>
  <c r="U612" i="1"/>
  <c r="V612" i="1"/>
  <c r="W612" i="1"/>
  <c r="S611" i="1"/>
  <c r="T611" i="1"/>
  <c r="U611" i="1"/>
  <c r="V611" i="1"/>
  <c r="W611" i="1"/>
  <c r="Y610" i="1"/>
  <c r="Z610" i="1" s="1"/>
  <c r="AB610" i="1"/>
  <c r="AC610" i="1" s="1"/>
  <c r="Y609" i="1"/>
  <c r="Z609" i="1" s="1"/>
  <c r="AB609" i="1"/>
  <c r="AC609" i="1" s="1"/>
  <c r="Y608" i="1"/>
  <c r="Z608" i="1" s="1"/>
  <c r="AB608" i="1"/>
  <c r="AC608" i="1" s="1"/>
  <c r="Y607" i="1"/>
  <c r="Z607" i="1" s="1"/>
  <c r="AB607" i="1"/>
  <c r="AC607" i="1" s="1"/>
  <c r="Y606" i="1"/>
  <c r="Z606" i="1" s="1"/>
  <c r="AB606" i="1"/>
  <c r="AC606" i="1" s="1"/>
  <c r="S610" i="1"/>
  <c r="T610" i="1"/>
  <c r="U610" i="1"/>
  <c r="V610" i="1"/>
  <c r="W610" i="1"/>
  <c r="S609" i="1"/>
  <c r="T609" i="1"/>
  <c r="U609" i="1"/>
  <c r="V609" i="1"/>
  <c r="W609" i="1"/>
  <c r="S608" i="1"/>
  <c r="T608" i="1"/>
  <c r="U608" i="1"/>
  <c r="V608" i="1"/>
  <c r="W608" i="1"/>
  <c r="S607" i="1"/>
  <c r="T607" i="1"/>
  <c r="U607" i="1"/>
  <c r="V607" i="1"/>
  <c r="W607" i="1"/>
  <c r="S606" i="1"/>
  <c r="T606" i="1"/>
  <c r="U606" i="1"/>
  <c r="V606" i="1"/>
  <c r="W606" i="1"/>
  <c r="AB605" i="1"/>
  <c r="AC605" i="1" s="1"/>
  <c r="Y605" i="1"/>
  <c r="Z605" i="1" s="1"/>
  <c r="S605" i="1"/>
  <c r="T605" i="1"/>
  <c r="U605" i="1"/>
  <c r="V605" i="1"/>
  <c r="W605" i="1"/>
  <c r="W6" i="1"/>
  <c r="AB604" i="1"/>
  <c r="AC604" i="1" s="1"/>
  <c r="Y604" i="1"/>
  <c r="Z604" i="1" s="1"/>
  <c r="S604" i="1"/>
  <c r="T604" i="1"/>
  <c r="U604" i="1"/>
  <c r="V604" i="1"/>
  <c r="W604" i="1"/>
  <c r="AB603" i="1"/>
  <c r="AC603" i="1" s="1"/>
  <c r="Y603" i="1"/>
  <c r="Z603" i="1" s="1"/>
  <c r="S603" i="1"/>
  <c r="T603" i="1"/>
  <c r="U603" i="1"/>
  <c r="V603" i="1"/>
  <c r="W603" i="1"/>
  <c r="AB602" i="1"/>
  <c r="AC602" i="1" s="1"/>
  <c r="AB601" i="1"/>
  <c r="AC601" i="1" s="1"/>
  <c r="Y602" i="1"/>
  <c r="Z602" i="1" s="1"/>
  <c r="Y601" i="1"/>
  <c r="Z601" i="1" s="1"/>
  <c r="S602" i="1"/>
  <c r="T602" i="1"/>
  <c r="U602" i="1"/>
  <c r="V602" i="1"/>
  <c r="W602" i="1"/>
  <c r="S601" i="1"/>
  <c r="T601" i="1"/>
  <c r="U601" i="1"/>
  <c r="V601" i="1"/>
  <c r="W601" i="1"/>
  <c r="AB600" i="1"/>
  <c r="AC600" i="1" s="1"/>
  <c r="AB599" i="1"/>
  <c r="AC599" i="1" s="1"/>
  <c r="AB29" i="1"/>
  <c r="AC29" i="1" s="1"/>
  <c r="AB28" i="1"/>
  <c r="AC28" i="1" s="1"/>
  <c r="AB27" i="1"/>
  <c r="AC27" i="1" s="1"/>
  <c r="AB598" i="1"/>
  <c r="AC598" i="1" s="1"/>
  <c r="AB597" i="1"/>
  <c r="AC597" i="1" s="1"/>
  <c r="AB596" i="1"/>
  <c r="AC596" i="1" s="1"/>
  <c r="AB595" i="1"/>
  <c r="AC595" i="1" s="1"/>
  <c r="AB594" i="1"/>
  <c r="AC594" i="1" s="1"/>
  <c r="AB593" i="1"/>
  <c r="AC593" i="1" s="1"/>
  <c r="AB592" i="1"/>
  <c r="AC592" i="1" s="1"/>
  <c r="AB591" i="1"/>
  <c r="AC591" i="1" s="1"/>
  <c r="AB590" i="1"/>
  <c r="AC590" i="1" s="1"/>
  <c r="AB589" i="1"/>
  <c r="AC589" i="1" s="1"/>
  <c r="AB26" i="1"/>
  <c r="AC26" i="1" s="1"/>
  <c r="AB588" i="1"/>
  <c r="AC588" i="1" s="1"/>
  <c r="AB587" i="1"/>
  <c r="AC587" i="1" s="1"/>
  <c r="AB586" i="1"/>
  <c r="AC586" i="1" s="1"/>
  <c r="AB585" i="1"/>
  <c r="AC585" i="1" s="1"/>
  <c r="AB584" i="1"/>
  <c r="AC584" i="1" s="1"/>
  <c r="AB583" i="1"/>
  <c r="AC583" i="1" s="1"/>
  <c r="AB582" i="1"/>
  <c r="AC582" i="1" s="1"/>
  <c r="AB581" i="1"/>
  <c r="AC581" i="1" s="1"/>
  <c r="AB580" i="1"/>
  <c r="AC580" i="1" s="1"/>
  <c r="AB579" i="1"/>
  <c r="AC579" i="1" s="1"/>
  <c r="AB578" i="1"/>
  <c r="AC578" i="1" s="1"/>
  <c r="AB577" i="1"/>
  <c r="AC577" i="1" s="1"/>
  <c r="AB576" i="1"/>
  <c r="AC576" i="1" s="1"/>
  <c r="AB575" i="1"/>
  <c r="AC575" i="1" s="1"/>
  <c r="AB574" i="1"/>
  <c r="AC574" i="1" s="1"/>
  <c r="AB573" i="1"/>
  <c r="AC573" i="1" s="1"/>
  <c r="Y600" i="1"/>
  <c r="Z600" i="1" s="1"/>
  <c r="Y599" i="1"/>
  <c r="Z599" i="1" s="1"/>
  <c r="Y29" i="1"/>
  <c r="Z29" i="1" s="1"/>
  <c r="Y28" i="1"/>
  <c r="Z28" i="1" s="1"/>
  <c r="Y27" i="1"/>
  <c r="Z27" i="1" s="1"/>
  <c r="Y598" i="1"/>
  <c r="Z598" i="1" s="1"/>
  <c r="Y597" i="1"/>
  <c r="Z597" i="1" s="1"/>
  <c r="Y596" i="1"/>
  <c r="Z596" i="1" s="1"/>
  <c r="Y595" i="1"/>
  <c r="Z595" i="1" s="1"/>
  <c r="Y594" i="1"/>
  <c r="Z594" i="1" s="1"/>
  <c r="Y593" i="1"/>
  <c r="Z593" i="1" s="1"/>
  <c r="Y592" i="1"/>
  <c r="Z592" i="1" s="1"/>
  <c r="Y591" i="1"/>
  <c r="Z591" i="1" s="1"/>
  <c r="Y590" i="1"/>
  <c r="Z590" i="1" s="1"/>
  <c r="Y589" i="1"/>
  <c r="Z589" i="1" s="1"/>
  <c r="Y26" i="1"/>
  <c r="Z26" i="1" s="1"/>
  <c r="Y588" i="1"/>
  <c r="Z588" i="1" s="1"/>
  <c r="Y587" i="1"/>
  <c r="Z587" i="1" s="1"/>
  <c r="Y586" i="1"/>
  <c r="Z586" i="1" s="1"/>
  <c r="Y585" i="1"/>
  <c r="Z585" i="1" s="1"/>
  <c r="Y584" i="1"/>
  <c r="Z584" i="1" s="1"/>
  <c r="Y583" i="1"/>
  <c r="Z583" i="1" s="1"/>
  <c r="Y582" i="1"/>
  <c r="Z582" i="1" s="1"/>
  <c r="Y581" i="1"/>
  <c r="Z581" i="1" s="1"/>
  <c r="Y580" i="1"/>
  <c r="Z580" i="1" s="1"/>
  <c r="Y579" i="1"/>
  <c r="Z579" i="1" s="1"/>
  <c r="Y578" i="1"/>
  <c r="Z578" i="1" s="1"/>
  <c r="Y577" i="1"/>
  <c r="Z577" i="1" s="1"/>
  <c r="Y576" i="1"/>
  <c r="Z576" i="1" s="1"/>
  <c r="Y575" i="1"/>
  <c r="Z575" i="1" s="1"/>
  <c r="Y574" i="1"/>
  <c r="Z574" i="1" s="1"/>
  <c r="Y573" i="1"/>
  <c r="Z573" i="1" s="1"/>
  <c r="S573" i="1"/>
  <c r="S574" i="1"/>
  <c r="S575" i="1"/>
  <c r="S576" i="1"/>
  <c r="S577" i="1"/>
  <c r="S578" i="1"/>
  <c r="S579" i="1"/>
  <c r="S580" i="1"/>
  <c r="S581" i="1"/>
  <c r="S582" i="1"/>
  <c r="S583" i="1"/>
  <c r="S584" i="1"/>
  <c r="S585" i="1"/>
  <c r="S586" i="1"/>
  <c r="S587" i="1"/>
  <c r="S588" i="1"/>
  <c r="S26" i="1"/>
  <c r="S589" i="1"/>
  <c r="S590" i="1"/>
  <c r="S591" i="1"/>
  <c r="S592" i="1"/>
  <c r="S593" i="1"/>
  <c r="S594" i="1"/>
  <c r="S595" i="1"/>
  <c r="S596" i="1"/>
  <c r="S597" i="1"/>
  <c r="S598" i="1"/>
  <c r="S27" i="1"/>
  <c r="S28" i="1"/>
  <c r="S29" i="1"/>
  <c r="S599" i="1"/>
  <c r="S600" i="1"/>
  <c r="T573" i="1"/>
  <c r="T574" i="1"/>
  <c r="T575" i="1"/>
  <c r="T576" i="1"/>
  <c r="T577" i="1"/>
  <c r="T578" i="1"/>
  <c r="T579" i="1"/>
  <c r="T580" i="1"/>
  <c r="T581" i="1"/>
  <c r="T582" i="1"/>
  <c r="T583" i="1"/>
  <c r="T584" i="1"/>
  <c r="T585" i="1"/>
  <c r="T586" i="1"/>
  <c r="T587" i="1"/>
  <c r="T588" i="1"/>
  <c r="T26" i="1"/>
  <c r="T589" i="1"/>
  <c r="T590" i="1"/>
  <c r="T591" i="1"/>
  <c r="T592" i="1"/>
  <c r="T593" i="1"/>
  <c r="T594" i="1"/>
  <c r="T595" i="1"/>
  <c r="T596" i="1"/>
  <c r="T597" i="1"/>
  <c r="T598" i="1"/>
  <c r="T27" i="1"/>
  <c r="T28" i="1"/>
  <c r="T29" i="1"/>
  <c r="T599" i="1"/>
  <c r="T600" i="1"/>
  <c r="U573" i="1"/>
  <c r="U574" i="1"/>
  <c r="U575" i="1"/>
  <c r="U576" i="1"/>
  <c r="U577" i="1"/>
  <c r="U578" i="1"/>
  <c r="U579" i="1"/>
  <c r="U580" i="1"/>
  <c r="U581" i="1"/>
  <c r="U582" i="1"/>
  <c r="U583" i="1"/>
  <c r="U584" i="1"/>
  <c r="U585" i="1"/>
  <c r="U586" i="1"/>
  <c r="U587" i="1"/>
  <c r="U588" i="1"/>
  <c r="U26" i="1"/>
  <c r="U589" i="1"/>
  <c r="U590" i="1"/>
  <c r="U591" i="1"/>
  <c r="U592" i="1"/>
  <c r="U593" i="1"/>
  <c r="U594" i="1"/>
  <c r="U595" i="1"/>
  <c r="U596" i="1"/>
  <c r="U597" i="1"/>
  <c r="U598" i="1"/>
  <c r="U27" i="1"/>
  <c r="U28" i="1"/>
  <c r="U29" i="1"/>
  <c r="U599" i="1"/>
  <c r="U600" i="1"/>
  <c r="V573" i="1"/>
  <c r="V574" i="1"/>
  <c r="V575" i="1"/>
  <c r="V576" i="1"/>
  <c r="V577" i="1"/>
  <c r="V578" i="1"/>
  <c r="V579" i="1"/>
  <c r="V580" i="1"/>
  <c r="V581" i="1"/>
  <c r="V582" i="1"/>
  <c r="V583" i="1"/>
  <c r="V584" i="1"/>
  <c r="V585" i="1"/>
  <c r="V586" i="1"/>
  <c r="V587" i="1"/>
  <c r="V588" i="1"/>
  <c r="V26" i="1"/>
  <c r="V589" i="1"/>
  <c r="V590" i="1"/>
  <c r="V591" i="1"/>
  <c r="V592" i="1"/>
  <c r="V593" i="1"/>
  <c r="V594" i="1"/>
  <c r="V595" i="1"/>
  <c r="V596" i="1"/>
  <c r="V597" i="1"/>
  <c r="V598" i="1"/>
  <c r="V27" i="1"/>
  <c r="V28" i="1"/>
  <c r="V29" i="1"/>
  <c r="V599" i="1"/>
  <c r="V600" i="1"/>
  <c r="W573" i="1"/>
  <c r="W574" i="1"/>
  <c r="W575" i="1"/>
  <c r="W576" i="1"/>
  <c r="W577" i="1"/>
  <c r="W578" i="1"/>
  <c r="W579" i="1"/>
  <c r="W580" i="1"/>
  <c r="W581" i="1"/>
  <c r="W582" i="1"/>
  <c r="W583" i="1"/>
  <c r="W584" i="1"/>
  <c r="W585" i="1"/>
  <c r="W586" i="1"/>
  <c r="W587" i="1"/>
  <c r="W588" i="1"/>
  <c r="W26" i="1"/>
  <c r="W589" i="1"/>
  <c r="W590" i="1"/>
  <c r="W591" i="1"/>
  <c r="W592" i="1"/>
  <c r="W593" i="1"/>
  <c r="W594" i="1"/>
  <c r="W595" i="1"/>
  <c r="W596" i="1"/>
  <c r="W597" i="1"/>
  <c r="W598" i="1"/>
  <c r="W27" i="1"/>
  <c r="W28" i="1"/>
  <c r="W29" i="1"/>
  <c r="W599" i="1"/>
  <c r="W600" i="1"/>
  <c r="AB572" i="1"/>
  <c r="AC572" i="1" s="1"/>
  <c r="AB571" i="1"/>
  <c r="AC571" i="1" s="1"/>
  <c r="AB570" i="1"/>
  <c r="AC570" i="1" s="1"/>
  <c r="AB569" i="1"/>
  <c r="AC569" i="1" s="1"/>
  <c r="AB568" i="1"/>
  <c r="AC568" i="1" s="1"/>
  <c r="AB567" i="1"/>
  <c r="AC567" i="1" s="1"/>
  <c r="AB566" i="1"/>
  <c r="AC566" i="1" s="1"/>
  <c r="AB565" i="1"/>
  <c r="AC565" i="1" s="1"/>
  <c r="Y565" i="1"/>
  <c r="Z565" i="1" s="1"/>
  <c r="AB564" i="1"/>
  <c r="AC564" i="1" s="1"/>
  <c r="AB563" i="1"/>
  <c r="AC563" i="1" s="1"/>
  <c r="AB562" i="1"/>
  <c r="AC562" i="1" s="1"/>
  <c r="AB561" i="1"/>
  <c r="AC561" i="1" s="1"/>
  <c r="AB560" i="1"/>
  <c r="AC560" i="1" s="1"/>
  <c r="AB559" i="1"/>
  <c r="AC559" i="1" s="1"/>
  <c r="AB558" i="1"/>
  <c r="AC558" i="1" s="1"/>
  <c r="AB557" i="1"/>
  <c r="AC557" i="1" s="1"/>
  <c r="Y557" i="1"/>
  <c r="Z557" i="1" s="1"/>
  <c r="AB556" i="1"/>
  <c r="AC556" i="1" s="1"/>
  <c r="AB555" i="1"/>
  <c r="AC555" i="1" s="1"/>
  <c r="AB554" i="1"/>
  <c r="AC554" i="1" s="1"/>
  <c r="AB553" i="1"/>
  <c r="AC553" i="1" s="1"/>
  <c r="AB552" i="1"/>
  <c r="AC552" i="1" s="1"/>
  <c r="AB551" i="1"/>
  <c r="AC551" i="1" s="1"/>
  <c r="AB550" i="1"/>
  <c r="AC550" i="1" s="1"/>
  <c r="AB549" i="1"/>
  <c r="AC549" i="1" s="1"/>
  <c r="AB548" i="1"/>
  <c r="AC548" i="1" s="1"/>
  <c r="AB547" i="1"/>
  <c r="AC547" i="1" s="1"/>
  <c r="AB546" i="1"/>
  <c r="AC546" i="1" s="1"/>
  <c r="AB545" i="1"/>
  <c r="AC545" i="1" s="1"/>
  <c r="AB25" i="1"/>
  <c r="AC25" i="1" s="1"/>
  <c r="AB544" i="1"/>
  <c r="AC544" i="1" s="1"/>
  <c r="AB24" i="1"/>
  <c r="AC24" i="1" s="1"/>
  <c r="AB543" i="1"/>
  <c r="AC543" i="1" s="1"/>
  <c r="AB542" i="1"/>
  <c r="AC542" i="1" s="1"/>
  <c r="AB23" i="1"/>
  <c r="AC23" i="1" s="1"/>
  <c r="Y572" i="1"/>
  <c r="Z572" i="1" s="1"/>
  <c r="Y571" i="1"/>
  <c r="Z571" i="1" s="1"/>
  <c r="Y570" i="1"/>
  <c r="Z570" i="1" s="1"/>
  <c r="Y569" i="1"/>
  <c r="Z569" i="1" s="1"/>
  <c r="Y568" i="1"/>
  <c r="Z568" i="1" s="1"/>
  <c r="Y567" i="1"/>
  <c r="Z567" i="1" s="1"/>
  <c r="Y566" i="1"/>
  <c r="Z566" i="1" s="1"/>
  <c r="Y564" i="1"/>
  <c r="Z564" i="1" s="1"/>
  <c r="Y563" i="1"/>
  <c r="Z563" i="1" s="1"/>
  <c r="Y562" i="1"/>
  <c r="Z562" i="1" s="1"/>
  <c r="Y561" i="1"/>
  <c r="Z561" i="1" s="1"/>
  <c r="Y560" i="1"/>
  <c r="Z560" i="1" s="1"/>
  <c r="Y559" i="1"/>
  <c r="Z559" i="1" s="1"/>
  <c r="Y558" i="1"/>
  <c r="Z558" i="1" s="1"/>
  <c r="Y556" i="1"/>
  <c r="Z556" i="1" s="1"/>
  <c r="Y555" i="1"/>
  <c r="Z555" i="1" s="1"/>
  <c r="Y554" i="1"/>
  <c r="Z554" i="1" s="1"/>
  <c r="Y553" i="1"/>
  <c r="Z553" i="1" s="1"/>
  <c r="Y552" i="1"/>
  <c r="Z552" i="1" s="1"/>
  <c r="Y551" i="1"/>
  <c r="Z551" i="1" s="1"/>
  <c r="Y550" i="1"/>
  <c r="Z550" i="1" s="1"/>
  <c r="Y549" i="1"/>
  <c r="Z549" i="1" s="1"/>
  <c r="Y548" i="1"/>
  <c r="Z548" i="1" s="1"/>
  <c r="Y547" i="1"/>
  <c r="Z547" i="1" s="1"/>
  <c r="Y546" i="1"/>
  <c r="Z546" i="1" s="1"/>
  <c r="Y545" i="1"/>
  <c r="Z545" i="1" s="1"/>
  <c r="Y25" i="1"/>
  <c r="Z25" i="1" s="1"/>
  <c r="Y544" i="1"/>
  <c r="Z544" i="1" s="1"/>
  <c r="Y24" i="1"/>
  <c r="Z24" i="1" s="1"/>
  <c r="Y543" i="1"/>
  <c r="Z543" i="1" s="1"/>
  <c r="Y542" i="1"/>
  <c r="Z542" i="1" s="1"/>
  <c r="Y23" i="1"/>
  <c r="Z23" i="1" s="1"/>
  <c r="S551" i="1"/>
  <c r="S552" i="1"/>
  <c r="S553" i="1"/>
  <c r="S554" i="1"/>
  <c r="S555" i="1"/>
  <c r="S556" i="1"/>
  <c r="S557" i="1"/>
  <c r="S558" i="1"/>
  <c r="S559" i="1"/>
  <c r="S560" i="1"/>
  <c r="S561" i="1"/>
  <c r="T561" i="1"/>
  <c r="S562" i="1"/>
  <c r="S563" i="1"/>
  <c r="S564" i="1"/>
  <c r="S565" i="1"/>
  <c r="S566" i="1"/>
  <c r="S567" i="1"/>
  <c r="S568" i="1"/>
  <c r="S569" i="1"/>
  <c r="T569" i="1"/>
  <c r="S570" i="1"/>
  <c r="S571" i="1"/>
  <c r="S572" i="1"/>
  <c r="T551" i="1"/>
  <c r="T552" i="1"/>
  <c r="T553" i="1"/>
  <c r="T554" i="1"/>
  <c r="T555" i="1"/>
  <c r="T556" i="1"/>
  <c r="T557" i="1"/>
  <c r="T558" i="1"/>
  <c r="T559" i="1"/>
  <c r="T560" i="1"/>
  <c r="T562" i="1"/>
  <c r="T563" i="1"/>
  <c r="T564" i="1"/>
  <c r="T565" i="1"/>
  <c r="T566" i="1"/>
  <c r="T567" i="1"/>
  <c r="T568" i="1"/>
  <c r="T570" i="1"/>
  <c r="T571" i="1"/>
  <c r="T572" i="1"/>
  <c r="U551" i="1"/>
  <c r="U552" i="1"/>
  <c r="U553" i="1"/>
  <c r="U554" i="1"/>
  <c r="U555" i="1"/>
  <c r="U556" i="1"/>
  <c r="U557" i="1"/>
  <c r="U558" i="1"/>
  <c r="U559" i="1"/>
  <c r="U560" i="1"/>
  <c r="U561" i="1"/>
  <c r="U562" i="1"/>
  <c r="U563" i="1"/>
  <c r="U564" i="1"/>
  <c r="U565" i="1"/>
  <c r="U566" i="1"/>
  <c r="U567" i="1"/>
  <c r="U568" i="1"/>
  <c r="U569" i="1"/>
  <c r="U570" i="1"/>
  <c r="U571" i="1"/>
  <c r="U572" i="1"/>
  <c r="V551" i="1"/>
  <c r="V552" i="1"/>
  <c r="V553" i="1"/>
  <c r="V554" i="1"/>
  <c r="V555" i="1"/>
  <c r="V556" i="1"/>
  <c r="V557" i="1"/>
  <c r="V558" i="1"/>
  <c r="V559" i="1"/>
  <c r="V560" i="1"/>
  <c r="V561" i="1"/>
  <c r="V562" i="1"/>
  <c r="V563" i="1"/>
  <c r="V564" i="1"/>
  <c r="V565" i="1"/>
  <c r="V566" i="1"/>
  <c r="V567" i="1"/>
  <c r="V568" i="1"/>
  <c r="V569" i="1"/>
  <c r="V570" i="1"/>
  <c r="V571" i="1"/>
  <c r="V572" i="1"/>
  <c r="W551" i="1"/>
  <c r="W552" i="1"/>
  <c r="W553" i="1"/>
  <c r="W554" i="1"/>
  <c r="W555" i="1"/>
  <c r="W556" i="1"/>
  <c r="W557" i="1"/>
  <c r="W558" i="1"/>
  <c r="W559" i="1"/>
  <c r="W560" i="1"/>
  <c r="W561" i="1"/>
  <c r="W562" i="1"/>
  <c r="W563" i="1"/>
  <c r="W564" i="1"/>
  <c r="W565" i="1"/>
  <c r="W566" i="1"/>
  <c r="W567" i="1"/>
  <c r="W568" i="1"/>
  <c r="W569" i="1"/>
  <c r="W570" i="1"/>
  <c r="W571" i="1"/>
  <c r="W572" i="1"/>
  <c r="S544" i="1"/>
  <c r="S25" i="1"/>
  <c r="S545" i="1"/>
  <c r="S546" i="1"/>
  <c r="S547" i="1"/>
  <c r="S548" i="1"/>
  <c r="S549" i="1"/>
  <c r="S550" i="1"/>
  <c r="T544" i="1"/>
  <c r="T25" i="1"/>
  <c r="T545" i="1"/>
  <c r="T546" i="1"/>
  <c r="T547" i="1"/>
  <c r="T548" i="1"/>
  <c r="T549" i="1"/>
  <c r="T550" i="1"/>
  <c r="U544" i="1"/>
  <c r="U25" i="1"/>
  <c r="U545" i="1"/>
  <c r="U546" i="1"/>
  <c r="U547" i="1"/>
  <c r="U548" i="1"/>
  <c r="U549" i="1"/>
  <c r="U550" i="1"/>
  <c r="V544" i="1"/>
  <c r="V25" i="1"/>
  <c r="V545" i="1"/>
  <c r="V546" i="1"/>
  <c r="V547" i="1"/>
  <c r="V548" i="1"/>
  <c r="V549" i="1"/>
  <c r="V550" i="1"/>
  <c r="W544" i="1"/>
  <c r="W25" i="1"/>
  <c r="W545" i="1"/>
  <c r="W546" i="1"/>
  <c r="W547" i="1"/>
  <c r="W548" i="1"/>
  <c r="W549" i="1"/>
  <c r="W550" i="1"/>
  <c r="S24" i="1"/>
  <c r="T24" i="1"/>
  <c r="U24" i="1"/>
  <c r="V24" i="1"/>
  <c r="W24" i="1"/>
  <c r="S543" i="1"/>
  <c r="T543" i="1"/>
  <c r="U543" i="1"/>
  <c r="V543" i="1"/>
  <c r="W543" i="1"/>
  <c r="S23" i="1"/>
  <c r="S542" i="1"/>
  <c r="T23" i="1"/>
  <c r="T542" i="1"/>
  <c r="U23" i="1"/>
  <c r="U542" i="1"/>
  <c r="V23" i="1"/>
  <c r="V542" i="1"/>
  <c r="W23" i="1"/>
  <c r="W542" i="1"/>
  <c r="AB303" i="1"/>
  <c r="AC303" i="1" s="1"/>
  <c r="AB302" i="1"/>
  <c r="AC302" i="1" s="1"/>
  <c r="AB301" i="1"/>
  <c r="AC301" i="1" s="1"/>
  <c r="AB300" i="1"/>
  <c r="AC300" i="1" s="1"/>
  <c r="AB299" i="1"/>
  <c r="AC299" i="1" s="1"/>
  <c r="AB298" i="1"/>
  <c r="AC298" i="1" s="1"/>
  <c r="AB297" i="1"/>
  <c r="AC297" i="1" s="1"/>
  <c r="AB296" i="1"/>
  <c r="AC296" i="1" s="1"/>
  <c r="AB295" i="1"/>
  <c r="AC295" i="1" s="1"/>
  <c r="AB294" i="1"/>
  <c r="AC294" i="1" s="1"/>
  <c r="AB293" i="1"/>
  <c r="AC293" i="1" s="1"/>
  <c r="AB292" i="1"/>
  <c r="AC292" i="1" s="1"/>
  <c r="AB291" i="1"/>
  <c r="AC291" i="1" s="1"/>
  <c r="AB290" i="1"/>
  <c r="AC290" i="1" s="1"/>
  <c r="AB289" i="1"/>
  <c r="AC289" i="1" s="1"/>
  <c r="AB288" i="1"/>
  <c r="AC288" i="1" s="1"/>
  <c r="AB287" i="1"/>
  <c r="AC287" i="1" s="1"/>
  <c r="AB286" i="1"/>
  <c r="AC286" i="1" s="1"/>
  <c r="AB285" i="1"/>
  <c r="AC285" i="1" s="1"/>
  <c r="AB284" i="1"/>
  <c r="AC284" i="1" s="1"/>
  <c r="AB283" i="1"/>
  <c r="AC283" i="1" s="1"/>
  <c r="AB282" i="1"/>
  <c r="AC282" i="1" s="1"/>
  <c r="AB281" i="1"/>
  <c r="AC281" i="1" s="1"/>
  <c r="AB280" i="1"/>
  <c r="AC280" i="1" s="1"/>
  <c r="AB279" i="1"/>
  <c r="AC279" i="1" s="1"/>
  <c r="AB278" i="1"/>
  <c r="AC278" i="1" s="1"/>
  <c r="AB277" i="1"/>
  <c r="AC277" i="1" s="1"/>
  <c r="AB276" i="1"/>
  <c r="AC276" i="1" s="1"/>
  <c r="AB275" i="1"/>
  <c r="AC275" i="1" s="1"/>
  <c r="AB274" i="1"/>
  <c r="AC274" i="1" s="1"/>
  <c r="AB273" i="1"/>
  <c r="AC273" i="1" s="1"/>
  <c r="AB272" i="1"/>
  <c r="AC272" i="1" s="1"/>
  <c r="AB271" i="1"/>
  <c r="AC271" i="1" s="1"/>
  <c r="AB270" i="1"/>
  <c r="AC270" i="1" s="1"/>
  <c r="AB269" i="1"/>
  <c r="AC269" i="1" s="1"/>
  <c r="AB268" i="1"/>
  <c r="AC268" i="1" s="1"/>
  <c r="AB267" i="1"/>
  <c r="AC267" i="1" s="1"/>
  <c r="AB266" i="1"/>
  <c r="AC266" i="1" s="1"/>
  <c r="AB265" i="1"/>
  <c r="AC265" i="1" s="1"/>
  <c r="AB264" i="1"/>
  <c r="AC264" i="1" s="1"/>
  <c r="AB263" i="1"/>
  <c r="AC263" i="1" s="1"/>
  <c r="AB262" i="1"/>
  <c r="AC262" i="1" s="1"/>
  <c r="AB20" i="1"/>
  <c r="AC20" i="1" s="1"/>
  <c r="AB261" i="1"/>
  <c r="AC261" i="1" s="1"/>
  <c r="AB260" i="1"/>
  <c r="AC260" i="1" s="1"/>
  <c r="AB259" i="1"/>
  <c r="AC259" i="1" s="1"/>
  <c r="AB258" i="1"/>
  <c r="AC258" i="1" s="1"/>
  <c r="AB257" i="1"/>
  <c r="AC257" i="1" s="1"/>
  <c r="AB256" i="1"/>
  <c r="AC256" i="1" s="1"/>
  <c r="AB255" i="1"/>
  <c r="AC255" i="1" s="1"/>
  <c r="AB254" i="1"/>
  <c r="AC254" i="1" s="1"/>
  <c r="AB253" i="1"/>
  <c r="AC253" i="1" s="1"/>
  <c r="AB252" i="1"/>
  <c r="AC252" i="1" s="1"/>
  <c r="AB251" i="1"/>
  <c r="AC251" i="1" s="1"/>
  <c r="AB517" i="1"/>
  <c r="AC517" i="1" s="1"/>
  <c r="AB516" i="1"/>
  <c r="AC516" i="1" s="1"/>
  <c r="AB515" i="1"/>
  <c r="AC515" i="1" s="1"/>
  <c r="AB514" i="1"/>
  <c r="AC514" i="1" s="1"/>
  <c r="AB495" i="1"/>
  <c r="AC495" i="1" s="1"/>
  <c r="AB193" i="1"/>
  <c r="AC193" i="1" s="1"/>
  <c r="AB192" i="1"/>
  <c r="AC192" i="1" s="1"/>
  <c r="AB191" i="1"/>
  <c r="AC191" i="1" s="1"/>
  <c r="AB190" i="1"/>
  <c r="AC190" i="1" s="1"/>
  <c r="AB189" i="1"/>
  <c r="AC189" i="1" s="1"/>
  <c r="AB188" i="1"/>
  <c r="AC188" i="1" s="1"/>
  <c r="AB187" i="1"/>
  <c r="AC187" i="1" s="1"/>
  <c r="AB186" i="1"/>
  <c r="AC186" i="1" s="1"/>
  <c r="AB185" i="1"/>
  <c r="AC185" i="1" s="1"/>
  <c r="AB184" i="1"/>
  <c r="AC184" i="1" s="1"/>
  <c r="AB183" i="1"/>
  <c r="AC183" i="1" s="1"/>
  <c r="AB182" i="1"/>
  <c r="AC182" i="1" s="1"/>
  <c r="AB181" i="1"/>
  <c r="AC181" i="1" s="1"/>
  <c r="AB180" i="1"/>
  <c r="AC180" i="1" s="1"/>
  <c r="AB179" i="1"/>
  <c r="AC179" i="1" s="1"/>
  <c r="AB178" i="1"/>
  <c r="AC178" i="1" s="1"/>
  <c r="AB177" i="1"/>
  <c r="AC177" i="1" s="1"/>
  <c r="AB176" i="1"/>
  <c r="AC176" i="1" s="1"/>
  <c r="AB175" i="1"/>
  <c r="AC175" i="1" s="1"/>
  <c r="AB174" i="1"/>
  <c r="AC174" i="1" s="1"/>
  <c r="AB173" i="1"/>
  <c r="AC173" i="1" s="1"/>
  <c r="AB172" i="1"/>
  <c r="AC172" i="1" s="1"/>
  <c r="AB171" i="1"/>
  <c r="AC171" i="1" s="1"/>
  <c r="AB170" i="1"/>
  <c r="AC170" i="1" s="1"/>
  <c r="AB169" i="1"/>
  <c r="AC169" i="1" s="1"/>
  <c r="AB168" i="1"/>
  <c r="AC168" i="1" s="1"/>
  <c r="AB167" i="1"/>
  <c r="AC167" i="1" s="1"/>
  <c r="AB166" i="1"/>
  <c r="AC166" i="1" s="1"/>
  <c r="AB165" i="1"/>
  <c r="AC165" i="1" s="1"/>
  <c r="AB164" i="1"/>
  <c r="AC164" i="1" s="1"/>
  <c r="AB163" i="1"/>
  <c r="AC163" i="1" s="1"/>
  <c r="AB162" i="1"/>
  <c r="AC162" i="1" s="1"/>
  <c r="AB161" i="1"/>
  <c r="AC161" i="1" s="1"/>
  <c r="AB160" i="1"/>
  <c r="AC160" i="1" s="1"/>
  <c r="AB159" i="1"/>
  <c r="AC159" i="1" s="1"/>
  <c r="AB158" i="1"/>
  <c r="AC158" i="1" s="1"/>
  <c r="AB157" i="1"/>
  <c r="AC157" i="1" s="1"/>
  <c r="AB156" i="1"/>
  <c r="AC156" i="1" s="1"/>
  <c r="AB155" i="1"/>
  <c r="AC155" i="1" s="1"/>
  <c r="AB154" i="1"/>
  <c r="AC154" i="1" s="1"/>
  <c r="AB153" i="1"/>
  <c r="AC153" i="1" s="1"/>
  <c r="AB152" i="1"/>
  <c r="AC152" i="1" s="1"/>
  <c r="AB151" i="1"/>
  <c r="AC151" i="1" s="1"/>
  <c r="AB150" i="1"/>
  <c r="AC150" i="1" s="1"/>
  <c r="AB149" i="1"/>
  <c r="AC149" i="1" s="1"/>
  <c r="AB148" i="1"/>
  <c r="AC148" i="1" s="1"/>
  <c r="AB147" i="1"/>
  <c r="AC147" i="1" s="1"/>
  <c r="AB146" i="1"/>
  <c r="AC146" i="1" s="1"/>
  <c r="AB145" i="1"/>
  <c r="AC145" i="1" s="1"/>
  <c r="AB144" i="1"/>
  <c r="AC144" i="1" s="1"/>
  <c r="AB143" i="1"/>
  <c r="AC143" i="1" s="1"/>
  <c r="AB142" i="1"/>
  <c r="AC142" i="1" s="1"/>
  <c r="AB141" i="1"/>
  <c r="AC141" i="1" s="1"/>
  <c r="AB140" i="1"/>
  <c r="AC140" i="1" s="1"/>
  <c r="AB139" i="1"/>
  <c r="AC139" i="1" s="1"/>
  <c r="AB138" i="1"/>
  <c r="AC138" i="1" s="1"/>
  <c r="AB137" i="1"/>
  <c r="AC137" i="1" s="1"/>
  <c r="AB136" i="1"/>
  <c r="AC136" i="1" s="1"/>
  <c r="AB135" i="1"/>
  <c r="AC135" i="1" s="1"/>
  <c r="AB134" i="1"/>
  <c r="AC134" i="1" s="1"/>
  <c r="AB133" i="1"/>
  <c r="AC133" i="1" s="1"/>
  <c r="AB132" i="1"/>
  <c r="AC132" i="1" s="1"/>
  <c r="AB131" i="1"/>
  <c r="AC131" i="1" s="1"/>
  <c r="AB130" i="1"/>
  <c r="AC130" i="1" s="1"/>
  <c r="AB129" i="1"/>
  <c r="AC129" i="1" s="1"/>
  <c r="AB128" i="1"/>
  <c r="AC128" i="1" s="1"/>
  <c r="AB127" i="1"/>
  <c r="AC127" i="1" s="1"/>
  <c r="AB126" i="1"/>
  <c r="AC126" i="1" s="1"/>
  <c r="AB125" i="1"/>
  <c r="AC125" i="1" s="1"/>
  <c r="AB124" i="1"/>
  <c r="AC124" i="1" s="1"/>
  <c r="AB123" i="1"/>
  <c r="AC123" i="1" s="1"/>
  <c r="AB122" i="1"/>
  <c r="AC122" i="1" s="1"/>
  <c r="AB121" i="1"/>
  <c r="AC121" i="1" s="1"/>
  <c r="AB19" i="1"/>
  <c r="AC19" i="1" s="1"/>
  <c r="AB120" i="1"/>
  <c r="AC120" i="1" s="1"/>
  <c r="AB119" i="1"/>
  <c r="AC119" i="1" s="1"/>
  <c r="AB118" i="1"/>
  <c r="AC118" i="1" s="1"/>
  <c r="AB18" i="1"/>
  <c r="AC18" i="1" s="1"/>
  <c r="AB117" i="1"/>
  <c r="AC117" i="1" s="1"/>
  <c r="AB17" i="1"/>
  <c r="AC17" i="1" s="1"/>
  <c r="AB16" i="1"/>
  <c r="AC16" i="1" s="1"/>
  <c r="AB116" i="1"/>
  <c r="AC116" i="1" s="1"/>
  <c r="AB115" i="1"/>
  <c r="AC115" i="1" s="1"/>
  <c r="AB114" i="1"/>
  <c r="AC114" i="1" s="1"/>
  <c r="AB113" i="1"/>
  <c r="AC113" i="1" s="1"/>
  <c r="AB112" i="1"/>
  <c r="AC112" i="1" s="1"/>
  <c r="AB111" i="1"/>
  <c r="AC111" i="1" s="1"/>
  <c r="AB110" i="1"/>
  <c r="AC110" i="1" s="1"/>
  <c r="AB109" i="1"/>
  <c r="AC109" i="1" s="1"/>
  <c r="AB108" i="1"/>
  <c r="AC108" i="1" s="1"/>
  <c r="AB107" i="1"/>
  <c r="AC107" i="1" s="1"/>
  <c r="AB15" i="1"/>
  <c r="AC15" i="1" s="1"/>
  <c r="AB14" i="1"/>
  <c r="AC14" i="1" s="1"/>
  <c r="AB106" i="1"/>
  <c r="AC106" i="1" s="1"/>
  <c r="AB105" i="1"/>
  <c r="AC105" i="1" s="1"/>
  <c r="AB104" i="1"/>
  <c r="AC104" i="1" s="1"/>
  <c r="AB103" i="1"/>
  <c r="AC103" i="1" s="1"/>
  <c r="AB102" i="1"/>
  <c r="AC102" i="1" s="1"/>
  <c r="AB101" i="1"/>
  <c r="AC101" i="1" s="1"/>
  <c r="AB100" i="1"/>
  <c r="AC100" i="1" s="1"/>
  <c r="AB22" i="1"/>
  <c r="AC22" i="1" s="1"/>
  <c r="AB541" i="1"/>
  <c r="AC541" i="1" s="1"/>
  <c r="AB99" i="1"/>
  <c r="AC99" i="1" s="1"/>
  <c r="AB98" i="1"/>
  <c r="AC98" i="1" s="1"/>
  <c r="AB540" i="1"/>
  <c r="AC540" i="1" s="1"/>
  <c r="AB539" i="1"/>
  <c r="AC539" i="1" s="1"/>
  <c r="AB538" i="1"/>
  <c r="AC538" i="1" s="1"/>
  <c r="AB537" i="1"/>
  <c r="AC537" i="1" s="1"/>
  <c r="AB536" i="1"/>
  <c r="AC536" i="1" s="1"/>
  <c r="AB508" i="1"/>
  <c r="AC508" i="1" s="1"/>
  <c r="AB507" i="1"/>
  <c r="AC507" i="1" s="1"/>
  <c r="AB506" i="1"/>
  <c r="AC506" i="1" s="1"/>
  <c r="AB505" i="1"/>
  <c r="AC505" i="1" s="1"/>
  <c r="AB504" i="1"/>
  <c r="AC504" i="1" s="1"/>
  <c r="AB535" i="1"/>
  <c r="AC535" i="1" s="1"/>
  <c r="AB503" i="1"/>
  <c r="AC503" i="1" s="1"/>
  <c r="AB522" i="1"/>
  <c r="AC522" i="1" s="1"/>
  <c r="AB502" i="1"/>
  <c r="AC502" i="1" s="1"/>
  <c r="AB526" i="1"/>
  <c r="AC526" i="1" s="1"/>
  <c r="AB501" i="1"/>
  <c r="AC501" i="1" s="1"/>
  <c r="AB491" i="1"/>
  <c r="AC491" i="1" s="1"/>
  <c r="AB490" i="1"/>
  <c r="AC490" i="1" s="1"/>
  <c r="AB500" i="1"/>
  <c r="AC500" i="1" s="1"/>
  <c r="AB489" i="1"/>
  <c r="AC489" i="1" s="1"/>
  <c r="AB97" i="1"/>
  <c r="AC97" i="1" s="1"/>
  <c r="AB488" i="1"/>
  <c r="AC488" i="1" s="1"/>
  <c r="AB351" i="1"/>
  <c r="AC351" i="1" s="1"/>
  <c r="AB350" i="1"/>
  <c r="AC350" i="1" s="1"/>
  <c r="AB349" i="1"/>
  <c r="AC349" i="1" s="1"/>
  <c r="AB348" i="1"/>
  <c r="AC348" i="1" s="1"/>
  <c r="AB347" i="1"/>
  <c r="AC347" i="1" s="1"/>
  <c r="AB346" i="1"/>
  <c r="AC346" i="1" s="1"/>
  <c r="AB345" i="1"/>
  <c r="AC345" i="1" s="1"/>
  <c r="AB344" i="1"/>
  <c r="AC344" i="1" s="1"/>
  <c r="AB343" i="1"/>
  <c r="AC343" i="1" s="1"/>
  <c r="AB342" i="1"/>
  <c r="AC342" i="1" s="1"/>
  <c r="AB341" i="1"/>
  <c r="AC341" i="1" s="1"/>
  <c r="AB340" i="1"/>
  <c r="AC340" i="1" s="1"/>
  <c r="AB339" i="1"/>
  <c r="AC339" i="1" s="1"/>
  <c r="AB338" i="1"/>
  <c r="AC338" i="1" s="1"/>
  <c r="AB337" i="1"/>
  <c r="AC337" i="1" s="1"/>
  <c r="AB336" i="1"/>
  <c r="AC336" i="1" s="1"/>
  <c r="AB335" i="1"/>
  <c r="AC335" i="1" s="1"/>
  <c r="AB334" i="1"/>
  <c r="AC334" i="1" s="1"/>
  <c r="AB333" i="1"/>
  <c r="AC333" i="1" s="1"/>
  <c r="AB332" i="1"/>
  <c r="AC332" i="1" s="1"/>
  <c r="AB331" i="1"/>
  <c r="AC331" i="1" s="1"/>
  <c r="AB330" i="1"/>
  <c r="AC330" i="1" s="1"/>
  <c r="AB329" i="1"/>
  <c r="AC329" i="1" s="1"/>
  <c r="AB328" i="1"/>
  <c r="AC328" i="1" s="1"/>
  <c r="AB327" i="1"/>
  <c r="AC327" i="1" s="1"/>
  <c r="AB326" i="1"/>
  <c r="AC326" i="1" s="1"/>
  <c r="AB325" i="1"/>
  <c r="AC325" i="1" s="1"/>
  <c r="AB324" i="1"/>
  <c r="AC324" i="1" s="1"/>
  <c r="AB323" i="1"/>
  <c r="AC323" i="1" s="1"/>
  <c r="AB322" i="1"/>
  <c r="AC322" i="1" s="1"/>
  <c r="AB321" i="1"/>
  <c r="AC321" i="1" s="1"/>
  <c r="AB320" i="1"/>
  <c r="AC320" i="1" s="1"/>
  <c r="AB319" i="1"/>
  <c r="AC319" i="1" s="1"/>
  <c r="AB318" i="1"/>
  <c r="AC318" i="1" s="1"/>
  <c r="AB317" i="1"/>
  <c r="AC317" i="1" s="1"/>
  <c r="AB316" i="1"/>
  <c r="AC316" i="1" s="1"/>
  <c r="AB315" i="1"/>
  <c r="AC315" i="1" s="1"/>
  <c r="AB314" i="1"/>
  <c r="AC314" i="1" s="1"/>
  <c r="AB313" i="1"/>
  <c r="AC313" i="1" s="1"/>
  <c r="AB312" i="1"/>
  <c r="AC312" i="1" s="1"/>
  <c r="AB311" i="1"/>
  <c r="AC311" i="1" s="1"/>
  <c r="AB310" i="1"/>
  <c r="AC310" i="1" s="1"/>
  <c r="AB309" i="1"/>
  <c r="AC309" i="1" s="1"/>
  <c r="AB308" i="1"/>
  <c r="AC308" i="1" s="1"/>
  <c r="AB307" i="1"/>
  <c r="AC307" i="1" s="1"/>
  <c r="AB306" i="1"/>
  <c r="AC306" i="1" s="1"/>
  <c r="AB531" i="1"/>
  <c r="AC531" i="1" s="1"/>
  <c r="AB530" i="1"/>
  <c r="AC530" i="1" s="1"/>
  <c r="AB529" i="1"/>
  <c r="AC529" i="1" s="1"/>
  <c r="AB523" i="1"/>
  <c r="AC523" i="1" s="1"/>
  <c r="AB528" i="1"/>
  <c r="AC528" i="1" s="1"/>
  <c r="AB527" i="1"/>
  <c r="AC527" i="1" s="1"/>
  <c r="AB305" i="1"/>
  <c r="AC305" i="1" s="1"/>
  <c r="AB519" i="1"/>
  <c r="AC519" i="1" s="1"/>
  <c r="AB518" i="1"/>
  <c r="AC518" i="1" s="1"/>
  <c r="AB304" i="1"/>
  <c r="AC304" i="1" s="1"/>
  <c r="AB412" i="1"/>
  <c r="AC412" i="1" s="1"/>
  <c r="AB411" i="1"/>
  <c r="AC411" i="1" s="1"/>
  <c r="AB410" i="1"/>
  <c r="AC410" i="1" s="1"/>
  <c r="AB409" i="1"/>
  <c r="AC409" i="1" s="1"/>
  <c r="AB408" i="1"/>
  <c r="AC408" i="1" s="1"/>
  <c r="AB407" i="1"/>
  <c r="AC407" i="1" s="1"/>
  <c r="AB406" i="1"/>
  <c r="AC406" i="1" s="1"/>
  <c r="AB405" i="1"/>
  <c r="AC405" i="1" s="1"/>
  <c r="AB404" i="1"/>
  <c r="AC404" i="1" s="1"/>
  <c r="AB403" i="1"/>
  <c r="AC403" i="1" s="1"/>
  <c r="AB402" i="1"/>
  <c r="AC402" i="1" s="1"/>
  <c r="AB401" i="1"/>
  <c r="AC401" i="1" s="1"/>
  <c r="AB400" i="1"/>
  <c r="AC400" i="1" s="1"/>
  <c r="AB399" i="1"/>
  <c r="AC399" i="1" s="1"/>
  <c r="AB398" i="1"/>
  <c r="AC398" i="1" s="1"/>
  <c r="AB397" i="1"/>
  <c r="AC397" i="1" s="1"/>
  <c r="AB396" i="1"/>
  <c r="AC396" i="1" s="1"/>
  <c r="AB395" i="1"/>
  <c r="AC395" i="1" s="1"/>
  <c r="AB394" i="1"/>
  <c r="AC394" i="1" s="1"/>
  <c r="AB393" i="1"/>
  <c r="AC393" i="1" s="1"/>
  <c r="AB392" i="1"/>
  <c r="AC392" i="1" s="1"/>
  <c r="AB391" i="1"/>
  <c r="AC391" i="1" s="1"/>
  <c r="AB390" i="1"/>
  <c r="AC390" i="1" s="1"/>
  <c r="AB389" i="1"/>
  <c r="AC389" i="1" s="1"/>
  <c r="AB388" i="1"/>
  <c r="AC388" i="1" s="1"/>
  <c r="AB387" i="1"/>
  <c r="AC387" i="1" s="1"/>
  <c r="AB386" i="1"/>
  <c r="AC386" i="1" s="1"/>
  <c r="AB385" i="1"/>
  <c r="AC385" i="1" s="1"/>
  <c r="AB384" i="1"/>
  <c r="AC384" i="1" s="1"/>
  <c r="AB383" i="1"/>
  <c r="AC383" i="1" s="1"/>
  <c r="AB382" i="1"/>
  <c r="AC382" i="1" s="1"/>
  <c r="AB381" i="1"/>
  <c r="AC381" i="1" s="1"/>
  <c r="AB380" i="1"/>
  <c r="AC380" i="1" s="1"/>
  <c r="AB379" i="1"/>
  <c r="AC379" i="1" s="1"/>
  <c r="AB378" i="1"/>
  <c r="AC378" i="1" s="1"/>
  <c r="AB377" i="1"/>
  <c r="AC377" i="1" s="1"/>
  <c r="AB376" i="1"/>
  <c r="AC376" i="1" s="1"/>
  <c r="AB375" i="1"/>
  <c r="AC375" i="1" s="1"/>
  <c r="AB374" i="1"/>
  <c r="AC374" i="1" s="1"/>
  <c r="AB373" i="1"/>
  <c r="AC373" i="1" s="1"/>
  <c r="AB372" i="1"/>
  <c r="AC372" i="1" s="1"/>
  <c r="AB371" i="1"/>
  <c r="AC371" i="1" s="1"/>
  <c r="AB370" i="1"/>
  <c r="AC370" i="1" s="1"/>
  <c r="AB369" i="1"/>
  <c r="AC369" i="1" s="1"/>
  <c r="AB368" i="1"/>
  <c r="AC368" i="1" s="1"/>
  <c r="AB367" i="1"/>
  <c r="AC367" i="1" s="1"/>
  <c r="AB366" i="1"/>
  <c r="AC366" i="1" s="1"/>
  <c r="AB365" i="1"/>
  <c r="AC365" i="1" s="1"/>
  <c r="AB364" i="1"/>
  <c r="AC364" i="1" s="1"/>
  <c r="AB363" i="1"/>
  <c r="AC363" i="1" s="1"/>
  <c r="AB362" i="1"/>
  <c r="AC362" i="1" s="1"/>
  <c r="AB361" i="1"/>
  <c r="AC361" i="1" s="1"/>
  <c r="AB360" i="1"/>
  <c r="AC360" i="1" s="1"/>
  <c r="AB359" i="1"/>
  <c r="AC359" i="1" s="1"/>
  <c r="AB358" i="1"/>
  <c r="AC358" i="1" s="1"/>
  <c r="AB357" i="1"/>
  <c r="AC357" i="1" s="1"/>
  <c r="AB356" i="1"/>
  <c r="AC356" i="1" s="1"/>
  <c r="AB355" i="1"/>
  <c r="AC355" i="1" s="1"/>
  <c r="AB354" i="1"/>
  <c r="AC354" i="1" s="1"/>
  <c r="AB353" i="1"/>
  <c r="AC353" i="1" s="1"/>
  <c r="AB352" i="1"/>
  <c r="AC352" i="1" s="1"/>
  <c r="AB91" i="1"/>
  <c r="AC91" i="1" s="1"/>
  <c r="AB90" i="1"/>
  <c r="AC90" i="1" s="1"/>
  <c r="AB89" i="1"/>
  <c r="AC89" i="1" s="1"/>
  <c r="AB88" i="1"/>
  <c r="AC88" i="1" s="1"/>
  <c r="AB87" i="1"/>
  <c r="AC87" i="1" s="1"/>
  <c r="AB86" i="1"/>
  <c r="AC86" i="1" s="1"/>
  <c r="AB85" i="1"/>
  <c r="AC85" i="1" s="1"/>
  <c r="AB84" i="1"/>
  <c r="AC84" i="1" s="1"/>
  <c r="AB83" i="1"/>
  <c r="AC83" i="1" s="1"/>
  <c r="AB82" i="1"/>
  <c r="AC82" i="1" s="1"/>
  <c r="AB81" i="1"/>
  <c r="AC81" i="1" s="1"/>
  <c r="AB13" i="1"/>
  <c r="AC13" i="1" s="1"/>
  <c r="AB80" i="1"/>
  <c r="AC80" i="1" s="1"/>
  <c r="AB79" i="1"/>
  <c r="AC79" i="1" s="1"/>
  <c r="AB78" i="1"/>
  <c r="AC78" i="1" s="1"/>
  <c r="AB77" i="1"/>
  <c r="AC77" i="1" s="1"/>
  <c r="AB76" i="1"/>
  <c r="AC76" i="1" s="1"/>
  <c r="AB75" i="1"/>
  <c r="AC75" i="1" s="1"/>
  <c r="AB74" i="1"/>
  <c r="AC74" i="1" s="1"/>
  <c r="AB73" i="1"/>
  <c r="AC73" i="1" s="1"/>
  <c r="AB72" i="1"/>
  <c r="AC72" i="1" s="1"/>
  <c r="AB71" i="1"/>
  <c r="AC71" i="1" s="1"/>
  <c r="AB513" i="1"/>
  <c r="AC513" i="1" s="1"/>
  <c r="AB512" i="1"/>
  <c r="AC512" i="1" s="1"/>
  <c r="AB511" i="1"/>
  <c r="AC511" i="1" s="1"/>
  <c r="AB494" i="1"/>
  <c r="AC494" i="1" s="1"/>
  <c r="AB493" i="1"/>
  <c r="AC493" i="1" s="1"/>
  <c r="AB492" i="1"/>
  <c r="AC492" i="1" s="1"/>
  <c r="AB510" i="1"/>
  <c r="AC510" i="1" s="1"/>
  <c r="AB509" i="1"/>
  <c r="AC509" i="1" s="1"/>
  <c r="AB250" i="1"/>
  <c r="AC250" i="1" s="1"/>
  <c r="AB249" i="1"/>
  <c r="AC249" i="1" s="1"/>
  <c r="AB248" i="1"/>
  <c r="AC248" i="1" s="1"/>
  <c r="AB247" i="1"/>
  <c r="AC247" i="1" s="1"/>
  <c r="AB246" i="1"/>
  <c r="AC246" i="1" s="1"/>
  <c r="AB245" i="1"/>
  <c r="AC245" i="1" s="1"/>
  <c r="AB244" i="1"/>
  <c r="AC244" i="1" s="1"/>
  <c r="AB243" i="1"/>
  <c r="AC243" i="1" s="1"/>
  <c r="AB242" i="1"/>
  <c r="AC242" i="1" s="1"/>
  <c r="AB241" i="1"/>
  <c r="AC241" i="1" s="1"/>
  <c r="AB240" i="1"/>
  <c r="AC240" i="1" s="1"/>
  <c r="AB239" i="1"/>
  <c r="AC239" i="1" s="1"/>
  <c r="AB238" i="1"/>
  <c r="AC238" i="1" s="1"/>
  <c r="AB237" i="1"/>
  <c r="AC237" i="1" s="1"/>
  <c r="AB236" i="1"/>
  <c r="AC236" i="1" s="1"/>
  <c r="AB235" i="1"/>
  <c r="AC235" i="1" s="1"/>
  <c r="AB234" i="1"/>
  <c r="AC234" i="1" s="1"/>
  <c r="AB233" i="1"/>
  <c r="AC233" i="1" s="1"/>
  <c r="AB232" i="1"/>
  <c r="AC232" i="1" s="1"/>
  <c r="AB231" i="1"/>
  <c r="AC231" i="1" s="1"/>
  <c r="AB230" i="1"/>
  <c r="AC230" i="1" s="1"/>
  <c r="AB229" i="1"/>
  <c r="AC229" i="1" s="1"/>
  <c r="AB228" i="1"/>
  <c r="AC228" i="1" s="1"/>
  <c r="AB227" i="1"/>
  <c r="AC227" i="1" s="1"/>
  <c r="AB226" i="1"/>
  <c r="AC226" i="1" s="1"/>
  <c r="AB225" i="1"/>
  <c r="AC225" i="1" s="1"/>
  <c r="AB224" i="1"/>
  <c r="AC224" i="1" s="1"/>
  <c r="AB223" i="1"/>
  <c r="AC223" i="1" s="1"/>
  <c r="AB222" i="1"/>
  <c r="AC222" i="1" s="1"/>
  <c r="AB221" i="1"/>
  <c r="AC221" i="1" s="1"/>
  <c r="AB220" i="1"/>
  <c r="AC220" i="1" s="1"/>
  <c r="AB219" i="1"/>
  <c r="AC219" i="1" s="1"/>
  <c r="AB218" i="1"/>
  <c r="AC218" i="1" s="1"/>
  <c r="AB217" i="1"/>
  <c r="AC217" i="1" s="1"/>
  <c r="AB216" i="1"/>
  <c r="AC216" i="1" s="1"/>
  <c r="AB215" i="1"/>
  <c r="AC215" i="1" s="1"/>
  <c r="AB214" i="1"/>
  <c r="AC214" i="1" s="1"/>
  <c r="AB213" i="1"/>
  <c r="AC213" i="1" s="1"/>
  <c r="AB212" i="1"/>
  <c r="AC212" i="1" s="1"/>
  <c r="AB211" i="1"/>
  <c r="AC211" i="1" s="1"/>
  <c r="AB210" i="1"/>
  <c r="AC210" i="1" s="1"/>
  <c r="AB209" i="1"/>
  <c r="AC209" i="1" s="1"/>
  <c r="AB208" i="1"/>
  <c r="AC208" i="1" s="1"/>
  <c r="AB207" i="1"/>
  <c r="AC207" i="1" s="1"/>
  <c r="AB206" i="1"/>
  <c r="AC206" i="1" s="1"/>
  <c r="AB205" i="1"/>
  <c r="AC205" i="1" s="1"/>
  <c r="AB204" i="1"/>
  <c r="AC204" i="1" s="1"/>
  <c r="AB203" i="1"/>
  <c r="AC203" i="1" s="1"/>
  <c r="AB202" i="1"/>
  <c r="AC202" i="1" s="1"/>
  <c r="AB201" i="1"/>
  <c r="AC201" i="1" s="1"/>
  <c r="AB200" i="1"/>
  <c r="AC200" i="1" s="1"/>
  <c r="AB199" i="1"/>
  <c r="AC199" i="1" s="1"/>
  <c r="AB198" i="1"/>
  <c r="AC198" i="1" s="1"/>
  <c r="AB197" i="1"/>
  <c r="AC197" i="1" s="1"/>
  <c r="AB196" i="1"/>
  <c r="AC196" i="1" s="1"/>
  <c r="AB195" i="1"/>
  <c r="AC195" i="1" s="1"/>
  <c r="AB194" i="1"/>
  <c r="AC194" i="1" s="1"/>
  <c r="AB525" i="1"/>
  <c r="AC525" i="1" s="1"/>
  <c r="AB499" i="1"/>
  <c r="AC499" i="1" s="1"/>
  <c r="AB498" i="1"/>
  <c r="AC498" i="1" s="1"/>
  <c r="AB534" i="1"/>
  <c r="AC534" i="1" s="1"/>
  <c r="AB453" i="1"/>
  <c r="AC453" i="1" s="1"/>
  <c r="AB533" i="1"/>
  <c r="AC533" i="1" s="1"/>
  <c r="AB70" i="1"/>
  <c r="AC70" i="1" s="1"/>
  <c r="AB521" i="1"/>
  <c r="AC521" i="1" s="1"/>
  <c r="AB497" i="1"/>
  <c r="AC497" i="1" s="1"/>
  <c r="AB496" i="1"/>
  <c r="AC496" i="1" s="1"/>
  <c r="AB524" i="1"/>
  <c r="AC524" i="1" s="1"/>
  <c r="AB452" i="1"/>
  <c r="AC452" i="1" s="1"/>
  <c r="AB532" i="1"/>
  <c r="AC532" i="1" s="1"/>
  <c r="AB69" i="1"/>
  <c r="AC69" i="1" s="1"/>
  <c r="AB68" i="1"/>
  <c r="AC68" i="1" s="1"/>
  <c r="AB67" i="1"/>
  <c r="AC67" i="1" s="1"/>
  <c r="AB66" i="1"/>
  <c r="AC66" i="1" s="1"/>
  <c r="AB65" i="1"/>
  <c r="AC65" i="1" s="1"/>
  <c r="AB64" i="1"/>
  <c r="AC64" i="1" s="1"/>
  <c r="AB63" i="1"/>
  <c r="AC63" i="1" s="1"/>
  <c r="AB62" i="1"/>
  <c r="AC62" i="1" s="1"/>
  <c r="AB451" i="1"/>
  <c r="AC451" i="1" s="1"/>
  <c r="AB61" i="1"/>
  <c r="AC61" i="1" s="1"/>
  <c r="AB450" i="1"/>
  <c r="AC450" i="1" s="1"/>
  <c r="AB449" i="1"/>
  <c r="AC449" i="1" s="1"/>
  <c r="AB448" i="1"/>
  <c r="AC448" i="1" s="1"/>
  <c r="AB447" i="1"/>
  <c r="AC447" i="1" s="1"/>
  <c r="AB60" i="1"/>
  <c r="AC60" i="1" s="1"/>
  <c r="AB59" i="1"/>
  <c r="AC59" i="1" s="1"/>
  <c r="AB58" i="1"/>
  <c r="AC58" i="1" s="1"/>
  <c r="AB57" i="1"/>
  <c r="AC57" i="1" s="1"/>
  <c r="AB56" i="1"/>
  <c r="AC56" i="1" s="1"/>
  <c r="AB446" i="1"/>
  <c r="AC446" i="1" s="1"/>
  <c r="AB55" i="1"/>
  <c r="AC55" i="1" s="1"/>
  <c r="AB445" i="1"/>
  <c r="AC445" i="1" s="1"/>
  <c r="AB54" i="1"/>
  <c r="AC54" i="1" s="1"/>
  <c r="AB53" i="1"/>
  <c r="AC53" i="1" s="1"/>
  <c r="AB444" i="1"/>
  <c r="AC444" i="1" s="1"/>
  <c r="AB443" i="1"/>
  <c r="AC443" i="1" s="1"/>
  <c r="AB52" i="1"/>
  <c r="AC52" i="1" s="1"/>
  <c r="AB51" i="1"/>
  <c r="AC51" i="1" s="1"/>
  <c r="AB12" i="1"/>
  <c r="AC12" i="1" s="1"/>
  <c r="AB96" i="1"/>
  <c r="AC96" i="1" s="1"/>
  <c r="AB95" i="1"/>
  <c r="AC95" i="1" s="1"/>
  <c r="AB94" i="1"/>
  <c r="AC94" i="1" s="1"/>
  <c r="AB93" i="1"/>
  <c r="AC93" i="1" s="1"/>
  <c r="AB92" i="1"/>
  <c r="AC92" i="1" s="1"/>
  <c r="AB464" i="1"/>
  <c r="AC464" i="1" s="1"/>
  <c r="AB463" i="1"/>
  <c r="AC463" i="1" s="1"/>
  <c r="AB462" i="1"/>
  <c r="AC462" i="1" s="1"/>
  <c r="AB461" i="1"/>
  <c r="AC461" i="1" s="1"/>
  <c r="AB460" i="1"/>
  <c r="AC460" i="1" s="1"/>
  <c r="AB459" i="1"/>
  <c r="AC459" i="1" s="1"/>
  <c r="AB458" i="1"/>
  <c r="AC458" i="1" s="1"/>
  <c r="AB457" i="1"/>
  <c r="AC457" i="1" s="1"/>
  <c r="AB456" i="1"/>
  <c r="AC456" i="1" s="1"/>
  <c r="AB455" i="1"/>
  <c r="AC455" i="1" s="1"/>
  <c r="AB454" i="1"/>
  <c r="AC454" i="1" s="1"/>
  <c r="AB487" i="1"/>
  <c r="AC487" i="1" s="1"/>
  <c r="AB486" i="1"/>
  <c r="AC486" i="1" s="1"/>
  <c r="AB485" i="1"/>
  <c r="AC485" i="1" s="1"/>
  <c r="AB484" i="1"/>
  <c r="AC484" i="1" s="1"/>
  <c r="AB483" i="1"/>
  <c r="AC483" i="1" s="1"/>
  <c r="AB482" i="1"/>
  <c r="AC482" i="1" s="1"/>
  <c r="AB481" i="1"/>
  <c r="AC481" i="1" s="1"/>
  <c r="AB480" i="1"/>
  <c r="AC480" i="1" s="1"/>
  <c r="AB479" i="1"/>
  <c r="AC479" i="1" s="1"/>
  <c r="AB478" i="1"/>
  <c r="AC478" i="1" s="1"/>
  <c r="AB477" i="1"/>
  <c r="AC477" i="1" s="1"/>
  <c r="AB476" i="1"/>
  <c r="AC476" i="1" s="1"/>
  <c r="AB475" i="1"/>
  <c r="AC475" i="1" s="1"/>
  <c r="AB474" i="1"/>
  <c r="AC474" i="1" s="1"/>
  <c r="AB473" i="1"/>
  <c r="AC473" i="1" s="1"/>
  <c r="AB472" i="1"/>
  <c r="AC472" i="1" s="1"/>
  <c r="AB471" i="1"/>
  <c r="AC471" i="1" s="1"/>
  <c r="AB470" i="1"/>
  <c r="AC470" i="1" s="1"/>
  <c r="AB469" i="1"/>
  <c r="AC469" i="1" s="1"/>
  <c r="AB468" i="1"/>
  <c r="AC468" i="1" s="1"/>
  <c r="AB467" i="1"/>
  <c r="AC467" i="1" s="1"/>
  <c r="AB466" i="1"/>
  <c r="AC466" i="1" s="1"/>
  <c r="AB465" i="1"/>
  <c r="AC465" i="1" s="1"/>
  <c r="AB442" i="1"/>
  <c r="AC442" i="1" s="1"/>
  <c r="AB441" i="1"/>
  <c r="AC441" i="1" s="1"/>
  <c r="AB440" i="1"/>
  <c r="AC440" i="1" s="1"/>
  <c r="AB439" i="1"/>
  <c r="AC439" i="1" s="1"/>
  <c r="AB438" i="1"/>
  <c r="AC438" i="1" s="1"/>
  <c r="AB437" i="1"/>
  <c r="AC437" i="1" s="1"/>
  <c r="AB436" i="1"/>
  <c r="AC436" i="1" s="1"/>
  <c r="AB435" i="1"/>
  <c r="AC435" i="1" s="1"/>
  <c r="AB434" i="1"/>
  <c r="AC434" i="1" s="1"/>
  <c r="AB433" i="1"/>
  <c r="AC433" i="1" s="1"/>
  <c r="AB432" i="1"/>
  <c r="AC432" i="1" s="1"/>
  <c r="AB431" i="1"/>
  <c r="AC431" i="1" s="1"/>
  <c r="AB430" i="1"/>
  <c r="AC430" i="1" s="1"/>
  <c r="AB429" i="1"/>
  <c r="AC429" i="1" s="1"/>
  <c r="AB21" i="1"/>
  <c r="AC21" i="1" s="1"/>
  <c r="AB428" i="1"/>
  <c r="AC428" i="1" s="1"/>
  <c r="AB427" i="1"/>
  <c r="AC427" i="1" s="1"/>
  <c r="AB426" i="1"/>
  <c r="AC426" i="1" s="1"/>
  <c r="AB425" i="1"/>
  <c r="AC425" i="1" s="1"/>
  <c r="AB424" i="1"/>
  <c r="AC424" i="1" s="1"/>
  <c r="AB423" i="1"/>
  <c r="AC423" i="1" s="1"/>
  <c r="AB422" i="1"/>
  <c r="AC422" i="1" s="1"/>
  <c r="AB421" i="1"/>
  <c r="AC421" i="1" s="1"/>
  <c r="AB420" i="1"/>
  <c r="AC420" i="1" s="1"/>
  <c r="AB419" i="1"/>
  <c r="AC419" i="1" s="1"/>
  <c r="AB418" i="1"/>
  <c r="AC418" i="1" s="1"/>
  <c r="AB417" i="1"/>
  <c r="AC417" i="1" s="1"/>
  <c r="AB416" i="1"/>
  <c r="AC416" i="1" s="1"/>
  <c r="AB415" i="1"/>
  <c r="AC415" i="1" s="1"/>
  <c r="AB414" i="1"/>
  <c r="AC414" i="1" s="1"/>
  <c r="AB413" i="1"/>
  <c r="AC413" i="1" s="1"/>
  <c r="Y303" i="1"/>
  <c r="Z303" i="1" s="1"/>
  <c r="Y302" i="1"/>
  <c r="Z302" i="1" s="1"/>
  <c r="Y301" i="1"/>
  <c r="Z301" i="1" s="1"/>
  <c r="Y300" i="1"/>
  <c r="Z300" i="1" s="1"/>
  <c r="Y299" i="1"/>
  <c r="Z299" i="1" s="1"/>
  <c r="Y298" i="1"/>
  <c r="Z298" i="1" s="1"/>
  <c r="Y297" i="1"/>
  <c r="Z297" i="1" s="1"/>
  <c r="Y296" i="1"/>
  <c r="Z296" i="1" s="1"/>
  <c r="Y295" i="1"/>
  <c r="Z295" i="1" s="1"/>
  <c r="Y294" i="1"/>
  <c r="Z294" i="1" s="1"/>
  <c r="Y293" i="1"/>
  <c r="Z293" i="1" s="1"/>
  <c r="Y292" i="1"/>
  <c r="Z292" i="1" s="1"/>
  <c r="Y291" i="1"/>
  <c r="Z291" i="1" s="1"/>
  <c r="Y290" i="1"/>
  <c r="Z290" i="1" s="1"/>
  <c r="Y289" i="1"/>
  <c r="Z289" i="1" s="1"/>
  <c r="Y288" i="1"/>
  <c r="Z288" i="1" s="1"/>
  <c r="Y287" i="1"/>
  <c r="Z287" i="1" s="1"/>
  <c r="Y286" i="1"/>
  <c r="Z286" i="1" s="1"/>
  <c r="Y285" i="1"/>
  <c r="Z285" i="1" s="1"/>
  <c r="Y284" i="1"/>
  <c r="Z284" i="1" s="1"/>
  <c r="Y283" i="1"/>
  <c r="Z283" i="1" s="1"/>
  <c r="Y282" i="1"/>
  <c r="Z282" i="1" s="1"/>
  <c r="Y281" i="1"/>
  <c r="Z281" i="1" s="1"/>
  <c r="Y280" i="1"/>
  <c r="Z280" i="1" s="1"/>
  <c r="Y279" i="1"/>
  <c r="Z279" i="1" s="1"/>
  <c r="Y278" i="1"/>
  <c r="Z278" i="1" s="1"/>
  <c r="Y277" i="1"/>
  <c r="Z277" i="1" s="1"/>
  <c r="Y276" i="1"/>
  <c r="Z276" i="1" s="1"/>
  <c r="Y275" i="1"/>
  <c r="Z275" i="1" s="1"/>
  <c r="Y274" i="1"/>
  <c r="Z274" i="1" s="1"/>
  <c r="Y273" i="1"/>
  <c r="Z273" i="1" s="1"/>
  <c r="Y272" i="1"/>
  <c r="Z272" i="1" s="1"/>
  <c r="Y271" i="1"/>
  <c r="Z271" i="1" s="1"/>
  <c r="Y270" i="1"/>
  <c r="Z270" i="1" s="1"/>
  <c r="Y269" i="1"/>
  <c r="Z269" i="1" s="1"/>
  <c r="Y268" i="1"/>
  <c r="Z268" i="1" s="1"/>
  <c r="Y267" i="1"/>
  <c r="Z267" i="1" s="1"/>
  <c r="Y266" i="1"/>
  <c r="Z266" i="1" s="1"/>
  <c r="Y265" i="1"/>
  <c r="Z265" i="1" s="1"/>
  <c r="Y264" i="1"/>
  <c r="Z264" i="1" s="1"/>
  <c r="Y263" i="1"/>
  <c r="Z263" i="1" s="1"/>
  <c r="Y262" i="1"/>
  <c r="Z262" i="1" s="1"/>
  <c r="Y20" i="1"/>
  <c r="Z20" i="1" s="1"/>
  <c r="Y261" i="1"/>
  <c r="Z261" i="1" s="1"/>
  <c r="Y260" i="1"/>
  <c r="Z260" i="1" s="1"/>
  <c r="Y259" i="1"/>
  <c r="Z259" i="1" s="1"/>
  <c r="Y258" i="1"/>
  <c r="Z258" i="1" s="1"/>
  <c r="Y257" i="1"/>
  <c r="Z257" i="1" s="1"/>
  <c r="Y256" i="1"/>
  <c r="Z256" i="1" s="1"/>
  <c r="Y255" i="1"/>
  <c r="Z255" i="1" s="1"/>
  <c r="Y254" i="1"/>
  <c r="Z254" i="1" s="1"/>
  <c r="Y253" i="1"/>
  <c r="Z253" i="1" s="1"/>
  <c r="Y252" i="1"/>
  <c r="Z252" i="1" s="1"/>
  <c r="Y251" i="1"/>
  <c r="Z251" i="1" s="1"/>
  <c r="Y517" i="1"/>
  <c r="Z517" i="1" s="1"/>
  <c r="Y516" i="1"/>
  <c r="Z516" i="1" s="1"/>
  <c r="Y515" i="1"/>
  <c r="Z515" i="1" s="1"/>
  <c r="Y514" i="1"/>
  <c r="Z514" i="1" s="1"/>
  <c r="Y495" i="1"/>
  <c r="Z495" i="1" s="1"/>
  <c r="Y193" i="1"/>
  <c r="Z193" i="1" s="1"/>
  <c r="Y192" i="1"/>
  <c r="Z192" i="1" s="1"/>
  <c r="Y191" i="1"/>
  <c r="Z191" i="1" s="1"/>
  <c r="Y190" i="1"/>
  <c r="Z190" i="1" s="1"/>
  <c r="Y189" i="1"/>
  <c r="Z189" i="1" s="1"/>
  <c r="Y188" i="1"/>
  <c r="Z188" i="1" s="1"/>
  <c r="Y187" i="1"/>
  <c r="Z187" i="1" s="1"/>
  <c r="Y186" i="1"/>
  <c r="Z186" i="1" s="1"/>
  <c r="Y185" i="1"/>
  <c r="Z185" i="1" s="1"/>
  <c r="Y184" i="1"/>
  <c r="Z184" i="1" s="1"/>
  <c r="Y183" i="1"/>
  <c r="Z183" i="1" s="1"/>
  <c r="Y182" i="1"/>
  <c r="Z182" i="1" s="1"/>
  <c r="Y181" i="1"/>
  <c r="Z181" i="1" s="1"/>
  <c r="Y180" i="1"/>
  <c r="Z180" i="1" s="1"/>
  <c r="Y179" i="1"/>
  <c r="Z179" i="1" s="1"/>
  <c r="Y178" i="1"/>
  <c r="Z178" i="1" s="1"/>
  <c r="Y177" i="1"/>
  <c r="Z177" i="1" s="1"/>
  <c r="Y176" i="1"/>
  <c r="Z176" i="1" s="1"/>
  <c r="Y175" i="1"/>
  <c r="Z175" i="1" s="1"/>
  <c r="Y174" i="1"/>
  <c r="Z174" i="1" s="1"/>
  <c r="Y173" i="1"/>
  <c r="Z173" i="1" s="1"/>
  <c r="Y172" i="1"/>
  <c r="Z172" i="1" s="1"/>
  <c r="Y171" i="1"/>
  <c r="Z171" i="1" s="1"/>
  <c r="Y170" i="1"/>
  <c r="Z170" i="1" s="1"/>
  <c r="Y169" i="1"/>
  <c r="Z169" i="1" s="1"/>
  <c r="Y168" i="1"/>
  <c r="Z168" i="1" s="1"/>
  <c r="Y167" i="1"/>
  <c r="Z167" i="1" s="1"/>
  <c r="Y166" i="1"/>
  <c r="Z166" i="1" s="1"/>
  <c r="Y165" i="1"/>
  <c r="Z165" i="1" s="1"/>
  <c r="Y164" i="1"/>
  <c r="Z164" i="1" s="1"/>
  <c r="Y163" i="1"/>
  <c r="Z163" i="1" s="1"/>
  <c r="Y162" i="1"/>
  <c r="Z162" i="1" s="1"/>
  <c r="Y161" i="1"/>
  <c r="Z161" i="1" s="1"/>
  <c r="Y160" i="1"/>
  <c r="Z160" i="1" s="1"/>
  <c r="Y159" i="1"/>
  <c r="Z159" i="1" s="1"/>
  <c r="Y158" i="1"/>
  <c r="Z158" i="1" s="1"/>
  <c r="Y157" i="1"/>
  <c r="Z157" i="1" s="1"/>
  <c r="Y156" i="1"/>
  <c r="Z156" i="1" s="1"/>
  <c r="Y155" i="1"/>
  <c r="Z155" i="1" s="1"/>
  <c r="Y154" i="1"/>
  <c r="Z154" i="1" s="1"/>
  <c r="Y153" i="1"/>
  <c r="Z153" i="1" s="1"/>
  <c r="Y152" i="1"/>
  <c r="Z152" i="1" s="1"/>
  <c r="Y151" i="1"/>
  <c r="Z151" i="1" s="1"/>
  <c r="Y150" i="1"/>
  <c r="Z150" i="1" s="1"/>
  <c r="Y149" i="1"/>
  <c r="Z149" i="1" s="1"/>
  <c r="Y148" i="1"/>
  <c r="Z148" i="1" s="1"/>
  <c r="Y147" i="1"/>
  <c r="Z147" i="1" s="1"/>
  <c r="Y146" i="1"/>
  <c r="Z146" i="1" s="1"/>
  <c r="Y145" i="1"/>
  <c r="Z145" i="1" s="1"/>
  <c r="Y144" i="1"/>
  <c r="Z144" i="1" s="1"/>
  <c r="Y143" i="1"/>
  <c r="Z143" i="1" s="1"/>
  <c r="Y142" i="1"/>
  <c r="Z142" i="1" s="1"/>
  <c r="Y141" i="1"/>
  <c r="Z141" i="1" s="1"/>
  <c r="Y140" i="1"/>
  <c r="Z140" i="1" s="1"/>
  <c r="Y139" i="1"/>
  <c r="Z139" i="1" s="1"/>
  <c r="Y138" i="1"/>
  <c r="Z138" i="1" s="1"/>
  <c r="Y137" i="1"/>
  <c r="Z137" i="1" s="1"/>
  <c r="Y136" i="1"/>
  <c r="Z136" i="1" s="1"/>
  <c r="Y135" i="1"/>
  <c r="Z135" i="1" s="1"/>
  <c r="Y134" i="1"/>
  <c r="Z134" i="1" s="1"/>
  <c r="Y133" i="1"/>
  <c r="Z133" i="1" s="1"/>
  <c r="Y132" i="1"/>
  <c r="Z132" i="1" s="1"/>
  <c r="Y131" i="1"/>
  <c r="Z131" i="1" s="1"/>
  <c r="Y130" i="1"/>
  <c r="Z130" i="1" s="1"/>
  <c r="Y129" i="1"/>
  <c r="Z129" i="1" s="1"/>
  <c r="Y128" i="1"/>
  <c r="Z128" i="1" s="1"/>
  <c r="Y127" i="1"/>
  <c r="Z127" i="1" s="1"/>
  <c r="Y126" i="1"/>
  <c r="Z126" i="1" s="1"/>
  <c r="Y125" i="1"/>
  <c r="Z125" i="1" s="1"/>
  <c r="Y124" i="1"/>
  <c r="Z124" i="1" s="1"/>
  <c r="Y123" i="1"/>
  <c r="Z123" i="1" s="1"/>
  <c r="Y122" i="1"/>
  <c r="Z122" i="1" s="1"/>
  <c r="Y121" i="1"/>
  <c r="Z121" i="1" s="1"/>
  <c r="Y19" i="1"/>
  <c r="Z19" i="1" s="1"/>
  <c r="Y120" i="1"/>
  <c r="Z120" i="1" s="1"/>
  <c r="Y119" i="1"/>
  <c r="Z119" i="1" s="1"/>
  <c r="Y118" i="1"/>
  <c r="Z118" i="1" s="1"/>
  <c r="Y18" i="1"/>
  <c r="Z18" i="1" s="1"/>
  <c r="Y117" i="1"/>
  <c r="Z117" i="1" s="1"/>
  <c r="Y17" i="1"/>
  <c r="Z17" i="1" s="1"/>
  <c r="Y16" i="1"/>
  <c r="Z16" i="1" s="1"/>
  <c r="Y116" i="1"/>
  <c r="Z116" i="1" s="1"/>
  <c r="Y115" i="1"/>
  <c r="Z115" i="1" s="1"/>
  <c r="Y114" i="1"/>
  <c r="Z114" i="1" s="1"/>
  <c r="Y113" i="1"/>
  <c r="Z113" i="1" s="1"/>
  <c r="Y112" i="1"/>
  <c r="Z112" i="1" s="1"/>
  <c r="Y111" i="1"/>
  <c r="Z111" i="1" s="1"/>
  <c r="Y110" i="1"/>
  <c r="Z110" i="1" s="1"/>
  <c r="Y109" i="1"/>
  <c r="Z109" i="1" s="1"/>
  <c r="Y108" i="1"/>
  <c r="Z108" i="1" s="1"/>
  <c r="Y107" i="1"/>
  <c r="Z107" i="1" s="1"/>
  <c r="Y15" i="1"/>
  <c r="Z15" i="1" s="1"/>
  <c r="Y14" i="1"/>
  <c r="Z14" i="1" s="1"/>
  <c r="Y106" i="1"/>
  <c r="Z106" i="1" s="1"/>
  <c r="Y105" i="1"/>
  <c r="Z105" i="1" s="1"/>
  <c r="Y104" i="1"/>
  <c r="Z104" i="1" s="1"/>
  <c r="Y103" i="1"/>
  <c r="Z103" i="1" s="1"/>
  <c r="Y102" i="1"/>
  <c r="Z102" i="1" s="1"/>
  <c r="Y101" i="1"/>
  <c r="Z101" i="1" s="1"/>
  <c r="Y100" i="1"/>
  <c r="Z100" i="1" s="1"/>
  <c r="Y22" i="1"/>
  <c r="Z22" i="1" s="1"/>
  <c r="Y541" i="1"/>
  <c r="Z541" i="1" s="1"/>
  <c r="Y99" i="1"/>
  <c r="Z99" i="1" s="1"/>
  <c r="Y98" i="1"/>
  <c r="Z98" i="1" s="1"/>
  <c r="Y540" i="1"/>
  <c r="Z540" i="1" s="1"/>
  <c r="Y539" i="1"/>
  <c r="Z539" i="1" s="1"/>
  <c r="Y538" i="1"/>
  <c r="Z538" i="1" s="1"/>
  <c r="Y537" i="1"/>
  <c r="Z537" i="1" s="1"/>
  <c r="Y536" i="1"/>
  <c r="Z536" i="1" s="1"/>
  <c r="Y508" i="1"/>
  <c r="Z508" i="1" s="1"/>
  <c r="Y507" i="1"/>
  <c r="Z507" i="1" s="1"/>
  <c r="Y506" i="1"/>
  <c r="Z506" i="1" s="1"/>
  <c r="Y505" i="1"/>
  <c r="Z505" i="1" s="1"/>
  <c r="Y504" i="1"/>
  <c r="Z504" i="1" s="1"/>
  <c r="Y535" i="1"/>
  <c r="Z535" i="1" s="1"/>
  <c r="Y503" i="1"/>
  <c r="Z503" i="1" s="1"/>
  <c r="Y522" i="1"/>
  <c r="Z522" i="1" s="1"/>
  <c r="Y502" i="1"/>
  <c r="Z502" i="1" s="1"/>
  <c r="Y526" i="1"/>
  <c r="Z526" i="1" s="1"/>
  <c r="Y501" i="1"/>
  <c r="Z501" i="1" s="1"/>
  <c r="Y491" i="1"/>
  <c r="Z491" i="1" s="1"/>
  <c r="Y490" i="1"/>
  <c r="Z490" i="1" s="1"/>
  <c r="Y500" i="1"/>
  <c r="Z500" i="1" s="1"/>
  <c r="Y489" i="1"/>
  <c r="Z489" i="1" s="1"/>
  <c r="Y97" i="1"/>
  <c r="Z97" i="1" s="1"/>
  <c r="Y488" i="1"/>
  <c r="Z488" i="1" s="1"/>
  <c r="Y351" i="1"/>
  <c r="Z351" i="1" s="1"/>
  <c r="Y350" i="1"/>
  <c r="Z350" i="1" s="1"/>
  <c r="Y349" i="1"/>
  <c r="Z349" i="1" s="1"/>
  <c r="Y348" i="1"/>
  <c r="Z348" i="1" s="1"/>
  <c r="Y347" i="1"/>
  <c r="Z347" i="1" s="1"/>
  <c r="Y346" i="1"/>
  <c r="Z346" i="1" s="1"/>
  <c r="Y345" i="1"/>
  <c r="Z345" i="1" s="1"/>
  <c r="Y344" i="1"/>
  <c r="Z344" i="1" s="1"/>
  <c r="Y343" i="1"/>
  <c r="Z343" i="1" s="1"/>
  <c r="Y342" i="1"/>
  <c r="Z342" i="1" s="1"/>
  <c r="Y341" i="1"/>
  <c r="Z341" i="1" s="1"/>
  <c r="Y340" i="1"/>
  <c r="Z340" i="1" s="1"/>
  <c r="Y339" i="1"/>
  <c r="Z339" i="1" s="1"/>
  <c r="Y338" i="1"/>
  <c r="Z338" i="1" s="1"/>
  <c r="Y337" i="1"/>
  <c r="Z337" i="1" s="1"/>
  <c r="Y336" i="1"/>
  <c r="Z336" i="1" s="1"/>
  <c r="Y335" i="1"/>
  <c r="Z335" i="1" s="1"/>
  <c r="Y334" i="1"/>
  <c r="Z334" i="1" s="1"/>
  <c r="Y333" i="1"/>
  <c r="Z333" i="1" s="1"/>
  <c r="Y332" i="1"/>
  <c r="Z332" i="1" s="1"/>
  <c r="Y331" i="1"/>
  <c r="Z331" i="1" s="1"/>
  <c r="Y330" i="1"/>
  <c r="Z330" i="1" s="1"/>
  <c r="Y329" i="1"/>
  <c r="Z329" i="1" s="1"/>
  <c r="Y328" i="1"/>
  <c r="Z328" i="1" s="1"/>
  <c r="Y327" i="1"/>
  <c r="Z327" i="1" s="1"/>
  <c r="Y326" i="1"/>
  <c r="Z326" i="1" s="1"/>
  <c r="Y325" i="1"/>
  <c r="Z325" i="1" s="1"/>
  <c r="Y324" i="1"/>
  <c r="Z324" i="1" s="1"/>
  <c r="Y323" i="1"/>
  <c r="Z323" i="1" s="1"/>
  <c r="Y322" i="1"/>
  <c r="Z322" i="1" s="1"/>
  <c r="Y321" i="1"/>
  <c r="Z321" i="1" s="1"/>
  <c r="Y320" i="1"/>
  <c r="Z320" i="1" s="1"/>
  <c r="Y319" i="1"/>
  <c r="Z319" i="1" s="1"/>
  <c r="Y318" i="1"/>
  <c r="Z318" i="1" s="1"/>
  <c r="Y317" i="1"/>
  <c r="Z317" i="1" s="1"/>
  <c r="Y316" i="1"/>
  <c r="Z316" i="1" s="1"/>
  <c r="Y315" i="1"/>
  <c r="Z315" i="1" s="1"/>
  <c r="Y314" i="1"/>
  <c r="Z314" i="1" s="1"/>
  <c r="Y313" i="1"/>
  <c r="Z313" i="1" s="1"/>
  <c r="Y312" i="1"/>
  <c r="Z312" i="1" s="1"/>
  <c r="Y311" i="1"/>
  <c r="Z311" i="1" s="1"/>
  <c r="Y310" i="1"/>
  <c r="Z310" i="1" s="1"/>
  <c r="Y309" i="1"/>
  <c r="Z309" i="1" s="1"/>
  <c r="Y308" i="1"/>
  <c r="Z308" i="1" s="1"/>
  <c r="Y307" i="1"/>
  <c r="Z307" i="1" s="1"/>
  <c r="Y306" i="1"/>
  <c r="Z306" i="1" s="1"/>
  <c r="Y531" i="1"/>
  <c r="Z531" i="1" s="1"/>
  <c r="Y530" i="1"/>
  <c r="Z530" i="1" s="1"/>
  <c r="Y529" i="1"/>
  <c r="Z529" i="1" s="1"/>
  <c r="Y523" i="1"/>
  <c r="Z523" i="1" s="1"/>
  <c r="Y528" i="1"/>
  <c r="Z528" i="1" s="1"/>
  <c r="Y527" i="1"/>
  <c r="Z527" i="1" s="1"/>
  <c r="Y305" i="1"/>
  <c r="Z305" i="1" s="1"/>
  <c r="Y519" i="1"/>
  <c r="Z519" i="1" s="1"/>
  <c r="Y518" i="1"/>
  <c r="Z518" i="1" s="1"/>
  <c r="Y304" i="1"/>
  <c r="Z304" i="1" s="1"/>
  <c r="Y412" i="1"/>
  <c r="Z412" i="1" s="1"/>
  <c r="Y411" i="1"/>
  <c r="Z411" i="1" s="1"/>
  <c r="Y410" i="1"/>
  <c r="Z410" i="1" s="1"/>
  <c r="Y409" i="1"/>
  <c r="Z409" i="1" s="1"/>
  <c r="Y408" i="1"/>
  <c r="Z408" i="1" s="1"/>
  <c r="Y407" i="1"/>
  <c r="Z407" i="1" s="1"/>
  <c r="Y405" i="1"/>
  <c r="Z405" i="1" s="1"/>
  <c r="Y404" i="1"/>
  <c r="Z404" i="1" s="1"/>
  <c r="Y403" i="1"/>
  <c r="Z403" i="1" s="1"/>
  <c r="Y402" i="1"/>
  <c r="Z402" i="1" s="1"/>
  <c r="Y401" i="1"/>
  <c r="Z401" i="1" s="1"/>
  <c r="Y400" i="1"/>
  <c r="Z400" i="1" s="1"/>
  <c r="Y399" i="1"/>
  <c r="Z399" i="1" s="1"/>
  <c r="Y398" i="1"/>
  <c r="Z398" i="1" s="1"/>
  <c r="Y397" i="1"/>
  <c r="Z397" i="1" s="1"/>
  <c r="Y396" i="1"/>
  <c r="Z396" i="1" s="1"/>
  <c r="Y395" i="1"/>
  <c r="Z395" i="1" s="1"/>
  <c r="Y394" i="1"/>
  <c r="Z394" i="1" s="1"/>
  <c r="Y393" i="1"/>
  <c r="Z393" i="1" s="1"/>
  <c r="Y392" i="1"/>
  <c r="Z392" i="1" s="1"/>
  <c r="Y391" i="1"/>
  <c r="Z391" i="1" s="1"/>
  <c r="Y390" i="1"/>
  <c r="Z390" i="1" s="1"/>
  <c r="Y389" i="1"/>
  <c r="Z389" i="1" s="1"/>
  <c r="Y388" i="1"/>
  <c r="Z388" i="1" s="1"/>
  <c r="Y387" i="1"/>
  <c r="Z387" i="1" s="1"/>
  <c r="Y386" i="1"/>
  <c r="Z386" i="1" s="1"/>
  <c r="Y385" i="1"/>
  <c r="Z385" i="1" s="1"/>
  <c r="Y384" i="1"/>
  <c r="Z384" i="1" s="1"/>
  <c r="Y383" i="1"/>
  <c r="Z383" i="1" s="1"/>
  <c r="Y382" i="1"/>
  <c r="Z382" i="1" s="1"/>
  <c r="Y381" i="1"/>
  <c r="Z381" i="1" s="1"/>
  <c r="Y380" i="1"/>
  <c r="Z380" i="1" s="1"/>
  <c r="Y379" i="1"/>
  <c r="Z379" i="1" s="1"/>
  <c r="Y378" i="1"/>
  <c r="Z378" i="1" s="1"/>
  <c r="Y377" i="1"/>
  <c r="Z377" i="1" s="1"/>
  <c r="Y376" i="1"/>
  <c r="Z376" i="1" s="1"/>
  <c r="Y375" i="1"/>
  <c r="Z375" i="1" s="1"/>
  <c r="Y374" i="1"/>
  <c r="Z374" i="1" s="1"/>
  <c r="Y373" i="1"/>
  <c r="Z373" i="1" s="1"/>
  <c r="Y372" i="1"/>
  <c r="Z372" i="1" s="1"/>
  <c r="Y371" i="1"/>
  <c r="Z371" i="1" s="1"/>
  <c r="Y370" i="1"/>
  <c r="Z370" i="1" s="1"/>
  <c r="Y369" i="1"/>
  <c r="Z369" i="1" s="1"/>
  <c r="Y368" i="1"/>
  <c r="Z368" i="1" s="1"/>
  <c r="Y367" i="1"/>
  <c r="Z367" i="1" s="1"/>
  <c r="Y366" i="1"/>
  <c r="Z366" i="1" s="1"/>
  <c r="Y365" i="1"/>
  <c r="Z365" i="1" s="1"/>
  <c r="Y364" i="1"/>
  <c r="Z364" i="1" s="1"/>
  <c r="Y363" i="1"/>
  <c r="Z363" i="1" s="1"/>
  <c r="Y362" i="1"/>
  <c r="Z362" i="1" s="1"/>
  <c r="Y361" i="1"/>
  <c r="Z361" i="1" s="1"/>
  <c r="Y360" i="1"/>
  <c r="Z360" i="1" s="1"/>
  <c r="Y359" i="1"/>
  <c r="Z359" i="1" s="1"/>
  <c r="Y358" i="1"/>
  <c r="Z358" i="1" s="1"/>
  <c r="Y357" i="1"/>
  <c r="Z357" i="1" s="1"/>
  <c r="Y356" i="1"/>
  <c r="Z356" i="1" s="1"/>
  <c r="Y355" i="1"/>
  <c r="Z355" i="1" s="1"/>
  <c r="Y354" i="1"/>
  <c r="Z354" i="1" s="1"/>
  <c r="Y353" i="1"/>
  <c r="Z353" i="1" s="1"/>
  <c r="Y352" i="1"/>
  <c r="Z352" i="1" s="1"/>
  <c r="Y91" i="1"/>
  <c r="Z91" i="1" s="1"/>
  <c r="Y90" i="1"/>
  <c r="Z90" i="1" s="1"/>
  <c r="Y89" i="1"/>
  <c r="Z89" i="1" s="1"/>
  <c r="Y88" i="1"/>
  <c r="Z88" i="1" s="1"/>
  <c r="Y87" i="1"/>
  <c r="Z87" i="1" s="1"/>
  <c r="Y86" i="1"/>
  <c r="Z86" i="1" s="1"/>
  <c r="Y85" i="1"/>
  <c r="Z85" i="1" s="1"/>
  <c r="Y84" i="1"/>
  <c r="Z84" i="1" s="1"/>
  <c r="Y83" i="1"/>
  <c r="Z83" i="1" s="1"/>
  <c r="Y82" i="1"/>
  <c r="Z82" i="1" s="1"/>
  <c r="Y81" i="1"/>
  <c r="Z81" i="1" s="1"/>
  <c r="Y13" i="1"/>
  <c r="Z13" i="1" s="1"/>
  <c r="Y80" i="1"/>
  <c r="Z80" i="1" s="1"/>
  <c r="Y79" i="1"/>
  <c r="Z79" i="1" s="1"/>
  <c r="Y78" i="1"/>
  <c r="Z78" i="1" s="1"/>
  <c r="Y77" i="1"/>
  <c r="Z77" i="1" s="1"/>
  <c r="Y76" i="1"/>
  <c r="Z76" i="1" s="1"/>
  <c r="Y75" i="1"/>
  <c r="Z75" i="1" s="1"/>
  <c r="Y74" i="1"/>
  <c r="Z74" i="1" s="1"/>
  <c r="Y73" i="1"/>
  <c r="Z73" i="1" s="1"/>
  <c r="Y72" i="1"/>
  <c r="Z72" i="1" s="1"/>
  <c r="Y71" i="1"/>
  <c r="Z71" i="1" s="1"/>
  <c r="Y513" i="1"/>
  <c r="Z513" i="1" s="1"/>
  <c r="Y512" i="1"/>
  <c r="Z512" i="1" s="1"/>
  <c r="Y511" i="1"/>
  <c r="Z511" i="1" s="1"/>
  <c r="Y494" i="1"/>
  <c r="Z494" i="1" s="1"/>
  <c r="Y493" i="1"/>
  <c r="Z493" i="1" s="1"/>
  <c r="Y492" i="1"/>
  <c r="Z492" i="1" s="1"/>
  <c r="Y510" i="1"/>
  <c r="Z510" i="1" s="1"/>
  <c r="Y509" i="1"/>
  <c r="Z509" i="1" s="1"/>
  <c r="Y250" i="1"/>
  <c r="Z250" i="1" s="1"/>
  <c r="Y249" i="1"/>
  <c r="Z249" i="1" s="1"/>
  <c r="Y248" i="1"/>
  <c r="Z248" i="1" s="1"/>
  <c r="Y247" i="1"/>
  <c r="Z247" i="1" s="1"/>
  <c r="Y246" i="1"/>
  <c r="Z246" i="1" s="1"/>
  <c r="Y245" i="1"/>
  <c r="Z245" i="1" s="1"/>
  <c r="Y244" i="1"/>
  <c r="Z244" i="1" s="1"/>
  <c r="Y243" i="1"/>
  <c r="Z243" i="1" s="1"/>
  <c r="Y242" i="1"/>
  <c r="Z242" i="1" s="1"/>
  <c r="Y241" i="1"/>
  <c r="Z241" i="1" s="1"/>
  <c r="Y240" i="1"/>
  <c r="Z240" i="1" s="1"/>
  <c r="Y239" i="1"/>
  <c r="Z239" i="1" s="1"/>
  <c r="Y238" i="1"/>
  <c r="Z238" i="1" s="1"/>
  <c r="Y237" i="1"/>
  <c r="Z237" i="1" s="1"/>
  <c r="Y236" i="1"/>
  <c r="Z236" i="1" s="1"/>
  <c r="Y235" i="1"/>
  <c r="Z235" i="1" s="1"/>
  <c r="Y234" i="1"/>
  <c r="Z234" i="1" s="1"/>
  <c r="Y233" i="1"/>
  <c r="Z233" i="1" s="1"/>
  <c r="Y232" i="1"/>
  <c r="Z232" i="1" s="1"/>
  <c r="Y231" i="1"/>
  <c r="Z231" i="1" s="1"/>
  <c r="Y230" i="1"/>
  <c r="Z230" i="1" s="1"/>
  <c r="Y229" i="1"/>
  <c r="Z229" i="1" s="1"/>
  <c r="Y228" i="1"/>
  <c r="Z228" i="1" s="1"/>
  <c r="Y227" i="1"/>
  <c r="Z227" i="1" s="1"/>
  <c r="Y226" i="1"/>
  <c r="Z226" i="1" s="1"/>
  <c r="Y225" i="1"/>
  <c r="Z225" i="1" s="1"/>
  <c r="Y224" i="1"/>
  <c r="Z224" i="1" s="1"/>
  <c r="Y223" i="1"/>
  <c r="Z223" i="1" s="1"/>
  <c r="Y222" i="1"/>
  <c r="Z222" i="1" s="1"/>
  <c r="Y221" i="1"/>
  <c r="Z221" i="1" s="1"/>
  <c r="Y220" i="1"/>
  <c r="Z220" i="1" s="1"/>
  <c r="Y219" i="1"/>
  <c r="Z219" i="1" s="1"/>
  <c r="Y218" i="1"/>
  <c r="Z218" i="1" s="1"/>
  <c r="Y217" i="1"/>
  <c r="Z217" i="1" s="1"/>
  <c r="Y216" i="1"/>
  <c r="Z216" i="1" s="1"/>
  <c r="Y215" i="1"/>
  <c r="Z215" i="1" s="1"/>
  <c r="Y214" i="1"/>
  <c r="Z214" i="1" s="1"/>
  <c r="Y213" i="1"/>
  <c r="Z213" i="1" s="1"/>
  <c r="Y212" i="1"/>
  <c r="Z212" i="1" s="1"/>
  <c r="Y211" i="1"/>
  <c r="Z211" i="1" s="1"/>
  <c r="Y210" i="1"/>
  <c r="Z210" i="1" s="1"/>
  <c r="Y209" i="1"/>
  <c r="Z209" i="1" s="1"/>
  <c r="Y208" i="1"/>
  <c r="Z208" i="1" s="1"/>
  <c r="Y207" i="1"/>
  <c r="Z207" i="1" s="1"/>
  <c r="Y206" i="1"/>
  <c r="Z206" i="1" s="1"/>
  <c r="Y205" i="1"/>
  <c r="Z205" i="1" s="1"/>
  <c r="Y204" i="1"/>
  <c r="Z204" i="1" s="1"/>
  <c r="Y203" i="1"/>
  <c r="Z203" i="1" s="1"/>
  <c r="Y202" i="1"/>
  <c r="Z202" i="1" s="1"/>
  <c r="Y201" i="1"/>
  <c r="Z201" i="1" s="1"/>
  <c r="Y200" i="1"/>
  <c r="Z200" i="1" s="1"/>
  <c r="Y199" i="1"/>
  <c r="Z199" i="1" s="1"/>
  <c r="Y198" i="1"/>
  <c r="Z198" i="1" s="1"/>
  <c r="Y197" i="1"/>
  <c r="Z197" i="1" s="1"/>
  <c r="Y196" i="1"/>
  <c r="Z196" i="1" s="1"/>
  <c r="Y195" i="1"/>
  <c r="Z195" i="1" s="1"/>
  <c r="Y194" i="1"/>
  <c r="Z194" i="1" s="1"/>
  <c r="Y525" i="1"/>
  <c r="Z525" i="1" s="1"/>
  <c r="Y499" i="1"/>
  <c r="Z499" i="1" s="1"/>
  <c r="Y498" i="1"/>
  <c r="Z498" i="1" s="1"/>
  <c r="Y534" i="1"/>
  <c r="Z534" i="1" s="1"/>
  <c r="Y453" i="1"/>
  <c r="Z453" i="1" s="1"/>
  <c r="Y533" i="1"/>
  <c r="Z533" i="1" s="1"/>
  <c r="Y70" i="1"/>
  <c r="Z70" i="1" s="1"/>
  <c r="Y521" i="1"/>
  <c r="Z521" i="1" s="1"/>
  <c r="Y497" i="1"/>
  <c r="Z497" i="1" s="1"/>
  <c r="Y496" i="1"/>
  <c r="Z496" i="1" s="1"/>
  <c r="Y524" i="1"/>
  <c r="Z524" i="1" s="1"/>
  <c r="Y452" i="1"/>
  <c r="Z452" i="1" s="1"/>
  <c r="Y532" i="1"/>
  <c r="Z532" i="1" s="1"/>
  <c r="Y69" i="1"/>
  <c r="Z69" i="1" s="1"/>
  <c r="Y68" i="1"/>
  <c r="Z68" i="1" s="1"/>
  <c r="Y67" i="1"/>
  <c r="Z67" i="1" s="1"/>
  <c r="Y66" i="1"/>
  <c r="Z66" i="1" s="1"/>
  <c r="Y65" i="1"/>
  <c r="Z65" i="1" s="1"/>
  <c r="Y64" i="1"/>
  <c r="Z64" i="1" s="1"/>
  <c r="Y63" i="1"/>
  <c r="Z63" i="1" s="1"/>
  <c r="Y62" i="1"/>
  <c r="Z62" i="1" s="1"/>
  <c r="Y451" i="1"/>
  <c r="Z451" i="1" s="1"/>
  <c r="Y61" i="1"/>
  <c r="Z61" i="1" s="1"/>
  <c r="Y450" i="1"/>
  <c r="Z450" i="1" s="1"/>
  <c r="Y449" i="1"/>
  <c r="Z449" i="1" s="1"/>
  <c r="Y448" i="1"/>
  <c r="Z448" i="1" s="1"/>
  <c r="Y447" i="1"/>
  <c r="Z447" i="1" s="1"/>
  <c r="Y60" i="1"/>
  <c r="Z60" i="1" s="1"/>
  <c r="Y59" i="1"/>
  <c r="Z59" i="1" s="1"/>
  <c r="Y58" i="1"/>
  <c r="Z58" i="1" s="1"/>
  <c r="Y57" i="1"/>
  <c r="Z57" i="1" s="1"/>
  <c r="Y56" i="1"/>
  <c r="Z56" i="1" s="1"/>
  <c r="Y446" i="1"/>
  <c r="Z446" i="1" s="1"/>
  <c r="Y55" i="1"/>
  <c r="Z55" i="1" s="1"/>
  <c r="Y445" i="1"/>
  <c r="Z445" i="1" s="1"/>
  <c r="Y54" i="1"/>
  <c r="Z54" i="1" s="1"/>
  <c r="Y53" i="1"/>
  <c r="Z53" i="1" s="1"/>
  <c r="Y444" i="1"/>
  <c r="Z444" i="1" s="1"/>
  <c r="Y443" i="1"/>
  <c r="Z443" i="1" s="1"/>
  <c r="Y52" i="1"/>
  <c r="Z52" i="1" s="1"/>
  <c r="Y51" i="1"/>
  <c r="Z51" i="1" s="1"/>
  <c r="Y12" i="1"/>
  <c r="Z12" i="1" s="1"/>
  <c r="Y96" i="1"/>
  <c r="Z96" i="1" s="1"/>
  <c r="Y95" i="1"/>
  <c r="Z95" i="1" s="1"/>
  <c r="Y94" i="1"/>
  <c r="Z94" i="1" s="1"/>
  <c r="Y93" i="1"/>
  <c r="Z93" i="1" s="1"/>
  <c r="Y92" i="1"/>
  <c r="Z92" i="1" s="1"/>
  <c r="Y464" i="1"/>
  <c r="Z464" i="1" s="1"/>
  <c r="Y463" i="1"/>
  <c r="Z463" i="1" s="1"/>
  <c r="Y462" i="1"/>
  <c r="Z462" i="1" s="1"/>
  <c r="Y461" i="1"/>
  <c r="Z461" i="1" s="1"/>
  <c r="Y460" i="1"/>
  <c r="Z460" i="1" s="1"/>
  <c r="Y459" i="1"/>
  <c r="Z459" i="1" s="1"/>
  <c r="Y458" i="1"/>
  <c r="Z458" i="1" s="1"/>
  <c r="Y457" i="1"/>
  <c r="Z457" i="1" s="1"/>
  <c r="Y456" i="1"/>
  <c r="Z456" i="1" s="1"/>
  <c r="Y455" i="1"/>
  <c r="Z455" i="1" s="1"/>
  <c r="Y454" i="1"/>
  <c r="Z454" i="1" s="1"/>
  <c r="Y487" i="1"/>
  <c r="Z487" i="1" s="1"/>
  <c r="Y486" i="1"/>
  <c r="Z486" i="1" s="1"/>
  <c r="Y485" i="1"/>
  <c r="Z485" i="1" s="1"/>
  <c r="Y484" i="1"/>
  <c r="Z484" i="1" s="1"/>
  <c r="Y483" i="1"/>
  <c r="Z483" i="1" s="1"/>
  <c r="Y482" i="1"/>
  <c r="Z482" i="1" s="1"/>
  <c r="Y481" i="1"/>
  <c r="Z481" i="1" s="1"/>
  <c r="Y480" i="1"/>
  <c r="Z480" i="1" s="1"/>
  <c r="Y479" i="1"/>
  <c r="Z479" i="1" s="1"/>
  <c r="Y478" i="1"/>
  <c r="Z478" i="1" s="1"/>
  <c r="Y477" i="1"/>
  <c r="Z477" i="1" s="1"/>
  <c r="Y476" i="1"/>
  <c r="Z476" i="1" s="1"/>
  <c r="Y475" i="1"/>
  <c r="Z475" i="1" s="1"/>
  <c r="Y474" i="1"/>
  <c r="Z474" i="1" s="1"/>
  <c r="Y473" i="1"/>
  <c r="Z473" i="1" s="1"/>
  <c r="Y472" i="1"/>
  <c r="Z472" i="1" s="1"/>
  <c r="Y471" i="1"/>
  <c r="Z471" i="1" s="1"/>
  <c r="Y470" i="1"/>
  <c r="Z470" i="1" s="1"/>
  <c r="Y469" i="1"/>
  <c r="Z469" i="1" s="1"/>
  <c r="Y468" i="1"/>
  <c r="Z468" i="1" s="1"/>
  <c r="Y467" i="1"/>
  <c r="Z467" i="1" s="1"/>
  <c r="Y466" i="1"/>
  <c r="Z466" i="1" s="1"/>
  <c r="Y465" i="1"/>
  <c r="Z465" i="1" s="1"/>
  <c r="Y442" i="1"/>
  <c r="Z442" i="1" s="1"/>
  <c r="Y441" i="1"/>
  <c r="Z441" i="1" s="1"/>
  <c r="Y440" i="1"/>
  <c r="Z440" i="1" s="1"/>
  <c r="Y439" i="1"/>
  <c r="Z439" i="1" s="1"/>
  <c r="Y438" i="1"/>
  <c r="Z438" i="1" s="1"/>
  <c r="Y437" i="1"/>
  <c r="Z437" i="1" s="1"/>
  <c r="Y436" i="1"/>
  <c r="Z436" i="1" s="1"/>
  <c r="Y435" i="1"/>
  <c r="Z435" i="1" s="1"/>
  <c r="Y434" i="1"/>
  <c r="Z434" i="1" s="1"/>
  <c r="Y433" i="1"/>
  <c r="Z433" i="1" s="1"/>
  <c r="Y432" i="1"/>
  <c r="Z432" i="1" s="1"/>
  <c r="Y431" i="1"/>
  <c r="Z431" i="1" s="1"/>
  <c r="Y430" i="1"/>
  <c r="Z430" i="1" s="1"/>
  <c r="Y429" i="1"/>
  <c r="Z429" i="1" s="1"/>
  <c r="Y21" i="1"/>
  <c r="Z21" i="1" s="1"/>
  <c r="Y428" i="1"/>
  <c r="Z428" i="1" s="1"/>
  <c r="Y427" i="1"/>
  <c r="Z427" i="1" s="1"/>
  <c r="Y426" i="1"/>
  <c r="Z426" i="1" s="1"/>
  <c r="Y425" i="1"/>
  <c r="Z425" i="1" s="1"/>
  <c r="Y424" i="1"/>
  <c r="Z424" i="1" s="1"/>
  <c r="Y423" i="1"/>
  <c r="Z423" i="1" s="1"/>
  <c r="Y422" i="1"/>
  <c r="Z422" i="1" s="1"/>
  <c r="Y421" i="1"/>
  <c r="Z421" i="1" s="1"/>
  <c r="Y420" i="1"/>
  <c r="Z420" i="1" s="1"/>
  <c r="Y419" i="1"/>
  <c r="Z419" i="1" s="1"/>
  <c r="Y418" i="1"/>
  <c r="Z418" i="1" s="1"/>
  <c r="Y417" i="1"/>
  <c r="Z417" i="1" s="1"/>
  <c r="Y416" i="1"/>
  <c r="Z416" i="1" s="1"/>
  <c r="Y415" i="1"/>
  <c r="Z415" i="1" s="1"/>
  <c r="Y414" i="1"/>
  <c r="Z414" i="1" s="1"/>
  <c r="Y413" i="1"/>
  <c r="Z413" i="1" s="1"/>
  <c r="Y520" i="1"/>
  <c r="Z520" i="1" s="1"/>
  <c r="W303" i="1"/>
  <c r="W302" i="1"/>
  <c r="W301" i="1"/>
  <c r="W300" i="1"/>
  <c r="W299" i="1"/>
  <c r="W298" i="1"/>
  <c r="W297" i="1"/>
  <c r="W296" i="1"/>
  <c r="W295" i="1"/>
  <c r="W294" i="1"/>
  <c r="W293" i="1"/>
  <c r="W292" i="1"/>
  <c r="W291" i="1"/>
  <c r="W290" i="1"/>
  <c r="W289" i="1"/>
  <c r="W288" i="1"/>
  <c r="W287" i="1"/>
  <c r="W286" i="1"/>
  <c r="W285" i="1"/>
  <c r="W284" i="1"/>
  <c r="W283" i="1"/>
  <c r="W282" i="1"/>
  <c r="W281" i="1"/>
  <c r="W280" i="1"/>
  <c r="W279" i="1"/>
  <c r="W278" i="1"/>
  <c r="W277" i="1"/>
  <c r="W276" i="1"/>
  <c r="W275" i="1"/>
  <c r="W274" i="1"/>
  <c r="W273" i="1"/>
  <c r="W272" i="1"/>
  <c r="W271" i="1"/>
  <c r="W270" i="1"/>
  <c r="W269" i="1"/>
  <c r="W268" i="1"/>
  <c r="W267" i="1"/>
  <c r="W266" i="1"/>
  <c r="W265" i="1"/>
  <c r="W264" i="1"/>
  <c r="W263" i="1"/>
  <c r="W262" i="1"/>
  <c r="W20" i="1"/>
  <c r="W261" i="1"/>
  <c r="W260" i="1"/>
  <c r="W259" i="1"/>
  <c r="W258" i="1"/>
  <c r="W257" i="1"/>
  <c r="W256" i="1"/>
  <c r="W255" i="1"/>
  <c r="W254" i="1"/>
  <c r="W253" i="1"/>
  <c r="W252" i="1"/>
  <c r="W251" i="1"/>
  <c r="W517" i="1"/>
  <c r="W516" i="1"/>
  <c r="W515" i="1"/>
  <c r="W514" i="1"/>
  <c r="W495"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9" i="1"/>
  <c r="W120" i="1"/>
  <c r="W119" i="1"/>
  <c r="W118" i="1"/>
  <c r="W18" i="1"/>
  <c r="W117" i="1"/>
  <c r="W17" i="1"/>
  <c r="W16" i="1"/>
  <c r="W116" i="1"/>
  <c r="W115" i="1"/>
  <c r="W114" i="1"/>
  <c r="W113" i="1"/>
  <c r="W112" i="1"/>
  <c r="W111" i="1"/>
  <c r="W110" i="1"/>
  <c r="W109" i="1"/>
  <c r="W108" i="1"/>
  <c r="W107" i="1"/>
  <c r="W15" i="1"/>
  <c r="W14" i="1"/>
  <c r="W106" i="1"/>
  <c r="W105" i="1"/>
  <c r="W104" i="1"/>
  <c r="W103" i="1"/>
  <c r="W102" i="1"/>
  <c r="W101" i="1"/>
  <c r="W100" i="1"/>
  <c r="W22" i="1"/>
  <c r="W541" i="1"/>
  <c r="W99" i="1"/>
  <c r="W98" i="1"/>
  <c r="W540" i="1"/>
  <c r="W539" i="1"/>
  <c r="W538" i="1"/>
  <c r="W537" i="1"/>
  <c r="W536" i="1"/>
  <c r="W508" i="1"/>
  <c r="W507" i="1"/>
  <c r="W506" i="1"/>
  <c r="W505" i="1"/>
  <c r="W504" i="1"/>
  <c r="W535" i="1"/>
  <c r="W503" i="1"/>
  <c r="W522" i="1"/>
  <c r="W502" i="1"/>
  <c r="W526" i="1"/>
  <c r="W501" i="1"/>
  <c r="W491" i="1"/>
  <c r="W490" i="1"/>
  <c r="W500" i="1"/>
  <c r="W489" i="1"/>
  <c r="W97" i="1"/>
  <c r="W488" i="1"/>
  <c r="W351" i="1"/>
  <c r="W350" i="1"/>
  <c r="W349" i="1"/>
  <c r="W348" i="1"/>
  <c r="W347" i="1"/>
  <c r="W346" i="1"/>
  <c r="W345" i="1"/>
  <c r="W344" i="1"/>
  <c r="W343" i="1"/>
  <c r="W342" i="1"/>
  <c r="W341" i="1"/>
  <c r="W340" i="1"/>
  <c r="W339" i="1"/>
  <c r="W338" i="1"/>
  <c r="W337" i="1"/>
  <c r="W336" i="1"/>
  <c r="W335" i="1"/>
  <c r="W334" i="1"/>
  <c r="W333" i="1"/>
  <c r="W332"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531" i="1"/>
  <c r="W530" i="1"/>
  <c r="W529" i="1"/>
  <c r="W523" i="1"/>
  <c r="W528" i="1"/>
  <c r="W527" i="1"/>
  <c r="W305" i="1"/>
  <c r="W519" i="1"/>
  <c r="W518" i="1"/>
  <c r="W304" i="1"/>
  <c r="W412" i="1"/>
  <c r="W411" i="1"/>
  <c r="W410" i="1"/>
  <c r="W409" i="1"/>
  <c r="W408" i="1"/>
  <c r="W407" i="1"/>
  <c r="W406" i="1"/>
  <c r="W405" i="1"/>
  <c r="W404" i="1"/>
  <c r="W403" i="1"/>
  <c r="W402" i="1"/>
  <c r="W401" i="1"/>
  <c r="W400" i="1"/>
  <c r="W399" i="1"/>
  <c r="W398" i="1"/>
  <c r="W397" i="1"/>
  <c r="W396" i="1"/>
  <c r="W395" i="1"/>
  <c r="W394" i="1"/>
  <c r="W393" i="1"/>
  <c r="W392" i="1"/>
  <c r="W391" i="1"/>
  <c r="W390" i="1"/>
  <c r="W389" i="1"/>
  <c r="W388" i="1"/>
  <c r="W387" i="1"/>
  <c r="W386" i="1"/>
  <c r="W385" i="1"/>
  <c r="W384"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91" i="1"/>
  <c r="W90" i="1"/>
  <c r="W89" i="1"/>
  <c r="W88" i="1"/>
  <c r="W87" i="1"/>
  <c r="W86" i="1"/>
  <c r="W85" i="1"/>
  <c r="W84" i="1"/>
  <c r="W83" i="1"/>
  <c r="W82" i="1"/>
  <c r="W81" i="1"/>
  <c r="W13" i="1"/>
  <c r="W80" i="1"/>
  <c r="W79" i="1"/>
  <c r="W78" i="1"/>
  <c r="W77" i="1"/>
  <c r="W76" i="1"/>
  <c r="W75" i="1"/>
  <c r="W74" i="1"/>
  <c r="W73" i="1"/>
  <c r="W72" i="1"/>
  <c r="W71" i="1"/>
  <c r="W513" i="1"/>
  <c r="W512" i="1"/>
  <c r="W511" i="1"/>
  <c r="W494" i="1"/>
  <c r="W493" i="1"/>
  <c r="W492" i="1"/>
  <c r="W510" i="1"/>
  <c r="W509"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202" i="1"/>
  <c r="W201" i="1"/>
  <c r="W200" i="1"/>
  <c r="W199" i="1"/>
  <c r="W198" i="1"/>
  <c r="W197" i="1"/>
  <c r="W196" i="1"/>
  <c r="W195" i="1"/>
  <c r="W194" i="1"/>
  <c r="W525" i="1"/>
  <c r="W499" i="1"/>
  <c r="W498" i="1"/>
  <c r="W534" i="1"/>
  <c r="W453" i="1"/>
  <c r="W533" i="1"/>
  <c r="W70" i="1"/>
  <c r="W521" i="1"/>
  <c r="W497" i="1"/>
  <c r="W496" i="1"/>
  <c r="W524" i="1"/>
  <c r="W452" i="1"/>
  <c r="W532" i="1"/>
  <c r="W69" i="1"/>
  <c r="W68" i="1"/>
  <c r="W67" i="1"/>
  <c r="W66" i="1"/>
  <c r="W65" i="1"/>
  <c r="W64" i="1"/>
  <c r="W63" i="1"/>
  <c r="W62" i="1"/>
  <c r="W451" i="1"/>
  <c r="W61" i="1"/>
  <c r="W450" i="1"/>
  <c r="W449" i="1"/>
  <c r="W448" i="1"/>
  <c r="W447" i="1"/>
  <c r="W60" i="1"/>
  <c r="W59" i="1"/>
  <c r="W58" i="1"/>
  <c r="W57" i="1"/>
  <c r="W56" i="1"/>
  <c r="W446" i="1"/>
  <c r="W55" i="1"/>
  <c r="W445" i="1"/>
  <c r="W54" i="1"/>
  <c r="W53" i="1"/>
  <c r="W444" i="1"/>
  <c r="W443" i="1"/>
  <c r="W52" i="1"/>
  <c r="W51" i="1"/>
  <c r="W12" i="1"/>
  <c r="W96" i="1"/>
  <c r="W95" i="1"/>
  <c r="W94" i="1"/>
  <c r="W93" i="1"/>
  <c r="W92" i="1"/>
  <c r="W464" i="1"/>
  <c r="W463" i="1"/>
  <c r="W462" i="1"/>
  <c r="W461" i="1"/>
  <c r="W460" i="1"/>
  <c r="W459" i="1"/>
  <c r="W458" i="1"/>
  <c r="W457" i="1"/>
  <c r="W456" i="1"/>
  <c r="W455" i="1"/>
  <c r="W454" i="1"/>
  <c r="W487" i="1"/>
  <c r="W486" i="1"/>
  <c r="W485" i="1"/>
  <c r="W484" i="1"/>
  <c r="W483" i="1"/>
  <c r="W482" i="1"/>
  <c r="W481" i="1"/>
  <c r="W480" i="1"/>
  <c r="W479" i="1"/>
  <c r="W478" i="1"/>
  <c r="W477" i="1"/>
  <c r="W476" i="1"/>
  <c r="W475" i="1"/>
  <c r="W474" i="1"/>
  <c r="W473" i="1"/>
  <c r="W472" i="1"/>
  <c r="W471" i="1"/>
  <c r="W470" i="1"/>
  <c r="W469" i="1"/>
  <c r="W468" i="1"/>
  <c r="W467" i="1"/>
  <c r="W466" i="1"/>
  <c r="W465" i="1"/>
  <c r="W442" i="1"/>
  <c r="W441" i="1"/>
  <c r="W440" i="1"/>
  <c r="W439" i="1"/>
  <c r="W438" i="1"/>
  <c r="W437" i="1"/>
  <c r="W436" i="1"/>
  <c r="W435" i="1"/>
  <c r="W434" i="1"/>
  <c r="W433" i="1"/>
  <c r="W432" i="1"/>
  <c r="W431" i="1"/>
  <c r="W430" i="1"/>
  <c r="W429" i="1"/>
  <c r="W21" i="1"/>
  <c r="W428" i="1"/>
  <c r="W427" i="1"/>
  <c r="W426" i="1"/>
  <c r="W425" i="1"/>
  <c r="W424" i="1"/>
  <c r="W423" i="1"/>
  <c r="W422" i="1"/>
  <c r="W421" i="1"/>
  <c r="W420" i="1"/>
  <c r="W419" i="1"/>
  <c r="W418" i="1"/>
  <c r="W417" i="1"/>
  <c r="W416" i="1"/>
  <c r="W415" i="1"/>
  <c r="W414" i="1"/>
  <c r="W413" i="1"/>
  <c r="V303" i="1"/>
  <c r="V302" i="1"/>
  <c r="V301" i="1"/>
  <c r="V300" i="1"/>
  <c r="V299" i="1"/>
  <c r="V298" i="1"/>
  <c r="V297" i="1"/>
  <c r="V296" i="1"/>
  <c r="V295" i="1"/>
  <c r="V294" i="1"/>
  <c r="V293" i="1"/>
  <c r="V292" i="1"/>
  <c r="V291" i="1"/>
  <c r="V290" i="1"/>
  <c r="V289" i="1"/>
  <c r="V288" i="1"/>
  <c r="V287" i="1"/>
  <c r="V286" i="1"/>
  <c r="V285" i="1"/>
  <c r="V284" i="1"/>
  <c r="V283" i="1"/>
  <c r="V282" i="1"/>
  <c r="V281" i="1"/>
  <c r="V280" i="1"/>
  <c r="V279" i="1"/>
  <c r="V278" i="1"/>
  <c r="V277" i="1"/>
  <c r="V276" i="1"/>
  <c r="V275" i="1"/>
  <c r="V274" i="1"/>
  <c r="V273" i="1"/>
  <c r="V272" i="1"/>
  <c r="V271" i="1"/>
  <c r="V270" i="1"/>
  <c r="V269" i="1"/>
  <c r="V268" i="1"/>
  <c r="V267" i="1"/>
  <c r="V266" i="1"/>
  <c r="V265" i="1"/>
  <c r="V264" i="1"/>
  <c r="V263" i="1"/>
  <c r="V262" i="1"/>
  <c r="V20" i="1"/>
  <c r="V261" i="1"/>
  <c r="V260" i="1"/>
  <c r="V259" i="1"/>
  <c r="V258" i="1"/>
  <c r="V257" i="1"/>
  <c r="V256" i="1"/>
  <c r="V255" i="1"/>
  <c r="V254" i="1"/>
  <c r="V253" i="1"/>
  <c r="V252" i="1"/>
  <c r="V251" i="1"/>
  <c r="V517" i="1"/>
  <c r="V516" i="1"/>
  <c r="V515" i="1"/>
  <c r="V514" i="1"/>
  <c r="V495" i="1"/>
  <c r="V193" i="1"/>
  <c r="V192" i="1"/>
  <c r="V191" i="1"/>
  <c r="V190" i="1"/>
  <c r="V189" i="1"/>
  <c r="V188" i="1"/>
  <c r="V187" i="1"/>
  <c r="V186" i="1"/>
  <c r="V185" i="1"/>
  <c r="V184" i="1"/>
  <c r="V183" i="1"/>
  <c r="V182" i="1"/>
  <c r="V181" i="1"/>
  <c r="V180" i="1"/>
  <c r="V179" i="1"/>
  <c r="V178" i="1"/>
  <c r="V177" i="1"/>
  <c r="V176" i="1"/>
  <c r="V175" i="1"/>
  <c r="V174" i="1"/>
  <c r="V173" i="1"/>
  <c r="V172" i="1"/>
  <c r="V171"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9" i="1"/>
  <c r="V120" i="1"/>
  <c r="V119" i="1"/>
  <c r="V118" i="1"/>
  <c r="V18" i="1"/>
  <c r="V117" i="1"/>
  <c r="V17" i="1"/>
  <c r="V16" i="1"/>
  <c r="V116" i="1"/>
  <c r="V115" i="1"/>
  <c r="V114" i="1"/>
  <c r="V113" i="1"/>
  <c r="V112" i="1"/>
  <c r="V111" i="1"/>
  <c r="V110" i="1"/>
  <c r="V109" i="1"/>
  <c r="V108" i="1"/>
  <c r="V107" i="1"/>
  <c r="V15" i="1"/>
  <c r="V14" i="1"/>
  <c r="V106" i="1"/>
  <c r="V105" i="1"/>
  <c r="V104" i="1"/>
  <c r="V103" i="1"/>
  <c r="V102" i="1"/>
  <c r="V101" i="1"/>
  <c r="V100" i="1"/>
  <c r="V22" i="1"/>
  <c r="V541" i="1"/>
  <c r="V99" i="1"/>
  <c r="V98" i="1"/>
  <c r="V540" i="1"/>
  <c r="V539" i="1"/>
  <c r="V538" i="1"/>
  <c r="V537" i="1"/>
  <c r="V536" i="1"/>
  <c r="V508" i="1"/>
  <c r="V507" i="1"/>
  <c r="V506" i="1"/>
  <c r="V505" i="1"/>
  <c r="V504" i="1"/>
  <c r="V535" i="1"/>
  <c r="V503" i="1"/>
  <c r="V522" i="1"/>
  <c r="V502" i="1"/>
  <c r="V526" i="1"/>
  <c r="V501" i="1"/>
  <c r="V491" i="1"/>
  <c r="V490" i="1"/>
  <c r="V500" i="1"/>
  <c r="V489" i="1"/>
  <c r="V97" i="1"/>
  <c r="V488" i="1"/>
  <c r="V351" i="1"/>
  <c r="V350" i="1"/>
  <c r="V349" i="1"/>
  <c r="V348" i="1"/>
  <c r="V347" i="1"/>
  <c r="V346" i="1"/>
  <c r="V345" i="1"/>
  <c r="V344" i="1"/>
  <c r="V343" i="1"/>
  <c r="V342" i="1"/>
  <c r="V341" i="1"/>
  <c r="V340" i="1"/>
  <c r="V339" i="1"/>
  <c r="V338" i="1"/>
  <c r="V337" i="1"/>
  <c r="V336" i="1"/>
  <c r="V335" i="1"/>
  <c r="V334" i="1"/>
  <c r="V333" i="1"/>
  <c r="V332" i="1"/>
  <c r="V331" i="1"/>
  <c r="V330" i="1"/>
  <c r="V329" i="1"/>
  <c r="V328" i="1"/>
  <c r="V327" i="1"/>
  <c r="V326" i="1"/>
  <c r="V325" i="1"/>
  <c r="V324" i="1"/>
  <c r="V323" i="1"/>
  <c r="V322" i="1"/>
  <c r="V321" i="1"/>
  <c r="V320" i="1"/>
  <c r="V319" i="1"/>
  <c r="V318" i="1"/>
  <c r="V317" i="1"/>
  <c r="V316" i="1"/>
  <c r="V315" i="1"/>
  <c r="V314" i="1"/>
  <c r="V313" i="1"/>
  <c r="V312" i="1"/>
  <c r="V311" i="1"/>
  <c r="V310" i="1"/>
  <c r="V309" i="1"/>
  <c r="V308" i="1"/>
  <c r="V307" i="1"/>
  <c r="V306" i="1"/>
  <c r="V531" i="1"/>
  <c r="V530" i="1"/>
  <c r="V529" i="1"/>
  <c r="V523" i="1"/>
  <c r="V528" i="1"/>
  <c r="V527" i="1"/>
  <c r="V305" i="1"/>
  <c r="V519" i="1"/>
  <c r="V518" i="1"/>
  <c r="V304" i="1"/>
  <c r="V412" i="1"/>
  <c r="V411" i="1"/>
  <c r="V410" i="1"/>
  <c r="V409" i="1"/>
  <c r="V408" i="1"/>
  <c r="V407" i="1"/>
  <c r="V406" i="1"/>
  <c r="V405" i="1"/>
  <c r="V404" i="1"/>
  <c r="V403" i="1"/>
  <c r="V402" i="1"/>
  <c r="V401" i="1"/>
  <c r="V400" i="1"/>
  <c r="V399" i="1"/>
  <c r="V398" i="1"/>
  <c r="V397" i="1"/>
  <c r="V396" i="1"/>
  <c r="V395" i="1"/>
  <c r="V394" i="1"/>
  <c r="V393" i="1"/>
  <c r="V392" i="1"/>
  <c r="V391" i="1"/>
  <c r="V390" i="1"/>
  <c r="V389" i="1"/>
  <c r="V388" i="1"/>
  <c r="V387" i="1"/>
  <c r="V386" i="1"/>
  <c r="V385" i="1"/>
  <c r="V384" i="1"/>
  <c r="V383" i="1"/>
  <c r="V382" i="1"/>
  <c r="V381" i="1"/>
  <c r="V380" i="1"/>
  <c r="V379" i="1"/>
  <c r="V378" i="1"/>
  <c r="V377" i="1"/>
  <c r="V376" i="1"/>
  <c r="V375" i="1"/>
  <c r="V374" i="1"/>
  <c r="V373" i="1"/>
  <c r="V372" i="1"/>
  <c r="V371" i="1"/>
  <c r="V370" i="1"/>
  <c r="V369" i="1"/>
  <c r="V368" i="1"/>
  <c r="V367" i="1"/>
  <c r="V366" i="1"/>
  <c r="V365" i="1"/>
  <c r="V364" i="1"/>
  <c r="V363" i="1"/>
  <c r="V362" i="1"/>
  <c r="V361" i="1"/>
  <c r="V360" i="1"/>
  <c r="V359" i="1"/>
  <c r="V358" i="1"/>
  <c r="V357" i="1"/>
  <c r="V356" i="1"/>
  <c r="V355" i="1"/>
  <c r="V354" i="1"/>
  <c r="V353" i="1"/>
  <c r="V352" i="1"/>
  <c r="V91" i="1"/>
  <c r="V90" i="1"/>
  <c r="V89" i="1"/>
  <c r="V88" i="1"/>
  <c r="V87" i="1"/>
  <c r="V86" i="1"/>
  <c r="V85" i="1"/>
  <c r="V84" i="1"/>
  <c r="V83" i="1"/>
  <c r="V82" i="1"/>
  <c r="V81" i="1"/>
  <c r="V13" i="1"/>
  <c r="V80" i="1"/>
  <c r="V79" i="1"/>
  <c r="V78" i="1"/>
  <c r="V77" i="1"/>
  <c r="V76" i="1"/>
  <c r="V75" i="1"/>
  <c r="V74" i="1"/>
  <c r="V73" i="1"/>
  <c r="V72" i="1"/>
  <c r="V71" i="1"/>
  <c r="V513" i="1"/>
  <c r="V512" i="1"/>
  <c r="V511" i="1"/>
  <c r="V494" i="1"/>
  <c r="V493" i="1"/>
  <c r="V492" i="1"/>
  <c r="V510" i="1"/>
  <c r="V509" i="1"/>
  <c r="V250" i="1"/>
  <c r="V249" i="1"/>
  <c r="V248" i="1"/>
  <c r="V247" i="1"/>
  <c r="V246" i="1"/>
  <c r="V245" i="1"/>
  <c r="V244" i="1"/>
  <c r="V243" i="1"/>
  <c r="V242" i="1"/>
  <c r="V241" i="1"/>
  <c r="V240" i="1"/>
  <c r="V239" i="1"/>
  <c r="V238" i="1"/>
  <c r="V237" i="1"/>
  <c r="V236" i="1"/>
  <c r="V235" i="1"/>
  <c r="V234" i="1"/>
  <c r="V233" i="1"/>
  <c r="V232" i="1"/>
  <c r="V231" i="1"/>
  <c r="V230" i="1"/>
  <c r="V229" i="1"/>
  <c r="V228" i="1"/>
  <c r="V227" i="1"/>
  <c r="V226" i="1"/>
  <c r="V225" i="1"/>
  <c r="V224" i="1"/>
  <c r="V223" i="1"/>
  <c r="V222" i="1"/>
  <c r="V221" i="1"/>
  <c r="V220" i="1"/>
  <c r="V219" i="1"/>
  <c r="V218" i="1"/>
  <c r="V217" i="1"/>
  <c r="V216" i="1"/>
  <c r="V215" i="1"/>
  <c r="V214" i="1"/>
  <c r="V213" i="1"/>
  <c r="V212" i="1"/>
  <c r="V211" i="1"/>
  <c r="V210" i="1"/>
  <c r="V209" i="1"/>
  <c r="V208" i="1"/>
  <c r="V207" i="1"/>
  <c r="V206" i="1"/>
  <c r="V205" i="1"/>
  <c r="V204" i="1"/>
  <c r="V203" i="1"/>
  <c r="V202" i="1"/>
  <c r="V201" i="1"/>
  <c r="V200" i="1"/>
  <c r="V199" i="1"/>
  <c r="V198" i="1"/>
  <c r="V197" i="1"/>
  <c r="V196" i="1"/>
  <c r="V195" i="1"/>
  <c r="V194" i="1"/>
  <c r="V525" i="1"/>
  <c r="V499" i="1"/>
  <c r="V498" i="1"/>
  <c r="V534" i="1"/>
  <c r="V453" i="1"/>
  <c r="V533" i="1"/>
  <c r="V70" i="1"/>
  <c r="V521" i="1"/>
  <c r="V497" i="1"/>
  <c r="V496" i="1"/>
  <c r="V524" i="1"/>
  <c r="V452" i="1"/>
  <c r="V532" i="1"/>
  <c r="V69" i="1"/>
  <c r="V68" i="1"/>
  <c r="V67" i="1"/>
  <c r="V66" i="1"/>
  <c r="V65" i="1"/>
  <c r="V64" i="1"/>
  <c r="V63" i="1"/>
  <c r="V62" i="1"/>
  <c r="V451" i="1"/>
  <c r="V61" i="1"/>
  <c r="V450" i="1"/>
  <c r="V449" i="1"/>
  <c r="V448" i="1"/>
  <c r="V447" i="1"/>
  <c r="V60" i="1"/>
  <c r="V59" i="1"/>
  <c r="V58" i="1"/>
  <c r="V57" i="1"/>
  <c r="V56" i="1"/>
  <c r="V446" i="1"/>
  <c r="V55" i="1"/>
  <c r="V445" i="1"/>
  <c r="V54" i="1"/>
  <c r="V53" i="1"/>
  <c r="V444" i="1"/>
  <c r="V443" i="1"/>
  <c r="V52" i="1"/>
  <c r="V51" i="1"/>
  <c r="V12" i="1"/>
  <c r="V96" i="1"/>
  <c r="V95" i="1"/>
  <c r="V94" i="1"/>
  <c r="V93" i="1"/>
  <c r="V92" i="1"/>
  <c r="V464" i="1"/>
  <c r="V463" i="1"/>
  <c r="V462" i="1"/>
  <c r="V461" i="1"/>
  <c r="V460" i="1"/>
  <c r="V459" i="1"/>
  <c r="V458" i="1"/>
  <c r="V457" i="1"/>
  <c r="V456" i="1"/>
  <c r="V455" i="1"/>
  <c r="V454" i="1"/>
  <c r="V487" i="1"/>
  <c r="V486" i="1"/>
  <c r="V485" i="1"/>
  <c r="V484" i="1"/>
  <c r="V483" i="1"/>
  <c r="V482" i="1"/>
  <c r="V481" i="1"/>
  <c r="V480" i="1"/>
  <c r="V479" i="1"/>
  <c r="V478" i="1"/>
  <c r="V477" i="1"/>
  <c r="V476" i="1"/>
  <c r="V475" i="1"/>
  <c r="V474" i="1"/>
  <c r="V473" i="1"/>
  <c r="V472" i="1"/>
  <c r="V471" i="1"/>
  <c r="V470" i="1"/>
  <c r="V469" i="1"/>
  <c r="V468" i="1"/>
  <c r="V467" i="1"/>
  <c r="V466" i="1"/>
  <c r="V465" i="1"/>
  <c r="V442" i="1"/>
  <c r="V441" i="1"/>
  <c r="V440" i="1"/>
  <c r="V439" i="1"/>
  <c r="V438" i="1"/>
  <c r="V437" i="1"/>
  <c r="V436" i="1"/>
  <c r="V435" i="1"/>
  <c r="V434" i="1"/>
  <c r="V433" i="1"/>
  <c r="V432" i="1"/>
  <c r="V431" i="1"/>
  <c r="V430" i="1"/>
  <c r="V429" i="1"/>
  <c r="V21" i="1"/>
  <c r="V428" i="1"/>
  <c r="V427" i="1"/>
  <c r="V426" i="1"/>
  <c r="V425" i="1"/>
  <c r="V424" i="1"/>
  <c r="V423" i="1"/>
  <c r="V422" i="1"/>
  <c r="V421" i="1"/>
  <c r="V420" i="1"/>
  <c r="V419" i="1"/>
  <c r="V418" i="1"/>
  <c r="V417" i="1"/>
  <c r="V416" i="1"/>
  <c r="V415" i="1"/>
  <c r="V414" i="1"/>
  <c r="V413" i="1"/>
  <c r="V520"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0" i="1"/>
  <c r="U261" i="1"/>
  <c r="U260" i="1"/>
  <c r="U259" i="1"/>
  <c r="U258" i="1"/>
  <c r="U257" i="1"/>
  <c r="U256" i="1"/>
  <c r="U255" i="1"/>
  <c r="U254" i="1"/>
  <c r="U253" i="1"/>
  <c r="U252" i="1"/>
  <c r="U251" i="1"/>
  <c r="U517" i="1"/>
  <c r="U516" i="1"/>
  <c r="U515" i="1"/>
  <c r="U514" i="1"/>
  <c r="U495"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9" i="1"/>
  <c r="U120" i="1"/>
  <c r="U119" i="1"/>
  <c r="U118" i="1"/>
  <c r="U18" i="1"/>
  <c r="U117" i="1"/>
  <c r="U17" i="1"/>
  <c r="U16" i="1"/>
  <c r="U116" i="1"/>
  <c r="U115" i="1"/>
  <c r="U114" i="1"/>
  <c r="U113" i="1"/>
  <c r="U112" i="1"/>
  <c r="U111" i="1"/>
  <c r="U110" i="1"/>
  <c r="U109" i="1"/>
  <c r="U108" i="1"/>
  <c r="U107" i="1"/>
  <c r="U15" i="1"/>
  <c r="U14" i="1"/>
  <c r="U106" i="1"/>
  <c r="U105" i="1"/>
  <c r="U104" i="1"/>
  <c r="U103" i="1"/>
  <c r="U102" i="1"/>
  <c r="U101" i="1"/>
  <c r="U100" i="1"/>
  <c r="U22" i="1"/>
  <c r="U541" i="1"/>
  <c r="U99" i="1"/>
  <c r="U98" i="1"/>
  <c r="U540" i="1"/>
  <c r="U539" i="1"/>
  <c r="U538" i="1"/>
  <c r="U537" i="1"/>
  <c r="U536" i="1"/>
  <c r="U508" i="1"/>
  <c r="U507" i="1"/>
  <c r="U506" i="1"/>
  <c r="U505" i="1"/>
  <c r="U504" i="1"/>
  <c r="U535" i="1"/>
  <c r="U503" i="1"/>
  <c r="U522" i="1"/>
  <c r="U502" i="1"/>
  <c r="U526" i="1"/>
  <c r="U501" i="1"/>
  <c r="U491" i="1"/>
  <c r="U490" i="1"/>
  <c r="U500" i="1"/>
  <c r="U489" i="1"/>
  <c r="U97" i="1"/>
  <c r="U488"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531" i="1"/>
  <c r="U530" i="1"/>
  <c r="U529" i="1"/>
  <c r="U523" i="1"/>
  <c r="U528" i="1"/>
  <c r="U527" i="1"/>
  <c r="U305" i="1"/>
  <c r="U519" i="1"/>
  <c r="U518" i="1"/>
  <c r="U304"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91" i="1"/>
  <c r="U90" i="1"/>
  <c r="U89" i="1"/>
  <c r="U88" i="1"/>
  <c r="U87" i="1"/>
  <c r="U86" i="1"/>
  <c r="U85" i="1"/>
  <c r="U84" i="1"/>
  <c r="U83" i="1"/>
  <c r="U82" i="1"/>
  <c r="U81" i="1"/>
  <c r="U13" i="1"/>
  <c r="U80" i="1"/>
  <c r="U79" i="1"/>
  <c r="U78" i="1"/>
  <c r="U77" i="1"/>
  <c r="U76" i="1"/>
  <c r="U75" i="1"/>
  <c r="U74" i="1"/>
  <c r="U73" i="1"/>
  <c r="U72" i="1"/>
  <c r="U71" i="1"/>
  <c r="U513" i="1"/>
  <c r="U512" i="1"/>
  <c r="U511" i="1"/>
  <c r="U494" i="1"/>
  <c r="U493" i="1"/>
  <c r="U492" i="1"/>
  <c r="U510" i="1"/>
  <c r="U509"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525" i="1"/>
  <c r="U499" i="1"/>
  <c r="U498" i="1"/>
  <c r="U534" i="1"/>
  <c r="U453" i="1"/>
  <c r="U533" i="1"/>
  <c r="U70" i="1"/>
  <c r="U521" i="1"/>
  <c r="U497" i="1"/>
  <c r="U496" i="1"/>
  <c r="U524" i="1"/>
  <c r="U452" i="1"/>
  <c r="U532" i="1"/>
  <c r="U69" i="1"/>
  <c r="U68" i="1"/>
  <c r="U67" i="1"/>
  <c r="U66" i="1"/>
  <c r="U65" i="1"/>
  <c r="U64" i="1"/>
  <c r="U63" i="1"/>
  <c r="U62" i="1"/>
  <c r="U451" i="1"/>
  <c r="U61" i="1"/>
  <c r="U450" i="1"/>
  <c r="U449" i="1"/>
  <c r="U448" i="1"/>
  <c r="U447" i="1"/>
  <c r="U60" i="1"/>
  <c r="U59" i="1"/>
  <c r="U58" i="1"/>
  <c r="U57" i="1"/>
  <c r="U56" i="1"/>
  <c r="U446" i="1"/>
  <c r="U55" i="1"/>
  <c r="U445" i="1"/>
  <c r="U54" i="1"/>
  <c r="U53" i="1"/>
  <c r="U444" i="1"/>
  <c r="U443" i="1"/>
  <c r="U52" i="1"/>
  <c r="U51" i="1"/>
  <c r="U12" i="1"/>
  <c r="U96" i="1"/>
  <c r="U95" i="1"/>
  <c r="U94" i="1"/>
  <c r="U93" i="1"/>
  <c r="U92" i="1"/>
  <c r="U464" i="1"/>
  <c r="U463" i="1"/>
  <c r="U462" i="1"/>
  <c r="U461" i="1"/>
  <c r="U460" i="1"/>
  <c r="U459" i="1"/>
  <c r="U458" i="1"/>
  <c r="U457" i="1"/>
  <c r="U456" i="1"/>
  <c r="U455" i="1"/>
  <c r="U454" i="1"/>
  <c r="U487" i="1"/>
  <c r="U486" i="1"/>
  <c r="U485" i="1"/>
  <c r="U484" i="1"/>
  <c r="U483" i="1"/>
  <c r="U482" i="1"/>
  <c r="U481" i="1"/>
  <c r="U480" i="1"/>
  <c r="U479" i="1"/>
  <c r="U478" i="1"/>
  <c r="U477" i="1"/>
  <c r="U476" i="1"/>
  <c r="U475" i="1"/>
  <c r="U474" i="1"/>
  <c r="U473" i="1"/>
  <c r="U472" i="1"/>
  <c r="U471" i="1"/>
  <c r="U470" i="1"/>
  <c r="U469" i="1"/>
  <c r="U468" i="1"/>
  <c r="U467" i="1"/>
  <c r="U466" i="1"/>
  <c r="U465" i="1"/>
  <c r="U442" i="1"/>
  <c r="U441" i="1"/>
  <c r="U440" i="1"/>
  <c r="U439" i="1"/>
  <c r="U438" i="1"/>
  <c r="U437" i="1"/>
  <c r="U436" i="1"/>
  <c r="U435" i="1"/>
  <c r="U434" i="1"/>
  <c r="U433" i="1"/>
  <c r="U432" i="1"/>
  <c r="U431" i="1"/>
  <c r="U430" i="1"/>
  <c r="U429" i="1"/>
  <c r="U21" i="1"/>
  <c r="U428" i="1"/>
  <c r="U427" i="1"/>
  <c r="U426" i="1"/>
  <c r="U425" i="1"/>
  <c r="U424" i="1"/>
  <c r="U423" i="1"/>
  <c r="U422" i="1"/>
  <c r="U421" i="1"/>
  <c r="U420" i="1"/>
  <c r="U419" i="1"/>
  <c r="U418" i="1"/>
  <c r="U417" i="1"/>
  <c r="U416" i="1"/>
  <c r="U415" i="1"/>
  <c r="U414" i="1"/>
  <c r="U413" i="1"/>
  <c r="U520" i="1"/>
  <c r="T303"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0" i="1"/>
  <c r="T261" i="1"/>
  <c r="T260" i="1"/>
  <c r="T259" i="1"/>
  <c r="T258" i="1"/>
  <c r="T257" i="1"/>
  <c r="T256" i="1"/>
  <c r="T255" i="1"/>
  <c r="T254" i="1"/>
  <c r="T253" i="1"/>
  <c r="T252" i="1"/>
  <c r="T251" i="1"/>
  <c r="T517" i="1"/>
  <c r="T516" i="1"/>
  <c r="T515" i="1"/>
  <c r="T514" i="1"/>
  <c r="T495"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9" i="1"/>
  <c r="T120" i="1"/>
  <c r="T119" i="1"/>
  <c r="T118" i="1"/>
  <c r="T18" i="1"/>
  <c r="T117" i="1"/>
  <c r="T17" i="1"/>
  <c r="T16" i="1"/>
  <c r="T116" i="1"/>
  <c r="T115" i="1"/>
  <c r="T114" i="1"/>
  <c r="T113" i="1"/>
  <c r="T112" i="1"/>
  <c r="T111" i="1"/>
  <c r="T110" i="1"/>
  <c r="T109" i="1"/>
  <c r="T108" i="1"/>
  <c r="T107" i="1"/>
  <c r="T15" i="1"/>
  <c r="T14" i="1"/>
  <c r="T106" i="1"/>
  <c r="T105" i="1"/>
  <c r="T104" i="1"/>
  <c r="T103" i="1"/>
  <c r="T102" i="1"/>
  <c r="T101" i="1"/>
  <c r="T100" i="1"/>
  <c r="T22" i="1"/>
  <c r="T541" i="1"/>
  <c r="T99" i="1"/>
  <c r="T98" i="1"/>
  <c r="T540" i="1"/>
  <c r="T539" i="1"/>
  <c r="T538" i="1"/>
  <c r="T537" i="1"/>
  <c r="T536" i="1"/>
  <c r="T508" i="1"/>
  <c r="T507" i="1"/>
  <c r="T506" i="1"/>
  <c r="T505" i="1"/>
  <c r="T504" i="1"/>
  <c r="T535" i="1"/>
  <c r="T503" i="1"/>
  <c r="T522" i="1"/>
  <c r="T502" i="1"/>
  <c r="T526" i="1"/>
  <c r="T501" i="1"/>
  <c r="T491" i="1"/>
  <c r="T490" i="1"/>
  <c r="T500" i="1"/>
  <c r="T489" i="1"/>
  <c r="T97" i="1"/>
  <c r="T488"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321" i="1"/>
  <c r="T320" i="1"/>
  <c r="T319" i="1"/>
  <c r="T318" i="1"/>
  <c r="T317" i="1"/>
  <c r="T316" i="1"/>
  <c r="T315" i="1"/>
  <c r="T314" i="1"/>
  <c r="T313" i="1"/>
  <c r="T312" i="1"/>
  <c r="T311" i="1"/>
  <c r="T310" i="1"/>
  <c r="T309" i="1"/>
  <c r="T308" i="1"/>
  <c r="T307" i="1"/>
  <c r="T306" i="1"/>
  <c r="T531" i="1"/>
  <c r="T530" i="1"/>
  <c r="T529" i="1"/>
  <c r="T523" i="1"/>
  <c r="T528" i="1"/>
  <c r="T527" i="1"/>
  <c r="T305" i="1"/>
  <c r="T519" i="1"/>
  <c r="T518" i="1"/>
  <c r="T304" i="1"/>
  <c r="T412" i="1"/>
  <c r="T411" i="1"/>
  <c r="T410"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91" i="1"/>
  <c r="T90" i="1"/>
  <c r="T89" i="1"/>
  <c r="T88" i="1"/>
  <c r="T87" i="1"/>
  <c r="T86" i="1"/>
  <c r="T85" i="1"/>
  <c r="T84" i="1"/>
  <c r="T83" i="1"/>
  <c r="T82" i="1"/>
  <c r="T81" i="1"/>
  <c r="T13" i="1"/>
  <c r="T80" i="1"/>
  <c r="T79" i="1"/>
  <c r="T78" i="1"/>
  <c r="T77" i="1"/>
  <c r="T76" i="1"/>
  <c r="T75" i="1"/>
  <c r="T74" i="1"/>
  <c r="T73" i="1"/>
  <c r="T72" i="1"/>
  <c r="T71" i="1"/>
  <c r="T513" i="1"/>
  <c r="T512" i="1"/>
  <c r="T511" i="1"/>
  <c r="T494" i="1"/>
  <c r="T493" i="1"/>
  <c r="T492" i="1"/>
  <c r="T510" i="1"/>
  <c r="T509"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525" i="1"/>
  <c r="T499" i="1"/>
  <c r="T498" i="1"/>
  <c r="T534" i="1"/>
  <c r="T453" i="1"/>
  <c r="T533" i="1"/>
  <c r="T70" i="1"/>
  <c r="T521" i="1"/>
  <c r="T497" i="1"/>
  <c r="T496" i="1"/>
  <c r="T524" i="1"/>
  <c r="T452" i="1"/>
  <c r="T532" i="1"/>
  <c r="T69" i="1"/>
  <c r="T68" i="1"/>
  <c r="T67" i="1"/>
  <c r="T66" i="1"/>
  <c r="T65" i="1"/>
  <c r="T64" i="1"/>
  <c r="T63" i="1"/>
  <c r="T62" i="1"/>
  <c r="T451" i="1"/>
  <c r="T61" i="1"/>
  <c r="T450" i="1"/>
  <c r="T449" i="1"/>
  <c r="T448" i="1"/>
  <c r="T447" i="1"/>
  <c r="T60" i="1"/>
  <c r="T59" i="1"/>
  <c r="T58" i="1"/>
  <c r="T57" i="1"/>
  <c r="T56" i="1"/>
  <c r="T446" i="1"/>
  <c r="T55" i="1"/>
  <c r="T445" i="1"/>
  <c r="T54" i="1"/>
  <c r="T53" i="1"/>
  <c r="T444" i="1"/>
  <c r="T443" i="1"/>
  <c r="T52" i="1"/>
  <c r="T51" i="1"/>
  <c r="T12" i="1"/>
  <c r="T96" i="1"/>
  <c r="T95" i="1"/>
  <c r="T94" i="1"/>
  <c r="T93" i="1"/>
  <c r="T92" i="1"/>
  <c r="T464" i="1"/>
  <c r="T463" i="1"/>
  <c r="T462" i="1"/>
  <c r="T461" i="1"/>
  <c r="T460" i="1"/>
  <c r="T459" i="1"/>
  <c r="T458" i="1"/>
  <c r="T457" i="1"/>
  <c r="T456" i="1"/>
  <c r="T455" i="1"/>
  <c r="T454" i="1"/>
  <c r="T487" i="1"/>
  <c r="T486" i="1"/>
  <c r="T485" i="1"/>
  <c r="T484" i="1"/>
  <c r="T483" i="1"/>
  <c r="T482" i="1"/>
  <c r="T481" i="1"/>
  <c r="T480" i="1"/>
  <c r="T479" i="1"/>
  <c r="T478" i="1"/>
  <c r="T477" i="1"/>
  <c r="T476" i="1"/>
  <c r="T475" i="1"/>
  <c r="T474" i="1"/>
  <c r="T473" i="1"/>
  <c r="T472" i="1"/>
  <c r="T471" i="1"/>
  <c r="T470" i="1"/>
  <c r="T469" i="1"/>
  <c r="T468" i="1"/>
  <c r="T467" i="1"/>
  <c r="T466" i="1"/>
  <c r="T465" i="1"/>
  <c r="T442" i="1"/>
  <c r="T441" i="1"/>
  <c r="T440" i="1"/>
  <c r="T439" i="1"/>
  <c r="T438" i="1"/>
  <c r="T437" i="1"/>
  <c r="T436" i="1"/>
  <c r="T435" i="1"/>
  <c r="T434" i="1"/>
  <c r="T433" i="1"/>
  <c r="T432" i="1"/>
  <c r="T431" i="1"/>
  <c r="T430" i="1"/>
  <c r="T429" i="1"/>
  <c r="T21" i="1"/>
  <c r="T428" i="1"/>
  <c r="T427" i="1"/>
  <c r="T426" i="1"/>
  <c r="T425" i="1"/>
  <c r="T424" i="1"/>
  <c r="T423" i="1"/>
  <c r="T422" i="1"/>
  <c r="T421" i="1"/>
  <c r="T420" i="1"/>
  <c r="T419" i="1"/>
  <c r="T418" i="1"/>
  <c r="T417" i="1"/>
  <c r="T416" i="1"/>
  <c r="T415" i="1"/>
  <c r="T414" i="1"/>
  <c r="T413" i="1"/>
  <c r="S303" i="1"/>
  <c r="S302" i="1"/>
  <c r="S301" i="1"/>
  <c r="S300" i="1"/>
  <c r="S299" i="1"/>
  <c r="S298" i="1"/>
  <c r="S297" i="1"/>
  <c r="S296" i="1"/>
  <c r="S295" i="1"/>
  <c r="S294" i="1"/>
  <c r="S293" i="1"/>
  <c r="S292" i="1"/>
  <c r="S291" i="1"/>
  <c r="S290" i="1"/>
  <c r="S289" i="1"/>
  <c r="S288" i="1"/>
  <c r="S287" i="1"/>
  <c r="S286" i="1"/>
  <c r="S285" i="1"/>
  <c r="S284" i="1"/>
  <c r="S283" i="1"/>
  <c r="S282" i="1"/>
  <c r="S281" i="1"/>
  <c r="S280" i="1"/>
  <c r="S279" i="1"/>
  <c r="S278" i="1"/>
  <c r="S277" i="1"/>
  <c r="S276" i="1"/>
  <c r="S275" i="1"/>
  <c r="S274" i="1"/>
  <c r="S273" i="1"/>
  <c r="S272" i="1"/>
  <c r="S271" i="1"/>
  <c r="S270" i="1"/>
  <c r="S269" i="1"/>
  <c r="S268" i="1"/>
  <c r="S267" i="1"/>
  <c r="S266" i="1"/>
  <c r="S265" i="1"/>
  <c r="S264" i="1"/>
  <c r="S263" i="1"/>
  <c r="S262" i="1"/>
  <c r="S20" i="1"/>
  <c r="S261" i="1"/>
  <c r="S260" i="1"/>
  <c r="S259" i="1"/>
  <c r="S258" i="1"/>
  <c r="S257" i="1"/>
  <c r="S256" i="1"/>
  <c r="S255" i="1"/>
  <c r="S254" i="1"/>
  <c r="S253" i="1"/>
  <c r="S252" i="1"/>
  <c r="S251" i="1"/>
  <c r="S517" i="1"/>
  <c r="S516" i="1"/>
  <c r="S515" i="1"/>
  <c r="S514" i="1"/>
  <c r="S495" i="1"/>
  <c r="S193" i="1"/>
  <c r="S192" i="1"/>
  <c r="S191" i="1"/>
  <c r="S190" i="1"/>
  <c r="S189" i="1"/>
  <c r="S188" i="1"/>
  <c r="S187" i="1"/>
  <c r="S186" i="1"/>
  <c r="S185" i="1"/>
  <c r="S184" i="1"/>
  <c r="S183" i="1"/>
  <c r="S182" i="1"/>
  <c r="S181" i="1"/>
  <c r="S180" i="1"/>
  <c r="S179" i="1"/>
  <c r="S178" i="1"/>
  <c r="S177" i="1"/>
  <c r="S176" i="1"/>
  <c r="S175" i="1"/>
  <c r="S174" i="1"/>
  <c r="S173" i="1"/>
  <c r="S172" i="1"/>
  <c r="S171" i="1"/>
  <c r="S170" i="1"/>
  <c r="S169" i="1"/>
  <c r="S168" i="1"/>
  <c r="S167" i="1"/>
  <c r="S166" i="1"/>
  <c r="S165" i="1"/>
  <c r="S164" i="1"/>
  <c r="S163" i="1"/>
  <c r="S162" i="1"/>
  <c r="S161" i="1"/>
  <c r="S160" i="1"/>
  <c r="S159" i="1"/>
  <c r="S158" i="1"/>
  <c r="S157" i="1"/>
  <c r="S156" i="1"/>
  <c r="S155" i="1"/>
  <c r="S154" i="1"/>
  <c r="S153" i="1"/>
  <c r="S152" i="1"/>
  <c r="S151" i="1"/>
  <c r="S150" i="1"/>
  <c r="S149" i="1"/>
  <c r="S148" i="1"/>
  <c r="S147" i="1"/>
  <c r="S146" i="1"/>
  <c r="S145" i="1"/>
  <c r="S144" i="1"/>
  <c r="S143" i="1"/>
  <c r="S142" i="1"/>
  <c r="S141" i="1"/>
  <c r="S140" i="1"/>
  <c r="S139" i="1"/>
  <c r="S138" i="1"/>
  <c r="S137" i="1"/>
  <c r="S136" i="1"/>
  <c r="S135" i="1"/>
  <c r="S134" i="1"/>
  <c r="S133" i="1"/>
  <c r="S132" i="1"/>
  <c r="S131" i="1"/>
  <c r="S130" i="1"/>
  <c r="S129" i="1"/>
  <c r="S128" i="1"/>
  <c r="S127" i="1"/>
  <c r="S126" i="1"/>
  <c r="S125" i="1"/>
  <c r="S124" i="1"/>
  <c r="S123" i="1"/>
  <c r="S122" i="1"/>
  <c r="S121" i="1"/>
  <c r="S19" i="1"/>
  <c r="S120" i="1"/>
  <c r="S119" i="1"/>
  <c r="S118" i="1"/>
  <c r="S18" i="1"/>
  <c r="S117" i="1"/>
  <c r="S17" i="1"/>
  <c r="S16" i="1"/>
  <c r="S116" i="1"/>
  <c r="S115" i="1"/>
  <c r="S114" i="1"/>
  <c r="S113" i="1"/>
  <c r="S112" i="1"/>
  <c r="S111" i="1"/>
  <c r="S110" i="1"/>
  <c r="S109" i="1"/>
  <c r="S108" i="1"/>
  <c r="S107" i="1"/>
  <c r="S15" i="1"/>
  <c r="S14" i="1"/>
  <c r="S106" i="1"/>
  <c r="S105" i="1"/>
  <c r="S104" i="1"/>
  <c r="S103" i="1"/>
  <c r="S102" i="1"/>
  <c r="S101" i="1"/>
  <c r="S100" i="1"/>
  <c r="S22" i="1"/>
  <c r="S541" i="1"/>
  <c r="S99" i="1"/>
  <c r="S98" i="1"/>
  <c r="S540" i="1"/>
  <c r="S539" i="1"/>
  <c r="S538" i="1"/>
  <c r="S537" i="1"/>
  <c r="S536" i="1"/>
  <c r="S508" i="1"/>
  <c r="S507" i="1"/>
  <c r="S506" i="1"/>
  <c r="S505" i="1"/>
  <c r="S504" i="1"/>
  <c r="S535" i="1"/>
  <c r="S503" i="1"/>
  <c r="S522" i="1"/>
  <c r="S502" i="1"/>
  <c r="S526" i="1"/>
  <c r="S501" i="1"/>
  <c r="S491" i="1"/>
  <c r="S490" i="1"/>
  <c r="S500" i="1"/>
  <c r="S489" i="1"/>
  <c r="S97" i="1"/>
  <c r="S488" i="1"/>
  <c r="S351" i="1"/>
  <c r="S350" i="1"/>
  <c r="S349" i="1"/>
  <c r="S348" i="1"/>
  <c r="S347" i="1"/>
  <c r="S346" i="1"/>
  <c r="S345" i="1"/>
  <c r="S344" i="1"/>
  <c r="S343" i="1"/>
  <c r="S342" i="1"/>
  <c r="S341" i="1"/>
  <c r="S340" i="1"/>
  <c r="S339" i="1"/>
  <c r="S338" i="1"/>
  <c r="S337" i="1"/>
  <c r="S336" i="1"/>
  <c r="S335" i="1"/>
  <c r="S334" i="1"/>
  <c r="S333" i="1"/>
  <c r="S332" i="1"/>
  <c r="S331" i="1"/>
  <c r="S330" i="1"/>
  <c r="S329" i="1"/>
  <c r="S328" i="1"/>
  <c r="S327" i="1"/>
  <c r="S326" i="1"/>
  <c r="S325" i="1"/>
  <c r="S324" i="1"/>
  <c r="S323" i="1"/>
  <c r="S322" i="1"/>
  <c r="S321" i="1"/>
  <c r="S320" i="1"/>
  <c r="S319" i="1"/>
  <c r="S318" i="1"/>
  <c r="S317" i="1"/>
  <c r="S316" i="1"/>
  <c r="S315" i="1"/>
  <c r="S314" i="1"/>
  <c r="S313" i="1"/>
  <c r="S312" i="1"/>
  <c r="S311" i="1"/>
  <c r="S310" i="1"/>
  <c r="S309" i="1"/>
  <c r="S308" i="1"/>
  <c r="S307" i="1"/>
  <c r="S306" i="1"/>
  <c r="S531" i="1"/>
  <c r="S530" i="1"/>
  <c r="S529" i="1"/>
  <c r="S523" i="1"/>
  <c r="S528" i="1"/>
  <c r="S527" i="1"/>
  <c r="S305" i="1"/>
  <c r="S519" i="1"/>
  <c r="S518" i="1"/>
  <c r="S304" i="1"/>
  <c r="S412" i="1"/>
  <c r="S411" i="1"/>
  <c r="S410" i="1"/>
  <c r="S409" i="1"/>
  <c r="S408" i="1"/>
  <c r="S407" i="1"/>
  <c r="S406" i="1"/>
  <c r="S405" i="1"/>
  <c r="S404" i="1"/>
  <c r="S403" i="1"/>
  <c r="S402" i="1"/>
  <c r="S401" i="1"/>
  <c r="S400" i="1"/>
  <c r="S399" i="1"/>
  <c r="S398" i="1"/>
  <c r="S397" i="1"/>
  <c r="S396" i="1"/>
  <c r="S395" i="1"/>
  <c r="S394" i="1"/>
  <c r="S393" i="1"/>
  <c r="S392" i="1"/>
  <c r="S391" i="1"/>
  <c r="S390" i="1"/>
  <c r="S389" i="1"/>
  <c r="S388" i="1"/>
  <c r="S387" i="1"/>
  <c r="S386" i="1"/>
  <c r="S385" i="1"/>
  <c r="S384" i="1"/>
  <c r="S383" i="1"/>
  <c r="S382" i="1"/>
  <c r="S381" i="1"/>
  <c r="S380" i="1"/>
  <c r="S379" i="1"/>
  <c r="S378" i="1"/>
  <c r="S377" i="1"/>
  <c r="S376" i="1"/>
  <c r="S375" i="1"/>
  <c r="S374" i="1"/>
  <c r="S373" i="1"/>
  <c r="S372" i="1"/>
  <c r="S371" i="1"/>
  <c r="S370" i="1"/>
  <c r="S369" i="1"/>
  <c r="S368" i="1"/>
  <c r="S367" i="1"/>
  <c r="S366" i="1"/>
  <c r="S365" i="1"/>
  <c r="S364" i="1"/>
  <c r="S363" i="1"/>
  <c r="S362" i="1"/>
  <c r="S361" i="1"/>
  <c r="S360" i="1"/>
  <c r="S359" i="1"/>
  <c r="S358" i="1"/>
  <c r="S357" i="1"/>
  <c r="S356" i="1"/>
  <c r="S355" i="1"/>
  <c r="S354" i="1"/>
  <c r="S353" i="1"/>
  <c r="S352" i="1"/>
  <c r="S91" i="1"/>
  <c r="S90" i="1"/>
  <c r="S89" i="1"/>
  <c r="S88" i="1"/>
  <c r="S87" i="1"/>
  <c r="S86" i="1"/>
  <c r="S85" i="1"/>
  <c r="S84" i="1"/>
  <c r="S83" i="1"/>
  <c r="S82" i="1"/>
  <c r="S81" i="1"/>
  <c r="S13" i="1"/>
  <c r="S80" i="1"/>
  <c r="S79" i="1"/>
  <c r="S78" i="1"/>
  <c r="S77" i="1"/>
  <c r="S76" i="1"/>
  <c r="S75" i="1"/>
  <c r="S74" i="1"/>
  <c r="S73" i="1"/>
  <c r="S72" i="1"/>
  <c r="S71" i="1"/>
  <c r="S513" i="1"/>
  <c r="S512" i="1"/>
  <c r="S511" i="1"/>
  <c r="S494" i="1"/>
  <c r="S493" i="1"/>
  <c r="S492" i="1"/>
  <c r="S510" i="1"/>
  <c r="S509" i="1"/>
  <c r="S250" i="1"/>
  <c r="S249" i="1"/>
  <c r="S248" i="1"/>
  <c r="S247" i="1"/>
  <c r="S246" i="1"/>
  <c r="S245" i="1"/>
  <c r="S244" i="1"/>
  <c r="S243" i="1"/>
  <c r="S242" i="1"/>
  <c r="S241" i="1"/>
  <c r="S240" i="1"/>
  <c r="S239" i="1"/>
  <c r="S238" i="1"/>
  <c r="S237" i="1"/>
  <c r="S236" i="1"/>
  <c r="S235" i="1"/>
  <c r="S234" i="1"/>
  <c r="S233" i="1"/>
  <c r="S232" i="1"/>
  <c r="S231" i="1"/>
  <c r="S230" i="1"/>
  <c r="S229" i="1"/>
  <c r="S228" i="1"/>
  <c r="S227" i="1"/>
  <c r="S226" i="1"/>
  <c r="S225" i="1"/>
  <c r="S224" i="1"/>
  <c r="S223" i="1"/>
  <c r="S222" i="1"/>
  <c r="S221" i="1"/>
  <c r="S220" i="1"/>
  <c r="S219" i="1"/>
  <c r="S218" i="1"/>
  <c r="S217" i="1"/>
  <c r="S216" i="1"/>
  <c r="S215" i="1"/>
  <c r="S214" i="1"/>
  <c r="S213" i="1"/>
  <c r="S212" i="1"/>
  <c r="S211" i="1"/>
  <c r="S210" i="1"/>
  <c r="S209" i="1"/>
  <c r="S208" i="1"/>
  <c r="S207" i="1"/>
  <c r="S206" i="1"/>
  <c r="S205" i="1"/>
  <c r="S204" i="1"/>
  <c r="S203" i="1"/>
  <c r="S202" i="1"/>
  <c r="S201" i="1"/>
  <c r="S200" i="1"/>
  <c r="S199" i="1"/>
  <c r="S198" i="1"/>
  <c r="S197" i="1"/>
  <c r="S196" i="1"/>
  <c r="S195" i="1"/>
  <c r="S194" i="1"/>
  <c r="S525" i="1"/>
  <c r="S499" i="1"/>
  <c r="S498" i="1"/>
  <c r="S534" i="1"/>
  <c r="S453" i="1"/>
  <c r="S533" i="1"/>
  <c r="S70" i="1"/>
  <c r="S521" i="1"/>
  <c r="S497" i="1"/>
  <c r="S496" i="1"/>
  <c r="S524" i="1"/>
  <c r="S452" i="1"/>
  <c r="S532" i="1"/>
  <c r="S69" i="1"/>
  <c r="S68" i="1"/>
  <c r="S67" i="1"/>
  <c r="S66" i="1"/>
  <c r="S65" i="1"/>
  <c r="S64" i="1"/>
  <c r="S63" i="1"/>
  <c r="S62" i="1"/>
  <c r="S451" i="1"/>
  <c r="S61" i="1"/>
  <c r="S450" i="1"/>
  <c r="S449" i="1"/>
  <c r="S448" i="1"/>
  <c r="S447" i="1"/>
  <c r="S60" i="1"/>
  <c r="S59" i="1"/>
  <c r="S58" i="1"/>
  <c r="S57" i="1"/>
  <c r="S56" i="1"/>
  <c r="S446" i="1"/>
  <c r="S55" i="1"/>
  <c r="S445" i="1"/>
  <c r="S54" i="1"/>
  <c r="S53" i="1"/>
  <c r="S444" i="1"/>
  <c r="S443" i="1"/>
  <c r="S52" i="1"/>
  <c r="S51" i="1"/>
  <c r="S12" i="1"/>
  <c r="S96" i="1"/>
  <c r="S95" i="1"/>
  <c r="S94" i="1"/>
  <c r="S93" i="1"/>
  <c r="S92" i="1"/>
  <c r="S464" i="1"/>
  <c r="S463" i="1"/>
  <c r="S462" i="1"/>
  <c r="S461" i="1"/>
  <c r="S460" i="1"/>
  <c r="S459" i="1"/>
  <c r="S458" i="1"/>
  <c r="S457" i="1"/>
  <c r="S456" i="1"/>
  <c r="S455" i="1"/>
  <c r="S454" i="1"/>
  <c r="S487" i="1"/>
  <c r="S486" i="1"/>
  <c r="S485" i="1"/>
  <c r="S484" i="1"/>
  <c r="S483" i="1"/>
  <c r="S482" i="1"/>
  <c r="S481" i="1"/>
  <c r="S480" i="1"/>
  <c r="S479" i="1"/>
  <c r="S478" i="1"/>
  <c r="S477" i="1"/>
  <c r="S476" i="1"/>
  <c r="S475" i="1"/>
  <c r="S474" i="1"/>
  <c r="S473" i="1"/>
  <c r="S472" i="1"/>
  <c r="S471" i="1"/>
  <c r="S470" i="1"/>
  <c r="S469" i="1"/>
  <c r="S468" i="1"/>
  <c r="S467" i="1"/>
  <c r="S466" i="1"/>
  <c r="S465" i="1"/>
  <c r="S442" i="1"/>
  <c r="S441" i="1"/>
  <c r="S440" i="1"/>
  <c r="S439" i="1"/>
  <c r="S438" i="1"/>
  <c r="S437" i="1"/>
  <c r="S436" i="1"/>
  <c r="S435" i="1"/>
  <c r="S434" i="1"/>
  <c r="S433" i="1"/>
  <c r="S432" i="1"/>
  <c r="S431" i="1"/>
  <c r="S430" i="1"/>
  <c r="S429" i="1"/>
  <c r="S21" i="1"/>
  <c r="S428" i="1"/>
  <c r="S427" i="1"/>
  <c r="S426" i="1"/>
  <c r="S425" i="1"/>
  <c r="S424" i="1"/>
  <c r="S423" i="1"/>
  <c r="S422" i="1"/>
  <c r="S421" i="1"/>
  <c r="S420" i="1"/>
  <c r="S419" i="1"/>
  <c r="S418" i="1"/>
  <c r="S417" i="1"/>
  <c r="S416" i="1"/>
  <c r="S415" i="1"/>
  <c r="S414" i="1"/>
  <c r="S413" i="1"/>
  <c r="S520" i="1"/>
  <c r="T520" i="1"/>
  <c r="W520" i="1"/>
  <c r="AB520" i="1"/>
  <c r="AC520"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D37" i="6"/>
  <c r="G86" i="2"/>
  <c r="G76" i="2"/>
  <c r="G70" i="2"/>
  <c r="G51" i="2"/>
  <c r="G45" i="2"/>
  <c r="G32" i="2"/>
  <c r="AD596" i="1" l="1"/>
  <c r="AF596" i="1" s="1"/>
  <c r="AD575" i="1"/>
  <c r="AF575" i="1" s="1"/>
  <c r="AD600" i="1"/>
  <c r="AF600" i="1" s="1"/>
  <c r="AI651" i="1"/>
  <c r="AI32" i="1"/>
  <c r="AD651" i="1"/>
  <c r="AF651" i="1" s="1"/>
  <c r="AI31" i="1"/>
  <c r="AE651" i="1"/>
  <c r="AD32" i="1"/>
  <c r="AF32" i="1" s="1"/>
  <c r="AD31" i="1"/>
  <c r="AF31" i="1" s="1"/>
  <c r="AE31" i="1"/>
  <c r="AE32" i="1"/>
  <c r="AD579" i="1"/>
  <c r="AF579" i="1" s="1"/>
  <c r="AD610" i="1"/>
  <c r="AF610" i="1" s="1"/>
  <c r="AD53" i="1"/>
  <c r="AF53" i="1" s="1"/>
  <c r="AD143" i="1"/>
  <c r="AF143" i="1" s="1"/>
  <c r="AD151" i="1"/>
  <c r="AF151" i="1" s="1"/>
  <c r="AD290" i="1"/>
  <c r="AF290" i="1" s="1"/>
  <c r="AE600" i="1"/>
  <c r="AE595" i="1"/>
  <c r="AD392" i="1"/>
  <c r="AF392" i="1" s="1"/>
  <c r="AD549" i="1"/>
  <c r="AF549" i="1" s="1"/>
  <c r="AD365" i="1"/>
  <c r="AF365" i="1" s="1"/>
  <c r="Q5" i="1"/>
  <c r="W5" i="1" s="1"/>
  <c r="AI23" i="1"/>
  <c r="AI568" i="1"/>
  <c r="AI606" i="1"/>
  <c r="AE611" i="1"/>
  <c r="AI612" i="1"/>
  <c r="AD30" i="1"/>
  <c r="AF30" i="1" s="1"/>
  <c r="AD644" i="1"/>
  <c r="AF644" i="1" s="1"/>
  <c r="AD408" i="1"/>
  <c r="AF408" i="1" s="1"/>
  <c r="AD305" i="1"/>
  <c r="AF305" i="1" s="1"/>
  <c r="AD307" i="1"/>
  <c r="AF307" i="1" s="1"/>
  <c r="AD347" i="1"/>
  <c r="AF347" i="1" s="1"/>
  <c r="AD535" i="1"/>
  <c r="AF535" i="1" s="1"/>
  <c r="AD538" i="1"/>
  <c r="AF538" i="1" s="1"/>
  <c r="AD566" i="1"/>
  <c r="AF566" i="1" s="1"/>
  <c r="AD355" i="1"/>
  <c r="AF355" i="1" s="1"/>
  <c r="AD15" i="1"/>
  <c r="AF15" i="1" s="1"/>
  <c r="AD126" i="1"/>
  <c r="AF126" i="1" s="1"/>
  <c r="AD134" i="1"/>
  <c r="AF134" i="1" s="1"/>
  <c r="AD142" i="1"/>
  <c r="AF142" i="1" s="1"/>
  <c r="AD150" i="1"/>
  <c r="AF150" i="1" s="1"/>
  <c r="AD116" i="1"/>
  <c r="AF116" i="1" s="1"/>
  <c r="AD291" i="1"/>
  <c r="AF291" i="1" s="1"/>
  <c r="AD111" i="1"/>
  <c r="AF111" i="1" s="1"/>
  <c r="AD179" i="1"/>
  <c r="AF179" i="1" s="1"/>
  <c r="AD118" i="1"/>
  <c r="AF118" i="1" s="1"/>
  <c r="AD133" i="1"/>
  <c r="AF133" i="1" s="1"/>
  <c r="AD257" i="1"/>
  <c r="AF257" i="1" s="1"/>
  <c r="AD280" i="1"/>
  <c r="AF280" i="1" s="1"/>
  <c r="AD299" i="1"/>
  <c r="AF299" i="1" s="1"/>
  <c r="AD519" i="1"/>
  <c r="AF519" i="1" s="1"/>
  <c r="AD322" i="1"/>
  <c r="AF322" i="1" s="1"/>
  <c r="AD489" i="1"/>
  <c r="AF489" i="1" s="1"/>
  <c r="AD297" i="1"/>
  <c r="AF297" i="1" s="1"/>
  <c r="AI603" i="1"/>
  <c r="AE606" i="1"/>
  <c r="AD633" i="1"/>
  <c r="AF633" i="1" s="1"/>
  <c r="AD16" i="1"/>
  <c r="AF16" i="1" s="1"/>
  <c r="AD162" i="1"/>
  <c r="AF162" i="1" s="1"/>
  <c r="AD178" i="1"/>
  <c r="AF178" i="1" s="1"/>
  <c r="AD495" i="1"/>
  <c r="AF495" i="1" s="1"/>
  <c r="AD254" i="1"/>
  <c r="AF254" i="1" s="1"/>
  <c r="AD269" i="1"/>
  <c r="AF269" i="1" s="1"/>
  <c r="AD277" i="1"/>
  <c r="AF277" i="1" s="1"/>
  <c r="AD285" i="1"/>
  <c r="AF285" i="1" s="1"/>
  <c r="AD112" i="1"/>
  <c r="AF112" i="1" s="1"/>
  <c r="AD156" i="1"/>
  <c r="AF156" i="1" s="1"/>
  <c r="AD164" i="1"/>
  <c r="AF164" i="1" s="1"/>
  <c r="AD172" i="1"/>
  <c r="AF172" i="1" s="1"/>
  <c r="AD515" i="1"/>
  <c r="AF515" i="1" s="1"/>
  <c r="AD271" i="1"/>
  <c r="AF271" i="1" s="1"/>
  <c r="AD295" i="1"/>
  <c r="AF295" i="1" s="1"/>
  <c r="AD518" i="1"/>
  <c r="AF518" i="1" s="1"/>
  <c r="AD345" i="1"/>
  <c r="AF345" i="1" s="1"/>
  <c r="AD390" i="1"/>
  <c r="AF390" i="1" s="1"/>
  <c r="AD103" i="1"/>
  <c r="AF103" i="1" s="1"/>
  <c r="AE585" i="1"/>
  <c r="AD476" i="1"/>
  <c r="AF476" i="1" s="1"/>
  <c r="AD564" i="1"/>
  <c r="AF564" i="1" s="1"/>
  <c r="AD506" i="1"/>
  <c r="AF506" i="1" s="1"/>
  <c r="AE28" i="1"/>
  <c r="AE592" i="1"/>
  <c r="AI586" i="1"/>
  <c r="AD332" i="1"/>
  <c r="AF332" i="1" s="1"/>
  <c r="AI28" i="1"/>
  <c r="AD402" i="1"/>
  <c r="AF402" i="1" s="1"/>
  <c r="AI604" i="1"/>
  <c r="AI30" i="1"/>
  <c r="AI558" i="1"/>
  <c r="AI29" i="1"/>
  <c r="AI578" i="1"/>
  <c r="AI598" i="1"/>
  <c r="AD340" i="1"/>
  <c r="AF340" i="1" s="1"/>
  <c r="AD341" i="1"/>
  <c r="AF341" i="1" s="1"/>
  <c r="AD532" i="1"/>
  <c r="AF532" i="1" s="1"/>
  <c r="AD356" i="1"/>
  <c r="AF356" i="1" s="1"/>
  <c r="AD327" i="1"/>
  <c r="AF327" i="1" s="1"/>
  <c r="AD560" i="1"/>
  <c r="AF560" i="1" s="1"/>
  <c r="AD333" i="1"/>
  <c r="AF333" i="1" s="1"/>
  <c r="AE550" i="1"/>
  <c r="AE27" i="1"/>
  <c r="AI601" i="1"/>
  <c r="AD603" i="1"/>
  <c r="AF603" i="1" s="1"/>
  <c r="AD612" i="1"/>
  <c r="AF612" i="1" s="1"/>
  <c r="AE590" i="1"/>
  <c r="AD432" i="1"/>
  <c r="AF432" i="1" s="1"/>
  <c r="AD470" i="1"/>
  <c r="AF470" i="1" s="1"/>
  <c r="AD478" i="1"/>
  <c r="AF478" i="1" s="1"/>
  <c r="AD452" i="1"/>
  <c r="AF452" i="1" s="1"/>
  <c r="AD534" i="1"/>
  <c r="AF534" i="1" s="1"/>
  <c r="AD206" i="1"/>
  <c r="AF206" i="1" s="1"/>
  <c r="AD214" i="1"/>
  <c r="AF214" i="1" s="1"/>
  <c r="AD222" i="1"/>
  <c r="AF222" i="1" s="1"/>
  <c r="AD304" i="1"/>
  <c r="AF304" i="1" s="1"/>
  <c r="AD502" i="1"/>
  <c r="AF502" i="1" s="1"/>
  <c r="AD465" i="1"/>
  <c r="AF465" i="1" s="1"/>
  <c r="AD84" i="1"/>
  <c r="AF84" i="1" s="1"/>
  <c r="AD561" i="1"/>
  <c r="AF561" i="1" s="1"/>
  <c r="AD409" i="1"/>
  <c r="AF409" i="1" s="1"/>
  <c r="AE613" i="1"/>
  <c r="AD98" i="1"/>
  <c r="AF98" i="1" s="1"/>
  <c r="AE598" i="1"/>
  <c r="AE575" i="1"/>
  <c r="AI583" i="1"/>
  <c r="AD487" i="1"/>
  <c r="AF487" i="1" s="1"/>
  <c r="AD90" i="1"/>
  <c r="AF90" i="1" s="1"/>
  <c r="AD218" i="1"/>
  <c r="AF218" i="1" s="1"/>
  <c r="AD513" i="1"/>
  <c r="AF513" i="1" s="1"/>
  <c r="AD78" i="1"/>
  <c r="AF78" i="1" s="1"/>
  <c r="AD325" i="1"/>
  <c r="AF325" i="1" s="1"/>
  <c r="AD491" i="1"/>
  <c r="AF491" i="1" s="1"/>
  <c r="AI550" i="1"/>
  <c r="AI556" i="1"/>
  <c r="AE583" i="1"/>
  <c r="AD443" i="1"/>
  <c r="AF443" i="1" s="1"/>
  <c r="AD70" i="1"/>
  <c r="AF70" i="1" s="1"/>
  <c r="AD211" i="1"/>
  <c r="AF211" i="1" s="1"/>
  <c r="AD219" i="1"/>
  <c r="AF219" i="1" s="1"/>
  <c r="AD101" i="1"/>
  <c r="AF101" i="1" s="1"/>
  <c r="AE545" i="1"/>
  <c r="AD546" i="1"/>
  <c r="AF546" i="1" s="1"/>
  <c r="AE594" i="1"/>
  <c r="AE587" i="1"/>
  <c r="AD611" i="1"/>
  <c r="AF611" i="1" s="1"/>
  <c r="AD578" i="1"/>
  <c r="AF578" i="1" s="1"/>
  <c r="AI346" i="1"/>
  <c r="AI297" i="1"/>
  <c r="AD382" i="1"/>
  <c r="AF382" i="1" s="1"/>
  <c r="AD521" i="1"/>
  <c r="AF521" i="1" s="1"/>
  <c r="AD585" i="1"/>
  <c r="AF585" i="1" s="1"/>
  <c r="AD426" i="1"/>
  <c r="AF426" i="1" s="1"/>
  <c r="AD231" i="1"/>
  <c r="AF231" i="1" s="1"/>
  <c r="AD171" i="1"/>
  <c r="AF171" i="1" s="1"/>
  <c r="AE548" i="1"/>
  <c r="AE581" i="1"/>
  <c r="AD100" i="1"/>
  <c r="AF100" i="1" s="1"/>
  <c r="AI71" i="1"/>
  <c r="AE126" i="1"/>
  <c r="AD67" i="1"/>
  <c r="AF67" i="1" s="1"/>
  <c r="AI579" i="1"/>
  <c r="AE173" i="1"/>
  <c r="AD61" i="1"/>
  <c r="AF61" i="1" s="1"/>
  <c r="AD378" i="1"/>
  <c r="AF378" i="1" s="1"/>
  <c r="AD401" i="1"/>
  <c r="AF401" i="1" s="1"/>
  <c r="AD371" i="1"/>
  <c r="AF371" i="1" s="1"/>
  <c r="AI565" i="1"/>
  <c r="AE29" i="1"/>
  <c r="AE593" i="1"/>
  <c r="AE586" i="1"/>
  <c r="AE578" i="1"/>
  <c r="AI593" i="1"/>
  <c r="AD96" i="1"/>
  <c r="AF96" i="1" s="1"/>
  <c r="AD524" i="1"/>
  <c r="AF524" i="1" s="1"/>
  <c r="AD207" i="1"/>
  <c r="AF207" i="1" s="1"/>
  <c r="AD494" i="1"/>
  <c r="AF494" i="1" s="1"/>
  <c r="AD163" i="1"/>
  <c r="AF163" i="1" s="1"/>
  <c r="AD262" i="1"/>
  <c r="AF262" i="1" s="1"/>
  <c r="AD278" i="1"/>
  <c r="AF278" i="1" s="1"/>
  <c r="AI543" i="1"/>
  <c r="AE562" i="1"/>
  <c r="AD499" i="1"/>
  <c r="AF499" i="1" s="1"/>
  <c r="AE553" i="1"/>
  <c r="AE306" i="1"/>
  <c r="AE100" i="1"/>
  <c r="AI559" i="1"/>
  <c r="AD284" i="1"/>
  <c r="AF284" i="1" s="1"/>
  <c r="AE439" i="1"/>
  <c r="AE213" i="1"/>
  <c r="AE310" i="1"/>
  <c r="AE104" i="1"/>
  <c r="AD435" i="1"/>
  <c r="AF435" i="1" s="1"/>
  <c r="AD449" i="1"/>
  <c r="AF449" i="1" s="1"/>
  <c r="AD525" i="1"/>
  <c r="AF525" i="1" s="1"/>
  <c r="AD77" i="1"/>
  <c r="AF77" i="1" s="1"/>
  <c r="AD376" i="1"/>
  <c r="AF376" i="1" s="1"/>
  <c r="AD399" i="1"/>
  <c r="AF399" i="1" s="1"/>
  <c r="AD264" i="1"/>
  <c r="AF264" i="1" s="1"/>
  <c r="AD474" i="1"/>
  <c r="AF474" i="1" s="1"/>
  <c r="AD369" i="1"/>
  <c r="AF369" i="1" s="1"/>
  <c r="AD384" i="1"/>
  <c r="AF384" i="1" s="1"/>
  <c r="AD127" i="1"/>
  <c r="AF127" i="1" s="1"/>
  <c r="AD166" i="1"/>
  <c r="AF166" i="1" s="1"/>
  <c r="AD588" i="1"/>
  <c r="AF588" i="1" s="1"/>
  <c r="AD385" i="1"/>
  <c r="AF385" i="1" s="1"/>
  <c r="AD26" i="1"/>
  <c r="AF26" i="1" s="1"/>
  <c r="AE217" i="1"/>
  <c r="AE77" i="1"/>
  <c r="AD423" i="1"/>
  <c r="AF423" i="1" s="1"/>
  <c r="AD93" i="1"/>
  <c r="AF93" i="1" s="1"/>
  <c r="AD244" i="1"/>
  <c r="AF244" i="1" s="1"/>
  <c r="AD510" i="1"/>
  <c r="AF510" i="1" s="1"/>
  <c r="AD80" i="1"/>
  <c r="AF80" i="1" s="1"/>
  <c r="AD386" i="1"/>
  <c r="AF386" i="1" s="1"/>
  <c r="AD394" i="1"/>
  <c r="AF394" i="1" s="1"/>
  <c r="AD318" i="1"/>
  <c r="AF318" i="1" s="1"/>
  <c r="AD252" i="1"/>
  <c r="AF252" i="1" s="1"/>
  <c r="AD547" i="1"/>
  <c r="AF547" i="1" s="1"/>
  <c r="AD555" i="1"/>
  <c r="AF555" i="1" s="1"/>
  <c r="AD313" i="1"/>
  <c r="AF313" i="1" s="1"/>
  <c r="AI548" i="1"/>
  <c r="AE342" i="1"/>
  <c r="AE110" i="1"/>
  <c r="AE162" i="1"/>
  <c r="AD446" i="1"/>
  <c r="AF446" i="1" s="1"/>
  <c r="AD209" i="1"/>
  <c r="AF209" i="1" s="1"/>
  <c r="AD377" i="1"/>
  <c r="AF377" i="1" s="1"/>
  <c r="AD107" i="1"/>
  <c r="AF107" i="1" s="1"/>
  <c r="AD144" i="1"/>
  <c r="AF144" i="1" s="1"/>
  <c r="AD152" i="1"/>
  <c r="AF152" i="1" s="1"/>
  <c r="AI139" i="1"/>
  <c r="AD431" i="1"/>
  <c r="AF431" i="1" s="1"/>
  <c r="AD477" i="1"/>
  <c r="AF477" i="1" s="1"/>
  <c r="AD94" i="1"/>
  <c r="AF94" i="1" s="1"/>
  <c r="AD59" i="1"/>
  <c r="AF59" i="1" s="1"/>
  <c r="AD62" i="1"/>
  <c r="AF62" i="1" s="1"/>
  <c r="AD453" i="1"/>
  <c r="AF453" i="1" s="1"/>
  <c r="AD197" i="1"/>
  <c r="AF197" i="1" s="1"/>
  <c r="AD205" i="1"/>
  <c r="AF205" i="1" s="1"/>
  <c r="AD213" i="1"/>
  <c r="AF213" i="1" s="1"/>
  <c r="AD221" i="1"/>
  <c r="AF221" i="1" s="1"/>
  <c r="AD237" i="1"/>
  <c r="AF237" i="1" s="1"/>
  <c r="AD245" i="1"/>
  <c r="AF245" i="1" s="1"/>
  <c r="AD492" i="1"/>
  <c r="AF492" i="1" s="1"/>
  <c r="AD529" i="1"/>
  <c r="AF529" i="1" s="1"/>
  <c r="AD351" i="1"/>
  <c r="AF351" i="1" s="1"/>
  <c r="AD526" i="1"/>
  <c r="AF526" i="1" s="1"/>
  <c r="AD138" i="1"/>
  <c r="AF138" i="1" s="1"/>
  <c r="AD562" i="1"/>
  <c r="AF562" i="1" s="1"/>
  <c r="AE591" i="1"/>
  <c r="AE584" i="1"/>
  <c r="AE576" i="1"/>
  <c r="AI27" i="1"/>
  <c r="AI591" i="1"/>
  <c r="AI584" i="1"/>
  <c r="AI576" i="1"/>
  <c r="AE431" i="1"/>
  <c r="AE221" i="1"/>
  <c r="AE17" i="1"/>
  <c r="AE170" i="1"/>
  <c r="AD428" i="1"/>
  <c r="AF428" i="1" s="1"/>
  <c r="AD201" i="1"/>
  <c r="AF201" i="1" s="1"/>
  <c r="AD383" i="1"/>
  <c r="AF383" i="1" s="1"/>
  <c r="AD516" i="1"/>
  <c r="AF516" i="1" s="1"/>
  <c r="AE560" i="1"/>
  <c r="AI79" i="1"/>
  <c r="AD456" i="1"/>
  <c r="AF456" i="1" s="1"/>
  <c r="AD85" i="1"/>
  <c r="AF85" i="1" s="1"/>
  <c r="AD490" i="1"/>
  <c r="AF490" i="1" s="1"/>
  <c r="AE315" i="1"/>
  <c r="AD187" i="1"/>
  <c r="AF187" i="1" s="1"/>
  <c r="AD302" i="1"/>
  <c r="AF302" i="1" s="1"/>
  <c r="AD434" i="1"/>
  <c r="AF434" i="1" s="1"/>
  <c r="AD442" i="1"/>
  <c r="AF442" i="1" s="1"/>
  <c r="AD55" i="1"/>
  <c r="AF55" i="1" s="1"/>
  <c r="AD232" i="1"/>
  <c r="AF232" i="1" s="1"/>
  <c r="AD76" i="1"/>
  <c r="AF76" i="1" s="1"/>
  <c r="AD301" i="1"/>
  <c r="AF301" i="1" s="1"/>
  <c r="AE23" i="1"/>
  <c r="AE549" i="1"/>
  <c r="AI549" i="1"/>
  <c r="AE563" i="1"/>
  <c r="AI569" i="1"/>
  <c r="AI562" i="1"/>
  <c r="AI555" i="1"/>
  <c r="AI590" i="1"/>
  <c r="AI575" i="1"/>
  <c r="AD586" i="1"/>
  <c r="AF586" i="1" s="1"/>
  <c r="AD379" i="1"/>
  <c r="AF379" i="1" s="1"/>
  <c r="AD136" i="1"/>
  <c r="AF136" i="1" s="1"/>
  <c r="AD393" i="1"/>
  <c r="AF393" i="1" s="1"/>
  <c r="AD504" i="1"/>
  <c r="AF504" i="1" s="1"/>
  <c r="AD539" i="1"/>
  <c r="AF539" i="1" s="1"/>
  <c r="AD190" i="1"/>
  <c r="AF190" i="1" s="1"/>
  <c r="AD517" i="1"/>
  <c r="AF517" i="1" s="1"/>
  <c r="AD258" i="1"/>
  <c r="AF258" i="1" s="1"/>
  <c r="AD265" i="1"/>
  <c r="AF265" i="1" s="1"/>
  <c r="AD251" i="1"/>
  <c r="AF251" i="1" s="1"/>
  <c r="AI547" i="1"/>
  <c r="AE567" i="1"/>
  <c r="AE559" i="1"/>
  <c r="AE557" i="1"/>
  <c r="AI553" i="1"/>
  <c r="AD569" i="1"/>
  <c r="AF569" i="1" s="1"/>
  <c r="AD576" i="1"/>
  <c r="AF576" i="1" s="1"/>
  <c r="AD589" i="1"/>
  <c r="AF589" i="1" s="1"/>
  <c r="AE605" i="1"/>
  <c r="AI609" i="1"/>
  <c r="AI633" i="1"/>
  <c r="AI649" i="1"/>
  <c r="AI431" i="1"/>
  <c r="AI88" i="1"/>
  <c r="AI523" i="1"/>
  <c r="AI178" i="1"/>
  <c r="AD584" i="1"/>
  <c r="AF584" i="1" s="1"/>
  <c r="AD520" i="1"/>
  <c r="AF520" i="1" s="1"/>
  <c r="AI91" i="1"/>
  <c r="AE435" i="1"/>
  <c r="AE473" i="1"/>
  <c r="AE481" i="1"/>
  <c r="AE497" i="1"/>
  <c r="AE209" i="1"/>
  <c r="AE233" i="1"/>
  <c r="AE360" i="1"/>
  <c r="AE383" i="1"/>
  <c r="AE399" i="1"/>
  <c r="AE407" i="1"/>
  <c r="AE519" i="1"/>
  <c r="AE322" i="1"/>
  <c r="AE330" i="1"/>
  <c r="AE150" i="1"/>
  <c r="AE158" i="1"/>
  <c r="AE166" i="1"/>
  <c r="AE281" i="1"/>
  <c r="AE297" i="1"/>
  <c r="AE535" i="1"/>
  <c r="AE538" i="1"/>
  <c r="AE135" i="1"/>
  <c r="AE191" i="1"/>
  <c r="AE259" i="1"/>
  <c r="AD326" i="1"/>
  <c r="AF326" i="1" s="1"/>
  <c r="AD334" i="1"/>
  <c r="AF334" i="1" s="1"/>
  <c r="AD196" i="1"/>
  <c r="AF196" i="1" s="1"/>
  <c r="AD236" i="1"/>
  <c r="AF236" i="1" s="1"/>
  <c r="AD613" i="1"/>
  <c r="AF613" i="1" s="1"/>
  <c r="AI334" i="1"/>
  <c r="AE125" i="1"/>
  <c r="AD319" i="1"/>
  <c r="AF319" i="1" s="1"/>
  <c r="AI572" i="1"/>
  <c r="AD604" i="1"/>
  <c r="AF604" i="1" s="1"/>
  <c r="AE607" i="1"/>
  <c r="AI608" i="1"/>
  <c r="AI245" i="1"/>
  <c r="AI13" i="1"/>
  <c r="AI326" i="1"/>
  <c r="AE113" i="1"/>
  <c r="AD577" i="1"/>
  <c r="AF577" i="1" s="1"/>
  <c r="AD366" i="1"/>
  <c r="AF366" i="1" s="1"/>
  <c r="AD336" i="1"/>
  <c r="AF336" i="1" s="1"/>
  <c r="AD105" i="1"/>
  <c r="AF105" i="1" s="1"/>
  <c r="AD91" i="1"/>
  <c r="AF91" i="1" s="1"/>
  <c r="AD317" i="1"/>
  <c r="AF317" i="1" s="1"/>
  <c r="AD648" i="1"/>
  <c r="AF648" i="1" s="1"/>
  <c r="AD228" i="1"/>
  <c r="AF228" i="1" s="1"/>
  <c r="AI441" i="1"/>
  <c r="AI479" i="1"/>
  <c r="AI461" i="1"/>
  <c r="AI445" i="1"/>
  <c r="AI64" i="1"/>
  <c r="AI498" i="1"/>
  <c r="AI82" i="1"/>
  <c r="AI366" i="1"/>
  <c r="AI488" i="1"/>
  <c r="AI148" i="1"/>
  <c r="AI287" i="1"/>
  <c r="AI418" i="1"/>
  <c r="AI433" i="1"/>
  <c r="AI471" i="1"/>
  <c r="AI487" i="1"/>
  <c r="AI96" i="1"/>
  <c r="AI447" i="1"/>
  <c r="AI524" i="1"/>
  <c r="AI199" i="1"/>
  <c r="AE547" i="1"/>
  <c r="AD528" i="1"/>
  <c r="AF528" i="1" s="1"/>
  <c r="AI491" i="1"/>
  <c r="AI417" i="1"/>
  <c r="AI425" i="1"/>
  <c r="AI432" i="1"/>
  <c r="AI440" i="1"/>
  <c r="AI470" i="1"/>
  <c r="AI478" i="1"/>
  <c r="AI486" i="1"/>
  <c r="AI460" i="1"/>
  <c r="AI95" i="1"/>
  <c r="AI54" i="1"/>
  <c r="AI60" i="1"/>
  <c r="AI63" i="1"/>
  <c r="AI452" i="1"/>
  <c r="AI534" i="1"/>
  <c r="AI198" i="1"/>
  <c r="AI206" i="1"/>
  <c r="AI214" i="1"/>
  <c r="AI222" i="1"/>
  <c r="AI230" i="1"/>
  <c r="AI238" i="1"/>
  <c r="AI246" i="1"/>
  <c r="AI493" i="1"/>
  <c r="AI74" i="1"/>
  <c r="AI81" i="1"/>
  <c r="AI89" i="1"/>
  <c r="AI357" i="1"/>
  <c r="AI365" i="1"/>
  <c r="AI373" i="1"/>
  <c r="AI380" i="1"/>
  <c r="AI388" i="1"/>
  <c r="AI396" i="1"/>
  <c r="AI404" i="1"/>
  <c r="AI412" i="1"/>
  <c r="AI529" i="1"/>
  <c r="AI311" i="1"/>
  <c r="AI319" i="1"/>
  <c r="AI327" i="1"/>
  <c r="AI335" i="1"/>
  <c r="AI343" i="1"/>
  <c r="AI351" i="1"/>
  <c r="AI526" i="1"/>
  <c r="AI507" i="1"/>
  <c r="AI99" i="1"/>
  <c r="AI105" i="1"/>
  <c r="AI111" i="1"/>
  <c r="AI123" i="1"/>
  <c r="AI131" i="1"/>
  <c r="AI147" i="1"/>
  <c r="AI155" i="1"/>
  <c r="AI163" i="1"/>
  <c r="AI171" i="1"/>
  <c r="AI179" i="1"/>
  <c r="AI187" i="1"/>
  <c r="AI514" i="1"/>
  <c r="AI255" i="1"/>
  <c r="AI262" i="1"/>
  <c r="AI270" i="1"/>
  <c r="AI278" i="1"/>
  <c r="AI286" i="1"/>
  <c r="AI294" i="1"/>
  <c r="AI302" i="1"/>
  <c r="AD243" i="1"/>
  <c r="AF243" i="1" s="1"/>
  <c r="AD306" i="1"/>
  <c r="AF306" i="1" s="1"/>
  <c r="AD337" i="1"/>
  <c r="AF337" i="1" s="1"/>
  <c r="AD18" i="1"/>
  <c r="AF18" i="1" s="1"/>
  <c r="AD323" i="1"/>
  <c r="AF323" i="1" s="1"/>
  <c r="AD346" i="1"/>
  <c r="AF346" i="1" s="1"/>
  <c r="AD541" i="1"/>
  <c r="AF541" i="1" s="1"/>
  <c r="AD110" i="1"/>
  <c r="AF110" i="1" s="1"/>
  <c r="AD121" i="1"/>
  <c r="AF121" i="1" s="1"/>
  <c r="AD598" i="1"/>
  <c r="AF598" i="1" s="1"/>
  <c r="AE30" i="1"/>
  <c r="AI613" i="1"/>
  <c r="AE603" i="1"/>
  <c r="AE608" i="1"/>
  <c r="AI642" i="1"/>
  <c r="AE307" i="1"/>
  <c r="AE347" i="1"/>
  <c r="AE101" i="1"/>
  <c r="AE120" i="1"/>
  <c r="AE159" i="1"/>
  <c r="AE167" i="1"/>
  <c r="AE183" i="1"/>
  <c r="AE266" i="1"/>
  <c r="AD95" i="1"/>
  <c r="AF95" i="1" s="1"/>
  <c r="AD54" i="1"/>
  <c r="AF54" i="1" s="1"/>
  <c r="AD60" i="1"/>
  <c r="AF60" i="1" s="1"/>
  <c r="AD63" i="1"/>
  <c r="AF63" i="1" s="1"/>
  <c r="AD296" i="1"/>
  <c r="AF296" i="1" s="1"/>
  <c r="AD72" i="1"/>
  <c r="AF72" i="1" s="1"/>
  <c r="AD185" i="1"/>
  <c r="AF185" i="1" s="1"/>
  <c r="AI427" i="1"/>
  <c r="AI434" i="1"/>
  <c r="AI442" i="1"/>
  <c r="AI472" i="1"/>
  <c r="AI480" i="1"/>
  <c r="AI462" i="1"/>
  <c r="AI12" i="1"/>
  <c r="AI55" i="1"/>
  <c r="AI448" i="1"/>
  <c r="AI65" i="1"/>
  <c r="AI496" i="1"/>
  <c r="AI499" i="1"/>
  <c r="AI200" i="1"/>
  <c r="AI208" i="1"/>
  <c r="AI216" i="1"/>
  <c r="AI382" i="1"/>
  <c r="AI522" i="1"/>
  <c r="AI421" i="1"/>
  <c r="AI21" i="1"/>
  <c r="AI436" i="1"/>
  <c r="AI466" i="1"/>
  <c r="AI474" i="1"/>
  <c r="AI482" i="1"/>
  <c r="AI456" i="1"/>
  <c r="AI56" i="1"/>
  <c r="AI521" i="1"/>
  <c r="AI194" i="1"/>
  <c r="AI202" i="1"/>
  <c r="AI234" i="1"/>
  <c r="AI242" i="1"/>
  <c r="AI250" i="1"/>
  <c r="AI85" i="1"/>
  <c r="AI353" i="1"/>
  <c r="AI377" i="1"/>
  <c r="AI392" i="1"/>
  <c r="AI305" i="1"/>
  <c r="AI315" i="1"/>
  <c r="AI331" i="1"/>
  <c r="AI347" i="1"/>
  <c r="AI535" i="1"/>
  <c r="AI538" i="1"/>
  <c r="AI101" i="1"/>
  <c r="AI115" i="1"/>
  <c r="AI127" i="1"/>
  <c r="AI143" i="1"/>
  <c r="AI151" i="1"/>
  <c r="AI159" i="1"/>
  <c r="AI175" i="1"/>
  <c r="AI191" i="1"/>
  <c r="AI259" i="1"/>
  <c r="AI266" i="1"/>
  <c r="AI274" i="1"/>
  <c r="AI282" i="1"/>
  <c r="AI290" i="1"/>
  <c r="AI298" i="1"/>
  <c r="AE429" i="1"/>
  <c r="AE92" i="1"/>
  <c r="AE116" i="1"/>
  <c r="AD418" i="1"/>
  <c r="AF418" i="1" s="1"/>
  <c r="AD433" i="1"/>
  <c r="AF433" i="1" s="1"/>
  <c r="AD441" i="1"/>
  <c r="AF441" i="1" s="1"/>
  <c r="AD75" i="1"/>
  <c r="AF75" i="1" s="1"/>
  <c r="AD183" i="1"/>
  <c r="AF183" i="1" s="1"/>
  <c r="AD191" i="1"/>
  <c r="AF191" i="1" s="1"/>
  <c r="AD281" i="1"/>
  <c r="AF281" i="1" s="1"/>
  <c r="AD421" i="1"/>
  <c r="AF421" i="1" s="1"/>
  <c r="AD463" i="1"/>
  <c r="AF463" i="1" s="1"/>
  <c r="AD51" i="1"/>
  <c r="AF51" i="1" s="1"/>
  <c r="AD448" i="1"/>
  <c r="AF448" i="1" s="1"/>
  <c r="AD498" i="1"/>
  <c r="AF498" i="1" s="1"/>
  <c r="AD199" i="1"/>
  <c r="AF199" i="1" s="1"/>
  <c r="AE570" i="1"/>
  <c r="AE554" i="1"/>
  <c r="AD23" i="1"/>
  <c r="AF23" i="1" s="1"/>
  <c r="AD545" i="1"/>
  <c r="AF545" i="1" s="1"/>
  <c r="AE599" i="1"/>
  <c r="AI599" i="1"/>
  <c r="AI594" i="1"/>
  <c r="AI587" i="1"/>
  <c r="AD574" i="1"/>
  <c r="AF574" i="1" s="1"/>
  <c r="AD27" i="1"/>
  <c r="AF27" i="1" s="1"/>
  <c r="AD216" i="1"/>
  <c r="AF216" i="1" s="1"/>
  <c r="AD224" i="1"/>
  <c r="AF224" i="1" s="1"/>
  <c r="AD396" i="1"/>
  <c r="AF396" i="1" s="1"/>
  <c r="AD168" i="1"/>
  <c r="AF168" i="1" s="1"/>
  <c r="AD184" i="1"/>
  <c r="AF184" i="1" s="1"/>
  <c r="AD259" i="1"/>
  <c r="AF259" i="1" s="1"/>
  <c r="AD266" i="1"/>
  <c r="AF266" i="1" s="1"/>
  <c r="AD282" i="1"/>
  <c r="AF282" i="1" s="1"/>
  <c r="AE543" i="1"/>
  <c r="AE544" i="1"/>
  <c r="AE571" i="1"/>
  <c r="AE555" i="1"/>
  <c r="AI571" i="1"/>
  <c r="AI564" i="1"/>
  <c r="AI557" i="1"/>
  <c r="AD542" i="1"/>
  <c r="AF542" i="1" s="1"/>
  <c r="AD636" i="1"/>
  <c r="AF636" i="1" s="1"/>
  <c r="AD169" i="1"/>
  <c r="AF169" i="1" s="1"/>
  <c r="AD177" i="1"/>
  <c r="AF177" i="1" s="1"/>
  <c r="AD157" i="1"/>
  <c r="AF157" i="1" s="1"/>
  <c r="AD256" i="1"/>
  <c r="AF256" i="1" s="1"/>
  <c r="AD609" i="1"/>
  <c r="AF609" i="1" s="1"/>
  <c r="AD123" i="1"/>
  <c r="AF123" i="1" s="1"/>
  <c r="AD131" i="1"/>
  <c r="AF131" i="1" s="1"/>
  <c r="AD139" i="1"/>
  <c r="AF139" i="1" s="1"/>
  <c r="AD146" i="1"/>
  <c r="AF146" i="1" s="1"/>
  <c r="AD279" i="1"/>
  <c r="AF279" i="1" s="1"/>
  <c r="AD286" i="1"/>
  <c r="AF286" i="1" s="1"/>
  <c r="AD548" i="1"/>
  <c r="AF548" i="1" s="1"/>
  <c r="AD606" i="1"/>
  <c r="AF606" i="1" s="1"/>
  <c r="AD451" i="1"/>
  <c r="AF451" i="1" s="1"/>
  <c r="AD533" i="1"/>
  <c r="AF533" i="1" s="1"/>
  <c r="AD204" i="1"/>
  <c r="AF204" i="1" s="1"/>
  <c r="AD352" i="1"/>
  <c r="AF352" i="1" s="1"/>
  <c r="AD407" i="1"/>
  <c r="AF407" i="1" s="1"/>
  <c r="AD312" i="1"/>
  <c r="AF312" i="1" s="1"/>
  <c r="AD320" i="1"/>
  <c r="AF320" i="1" s="1"/>
  <c r="AD255" i="1"/>
  <c r="AF255" i="1" s="1"/>
  <c r="AD568" i="1"/>
  <c r="AF568" i="1" s="1"/>
  <c r="AD303" i="1"/>
  <c r="AF303" i="1" s="1"/>
  <c r="AD173" i="1"/>
  <c r="AF173" i="1" s="1"/>
  <c r="AD181" i="1"/>
  <c r="AF181" i="1" s="1"/>
  <c r="AD188" i="1"/>
  <c r="AF188" i="1" s="1"/>
  <c r="AI24" i="1"/>
  <c r="AE580" i="1"/>
  <c r="AI600" i="1"/>
  <c r="AI580" i="1"/>
  <c r="AD238" i="1"/>
  <c r="AF238" i="1" s="1"/>
  <c r="AD508" i="1"/>
  <c r="AF508" i="1" s="1"/>
  <c r="AI330" i="1"/>
  <c r="AI517" i="1"/>
  <c r="AE212" i="1"/>
  <c r="AE300" i="1"/>
  <c r="AD338" i="1"/>
  <c r="AF338" i="1" s="1"/>
  <c r="AD170" i="1"/>
  <c r="AF170" i="1" s="1"/>
  <c r="AD464" i="1"/>
  <c r="AF464" i="1" s="1"/>
  <c r="AD52" i="1"/>
  <c r="AF52" i="1" s="1"/>
  <c r="AD56" i="1"/>
  <c r="AF56" i="1" s="1"/>
  <c r="AD239" i="1"/>
  <c r="AF239" i="1" s="1"/>
  <c r="AD247" i="1"/>
  <c r="AF247" i="1" s="1"/>
  <c r="AD73" i="1"/>
  <c r="AF73" i="1" s="1"/>
  <c r="AD375" i="1"/>
  <c r="AF375" i="1" s="1"/>
  <c r="AD381" i="1"/>
  <c r="AF381" i="1" s="1"/>
  <c r="AD404" i="1"/>
  <c r="AF404" i="1" s="1"/>
  <c r="AD523" i="1"/>
  <c r="AF523" i="1" s="1"/>
  <c r="AD310" i="1"/>
  <c r="AF310" i="1" s="1"/>
  <c r="AD324" i="1"/>
  <c r="AF324" i="1" s="1"/>
  <c r="AD536" i="1"/>
  <c r="AF536" i="1" s="1"/>
  <c r="AD117" i="1"/>
  <c r="AF117" i="1" s="1"/>
  <c r="AD129" i="1"/>
  <c r="AF129" i="1" s="1"/>
  <c r="AD137" i="1"/>
  <c r="AF137" i="1" s="1"/>
  <c r="AD167" i="1"/>
  <c r="AF167" i="1" s="1"/>
  <c r="AD287" i="1"/>
  <c r="AF287" i="1" s="1"/>
  <c r="AD230" i="1"/>
  <c r="AF230" i="1" s="1"/>
  <c r="AD330" i="1"/>
  <c r="AF330" i="1" s="1"/>
  <c r="AD454" i="1"/>
  <c r="AF454" i="1" s="1"/>
  <c r="AD462" i="1"/>
  <c r="AF462" i="1" s="1"/>
  <c r="AD12" i="1"/>
  <c r="AF12" i="1" s="1"/>
  <c r="AD248" i="1"/>
  <c r="AF248" i="1" s="1"/>
  <c r="AD511" i="1"/>
  <c r="AF511" i="1" s="1"/>
  <c r="AD387" i="1"/>
  <c r="AF387" i="1" s="1"/>
  <c r="AD253" i="1"/>
  <c r="AF253" i="1" s="1"/>
  <c r="AD292" i="1"/>
  <c r="AF292" i="1" s="1"/>
  <c r="AD92" i="1"/>
  <c r="AF92" i="1" s="1"/>
  <c r="AD493" i="1"/>
  <c r="AF493" i="1" s="1"/>
  <c r="AD74" i="1"/>
  <c r="AF74" i="1" s="1"/>
  <c r="AD88" i="1"/>
  <c r="AF88" i="1" s="1"/>
  <c r="AD412" i="1"/>
  <c r="AF412" i="1" s="1"/>
  <c r="AE601" i="1"/>
  <c r="AE610" i="1"/>
  <c r="AD607" i="1"/>
  <c r="AF607" i="1" s="1"/>
  <c r="AI73" i="1"/>
  <c r="AI356" i="1"/>
  <c r="AI318" i="1"/>
  <c r="AI130" i="1"/>
  <c r="AI293" i="1"/>
  <c r="AE420" i="1"/>
  <c r="AE455" i="1"/>
  <c r="AE463" i="1"/>
  <c r="AE525" i="1"/>
  <c r="AE201" i="1"/>
  <c r="AE368" i="1"/>
  <c r="AE376" i="1"/>
  <c r="AE314" i="1"/>
  <c r="AE338" i="1"/>
  <c r="AE134" i="1"/>
  <c r="AE142" i="1"/>
  <c r="AE190" i="1"/>
  <c r="AE289" i="1"/>
  <c r="AD413" i="1"/>
  <c r="AF413" i="1" s="1"/>
  <c r="AD436" i="1"/>
  <c r="AF436" i="1" s="1"/>
  <c r="AD481" i="1"/>
  <c r="AF481" i="1" s="1"/>
  <c r="AD455" i="1"/>
  <c r="AF455" i="1" s="1"/>
  <c r="AD373" i="1"/>
  <c r="AF373" i="1" s="1"/>
  <c r="AD20" i="1"/>
  <c r="AF20" i="1" s="1"/>
  <c r="AD194" i="1"/>
  <c r="AF194" i="1" s="1"/>
  <c r="AD210" i="1"/>
  <c r="AF210" i="1" s="1"/>
  <c r="AD192" i="1"/>
  <c r="AF192" i="1" s="1"/>
  <c r="AE637" i="1"/>
  <c r="AE274" i="1"/>
  <c r="AE282" i="1"/>
  <c r="AE298" i="1"/>
  <c r="AD587" i="1"/>
  <c r="AF587" i="1" s="1"/>
  <c r="AD594" i="1"/>
  <c r="AF594" i="1" s="1"/>
  <c r="AD28" i="1"/>
  <c r="AF28" i="1" s="1"/>
  <c r="AD608" i="1"/>
  <c r="AF608" i="1" s="1"/>
  <c r="AI628" i="1"/>
  <c r="M20" i="9"/>
  <c r="AD509" i="1"/>
  <c r="AF509" i="1" s="1"/>
  <c r="AD551" i="1"/>
  <c r="AF551" i="1" s="1"/>
  <c r="AD567" i="1"/>
  <c r="AF567" i="1" s="1"/>
  <c r="AD565" i="1"/>
  <c r="AF565" i="1" s="1"/>
  <c r="AD581" i="1"/>
  <c r="AF581" i="1" s="1"/>
  <c r="AD29" i="1"/>
  <c r="AF29" i="1" s="1"/>
  <c r="AI611" i="1"/>
  <c r="AE597" i="1"/>
  <c r="AE574" i="1"/>
  <c r="AI597" i="1"/>
  <c r="AI589" i="1"/>
  <c r="AI574" i="1"/>
  <c r="AD298" i="1"/>
  <c r="AF298" i="1" s="1"/>
  <c r="AD97" i="1"/>
  <c r="AF97" i="1" s="1"/>
  <c r="AD522" i="1"/>
  <c r="AF522" i="1" s="1"/>
  <c r="AD106" i="1"/>
  <c r="AF106" i="1" s="1"/>
  <c r="AD514" i="1"/>
  <c r="AF514" i="1" s="1"/>
  <c r="AI545" i="1"/>
  <c r="AI566" i="1"/>
  <c r="AI551" i="1"/>
  <c r="AD553" i="1"/>
  <c r="AF553" i="1" s="1"/>
  <c r="AD559" i="1"/>
  <c r="AF559" i="1" s="1"/>
  <c r="AE26" i="1"/>
  <c r="AI26" i="1"/>
  <c r="AI581" i="1"/>
  <c r="AD593" i="1"/>
  <c r="AF593" i="1" s="1"/>
  <c r="AD605" i="1"/>
  <c r="AF605" i="1" s="1"/>
  <c r="AI623" i="1"/>
  <c r="AI648" i="1"/>
  <c r="AD649" i="1"/>
  <c r="AF649" i="1" s="1"/>
  <c r="AD200" i="1"/>
  <c r="AF200" i="1" s="1"/>
  <c r="AE25" i="1"/>
  <c r="AI25" i="1"/>
  <c r="AE588" i="1"/>
  <c r="AD573" i="1"/>
  <c r="AF573" i="1" s="1"/>
  <c r="AD293" i="1"/>
  <c r="AF293" i="1" s="1"/>
  <c r="AI544" i="1"/>
  <c r="AE579" i="1"/>
  <c r="AE609" i="1"/>
  <c r="AI630" i="1"/>
  <c r="AI643" i="1"/>
  <c r="AE157" i="1"/>
  <c r="AE181" i="1"/>
  <c r="AD437" i="1"/>
  <c r="AF437" i="1" s="1"/>
  <c r="AD467" i="1"/>
  <c r="AF467" i="1" s="1"/>
  <c r="AD482" i="1"/>
  <c r="AF482" i="1" s="1"/>
  <c r="AD311" i="1"/>
  <c r="AF311" i="1" s="1"/>
  <c r="AD135" i="1"/>
  <c r="AF135" i="1" s="1"/>
  <c r="AI453" i="1"/>
  <c r="AI197" i="1"/>
  <c r="AI269" i="1"/>
  <c r="AI285" i="1"/>
  <c r="AI301" i="1"/>
  <c r="AD430" i="1"/>
  <c r="AF430" i="1" s="1"/>
  <c r="AD367" i="1"/>
  <c r="AF367" i="1" s="1"/>
  <c r="AD174" i="1"/>
  <c r="AF174" i="1" s="1"/>
  <c r="AD182" i="1"/>
  <c r="AF182" i="1" s="1"/>
  <c r="AI424" i="1"/>
  <c r="AI59" i="1"/>
  <c r="AE428" i="1"/>
  <c r="AE465" i="1"/>
  <c r="AE241" i="1"/>
  <c r="AE512" i="1"/>
  <c r="AE352" i="1"/>
  <c r="AE346" i="1"/>
  <c r="AE489" i="1"/>
  <c r="AE503" i="1"/>
  <c r="AE537" i="1"/>
  <c r="AE15" i="1"/>
  <c r="AE114" i="1"/>
  <c r="AE174" i="1"/>
  <c r="AE182" i="1"/>
  <c r="AE517" i="1"/>
  <c r="AE258" i="1"/>
  <c r="AE273" i="1"/>
  <c r="AE78" i="1"/>
  <c r="AE353" i="1"/>
  <c r="AE361" i="1"/>
  <c r="AE143" i="1"/>
  <c r="AE151" i="1"/>
  <c r="AI224" i="1"/>
  <c r="AI248" i="1"/>
  <c r="AI83" i="1"/>
  <c r="AI375" i="1"/>
  <c r="AI406" i="1"/>
  <c r="AI531" i="1"/>
  <c r="AI321" i="1"/>
  <c r="AI345" i="1"/>
  <c r="AI536" i="1"/>
  <c r="AI14" i="1"/>
  <c r="AI118" i="1"/>
  <c r="AI133" i="1"/>
  <c r="AI149" i="1"/>
  <c r="AI165" i="1"/>
  <c r="AI181" i="1"/>
  <c r="AI189" i="1"/>
  <c r="AI264" i="1"/>
  <c r="AI272" i="1"/>
  <c r="AI280" i="1"/>
  <c r="AI288" i="1"/>
  <c r="AE527" i="1"/>
  <c r="AE308" i="1"/>
  <c r="AE316" i="1"/>
  <c r="AE324" i="1"/>
  <c r="AE332" i="1"/>
  <c r="AE348" i="1"/>
  <c r="AE490" i="1"/>
  <c r="AE504" i="1"/>
  <c r="AE539" i="1"/>
  <c r="AE102" i="1"/>
  <c r="AE108" i="1"/>
  <c r="AE19" i="1"/>
  <c r="AE128" i="1"/>
  <c r="AE136" i="1"/>
  <c r="AE152" i="1"/>
  <c r="AE160" i="1"/>
  <c r="AE168" i="1"/>
  <c r="AE176" i="1"/>
  <c r="AE184" i="1"/>
  <c r="AE192" i="1"/>
  <c r="AE252" i="1"/>
  <c r="AE260" i="1"/>
  <c r="AE267" i="1"/>
  <c r="AE275" i="1"/>
  <c r="AE283" i="1"/>
  <c r="AE291" i="1"/>
  <c r="AE423" i="1"/>
  <c r="AE430" i="1"/>
  <c r="AE438" i="1"/>
  <c r="AE468" i="1"/>
  <c r="AE476" i="1"/>
  <c r="AE484" i="1"/>
  <c r="AE93" i="1"/>
  <c r="AE58" i="1"/>
  <c r="AE363" i="1"/>
  <c r="AE394" i="1"/>
  <c r="AE349" i="1"/>
  <c r="AE505" i="1"/>
  <c r="AE109" i="1"/>
  <c r="AE261" i="1"/>
  <c r="AE276" i="1"/>
  <c r="AE417" i="1"/>
  <c r="AE432" i="1"/>
  <c r="AE460" i="1"/>
  <c r="AE95" i="1"/>
  <c r="AE63" i="1"/>
  <c r="AE222" i="1"/>
  <c r="AE238" i="1"/>
  <c r="AE74" i="1"/>
  <c r="AE365" i="1"/>
  <c r="AE412" i="1"/>
  <c r="AE507" i="1"/>
  <c r="AE111" i="1"/>
  <c r="AE147" i="1"/>
  <c r="AE155" i="1"/>
  <c r="AE187" i="1"/>
  <c r="AE514" i="1"/>
  <c r="AE255" i="1"/>
  <c r="AE270" i="1"/>
  <c r="AE278" i="1"/>
  <c r="AE302" i="1"/>
  <c r="AD270" i="1"/>
  <c r="AF270" i="1" s="1"/>
  <c r="AD217" i="1"/>
  <c r="AF217" i="1" s="1"/>
  <c r="AD233" i="1"/>
  <c r="AF233" i="1" s="1"/>
  <c r="AD398" i="1"/>
  <c r="AF398" i="1" s="1"/>
  <c r="AE414" i="1"/>
  <c r="AE467" i="1"/>
  <c r="AE483" i="1"/>
  <c r="AE443" i="1"/>
  <c r="AE61" i="1"/>
  <c r="AE70" i="1"/>
  <c r="AE211" i="1"/>
  <c r="AE227" i="1"/>
  <c r="AE509" i="1"/>
  <c r="AE79" i="1"/>
  <c r="AE362" i="1"/>
  <c r="AE378" i="1"/>
  <c r="AE401" i="1"/>
  <c r="AI467" i="1"/>
  <c r="AI86" i="1"/>
  <c r="AI354" i="1"/>
  <c r="AI370" i="1"/>
  <c r="AI176" i="1"/>
  <c r="AI260" i="1"/>
  <c r="AE416" i="1"/>
  <c r="AE424" i="1"/>
  <c r="AE469" i="1"/>
  <c r="AE477" i="1"/>
  <c r="AE485" i="1"/>
  <c r="AE459" i="1"/>
  <c r="AE94" i="1"/>
  <c r="AE62" i="1"/>
  <c r="AE453" i="1"/>
  <c r="AE205" i="1"/>
  <c r="AE229" i="1"/>
  <c r="AE237" i="1"/>
  <c r="AE492" i="1"/>
  <c r="AE73" i="1"/>
  <c r="AE356" i="1"/>
  <c r="AE364" i="1"/>
  <c r="AE372" i="1"/>
  <c r="AE387" i="1"/>
  <c r="AE395" i="1"/>
  <c r="AE403" i="1"/>
  <c r="AE411" i="1"/>
  <c r="AE326" i="1"/>
  <c r="AE350" i="1"/>
  <c r="AE501" i="1"/>
  <c r="AE98" i="1"/>
  <c r="AE122" i="1"/>
  <c r="AE138" i="1"/>
  <c r="AE146" i="1"/>
  <c r="AE154" i="1"/>
  <c r="AE178" i="1"/>
  <c r="AE277" i="1"/>
  <c r="AE285" i="1"/>
  <c r="AE293" i="1"/>
  <c r="AE301" i="1"/>
  <c r="AE287" i="1"/>
  <c r="AD176" i="1"/>
  <c r="AF176" i="1" s="1"/>
  <c r="AD485" i="1"/>
  <c r="AF485" i="1" s="1"/>
  <c r="AD154" i="1"/>
  <c r="AF154" i="1" s="1"/>
  <c r="AI232" i="1"/>
  <c r="AI240" i="1"/>
  <c r="AI76" i="1"/>
  <c r="AI359" i="1"/>
  <c r="AI367" i="1"/>
  <c r="AI398" i="1"/>
  <c r="AI518" i="1"/>
  <c r="AI313" i="1"/>
  <c r="AI337" i="1"/>
  <c r="AI97" i="1"/>
  <c r="AI22" i="1"/>
  <c r="AI113" i="1"/>
  <c r="AI125" i="1"/>
  <c r="AI141" i="1"/>
  <c r="AI516" i="1"/>
  <c r="AE422" i="1"/>
  <c r="AE437" i="1"/>
  <c r="AE475" i="1"/>
  <c r="AE457" i="1"/>
  <c r="AE57" i="1"/>
  <c r="AE68" i="1"/>
  <c r="AE195" i="1"/>
  <c r="AE203" i="1"/>
  <c r="AE219" i="1"/>
  <c r="AE235" i="1"/>
  <c r="AE243" i="1"/>
  <c r="AE71" i="1"/>
  <c r="AE86" i="1"/>
  <c r="AE354" i="1"/>
  <c r="AE370" i="1"/>
  <c r="AE385" i="1"/>
  <c r="AE393" i="1"/>
  <c r="AE409" i="1"/>
  <c r="AD81" i="1"/>
  <c r="AF81" i="1" s="1"/>
  <c r="AD471" i="1"/>
  <c r="AF471" i="1" s="1"/>
  <c r="AD479" i="1"/>
  <c r="AF479" i="1" s="1"/>
  <c r="AD486" i="1"/>
  <c r="AF486" i="1" s="1"/>
  <c r="AD460" i="1"/>
  <c r="AF460" i="1" s="1"/>
  <c r="AD335" i="1"/>
  <c r="AF335" i="1" s="1"/>
  <c r="AD120" i="1"/>
  <c r="AF120" i="1" s="1"/>
  <c r="AD132" i="1"/>
  <c r="AF132" i="1" s="1"/>
  <c r="AD140" i="1"/>
  <c r="AF140" i="1" s="1"/>
  <c r="AE616" i="1"/>
  <c r="AD416" i="1"/>
  <c r="AF416" i="1" s="1"/>
  <c r="AD468" i="1"/>
  <c r="AF468" i="1" s="1"/>
  <c r="AD483" i="1"/>
  <c r="AF483" i="1" s="1"/>
  <c r="AD457" i="1"/>
  <c r="AF457" i="1" s="1"/>
  <c r="AD249" i="1"/>
  <c r="AF249" i="1" s="1"/>
  <c r="AD512" i="1"/>
  <c r="AF512" i="1" s="1"/>
  <c r="AD380" i="1"/>
  <c r="AF380" i="1" s="1"/>
  <c r="AD388" i="1"/>
  <c r="AF388" i="1" s="1"/>
  <c r="AD403" i="1"/>
  <c r="AF403" i="1" s="1"/>
  <c r="AD316" i="1"/>
  <c r="AF316" i="1" s="1"/>
  <c r="AD537" i="1"/>
  <c r="AF537" i="1" s="1"/>
  <c r="AD22" i="1"/>
  <c r="AF22" i="1" s="1"/>
  <c r="AD14" i="1"/>
  <c r="AF14" i="1" s="1"/>
  <c r="AD113" i="1"/>
  <c r="AF113" i="1" s="1"/>
  <c r="AD148" i="1"/>
  <c r="AF148" i="1" s="1"/>
  <c r="AD472" i="1"/>
  <c r="AF472" i="1" s="1"/>
  <c r="AD321" i="1"/>
  <c r="AF321" i="1" s="1"/>
  <c r="AD268" i="1"/>
  <c r="AF268" i="1" s="1"/>
  <c r="AI563" i="1"/>
  <c r="AD556" i="1"/>
  <c r="AF556" i="1" s="1"/>
  <c r="AD599" i="1"/>
  <c r="AF599" i="1" s="1"/>
  <c r="AD630" i="1"/>
  <c r="AF630" i="1" s="1"/>
  <c r="AI215" i="1"/>
  <c r="AI223" i="1"/>
  <c r="AI231" i="1"/>
  <c r="AI239" i="1"/>
  <c r="AI247" i="1"/>
  <c r="AI494" i="1"/>
  <c r="AI75" i="1"/>
  <c r="AI90" i="1"/>
  <c r="AI374" i="1"/>
  <c r="AI381" i="1"/>
  <c r="AI389" i="1"/>
  <c r="AI397" i="1"/>
  <c r="AI405" i="1"/>
  <c r="AI304" i="1"/>
  <c r="AI530" i="1"/>
  <c r="AI320" i="1"/>
  <c r="AI328" i="1"/>
  <c r="AI336" i="1"/>
  <c r="AI344" i="1"/>
  <c r="AI502" i="1"/>
  <c r="AI508" i="1"/>
  <c r="AI541" i="1"/>
  <c r="AI106" i="1"/>
  <c r="AI112" i="1"/>
  <c r="AI124" i="1"/>
  <c r="AI140" i="1"/>
  <c r="AI172" i="1"/>
  <c r="AI188" i="1"/>
  <c r="AI515" i="1"/>
  <c r="AI256" i="1"/>
  <c r="AI263" i="1"/>
  <c r="AI295" i="1"/>
  <c r="AE250" i="1"/>
  <c r="AE513" i="1"/>
  <c r="AE85" i="1"/>
  <c r="AE369" i="1"/>
  <c r="AE377" i="1"/>
  <c r="AE384" i="1"/>
  <c r="AE392" i="1"/>
  <c r="AE400" i="1"/>
  <c r="AE408" i="1"/>
  <c r="AE305" i="1"/>
  <c r="AE323" i="1"/>
  <c r="AE331" i="1"/>
  <c r="AE339" i="1"/>
  <c r="AE107" i="1"/>
  <c r="AE115" i="1"/>
  <c r="AE127" i="1"/>
  <c r="AE175" i="1"/>
  <c r="AE251" i="1"/>
  <c r="AE290" i="1"/>
  <c r="AD417" i="1"/>
  <c r="AF417" i="1" s="1"/>
  <c r="AD425" i="1"/>
  <c r="AF425" i="1" s="1"/>
  <c r="AD242" i="1"/>
  <c r="AF242" i="1" s="1"/>
  <c r="AD250" i="1"/>
  <c r="AF250" i="1" s="1"/>
  <c r="AD389" i="1"/>
  <c r="AF389" i="1" s="1"/>
  <c r="AD500" i="1"/>
  <c r="AF500" i="1" s="1"/>
  <c r="AD114" i="1"/>
  <c r="AF114" i="1" s="1"/>
  <c r="AD119" i="1"/>
  <c r="AF119" i="1" s="1"/>
  <c r="AD149" i="1"/>
  <c r="AF149" i="1" s="1"/>
  <c r="AD165" i="1"/>
  <c r="AF165" i="1" s="1"/>
  <c r="AD260" i="1"/>
  <c r="AF260" i="1" s="1"/>
  <c r="AD283" i="1"/>
  <c r="AF283" i="1" s="1"/>
  <c r="AD473" i="1"/>
  <c r="AF473" i="1" s="1"/>
  <c r="AD308" i="1"/>
  <c r="AF308" i="1" s="1"/>
  <c r="AD507" i="1"/>
  <c r="AF507" i="1" s="1"/>
  <c r="AD99" i="1"/>
  <c r="AF99" i="1" s="1"/>
  <c r="AD109" i="1"/>
  <c r="AF109" i="1" s="1"/>
  <c r="AD19" i="1"/>
  <c r="AF19" i="1" s="1"/>
  <c r="AD180" i="1"/>
  <c r="AF180" i="1" s="1"/>
  <c r="AE569" i="1"/>
  <c r="AE561" i="1"/>
  <c r="AE551" i="1"/>
  <c r="AE565" i="1"/>
  <c r="AD544" i="1"/>
  <c r="AF544" i="1" s="1"/>
  <c r="AD550" i="1"/>
  <c r="AF550" i="1" s="1"/>
  <c r="AD590" i="1"/>
  <c r="AF590" i="1" s="1"/>
  <c r="AI605" i="1"/>
  <c r="AE612" i="1"/>
  <c r="AD628" i="1"/>
  <c r="AF628" i="1" s="1"/>
  <c r="AE582" i="1"/>
  <c r="AE596" i="1"/>
  <c r="AE573" i="1"/>
  <c r="AI596" i="1"/>
  <c r="AD419" i="1"/>
  <c r="AF419" i="1" s="1"/>
  <c r="AI361" i="1"/>
  <c r="AD601" i="1"/>
  <c r="AF601" i="1" s="1"/>
  <c r="AI500" i="1"/>
  <c r="AD505" i="1"/>
  <c r="AF505" i="1" s="1"/>
  <c r="AD540" i="1"/>
  <c r="AF540" i="1" s="1"/>
  <c r="AD108" i="1"/>
  <c r="AF108" i="1" s="1"/>
  <c r="AD582" i="1"/>
  <c r="AF582" i="1" s="1"/>
  <c r="AD461" i="1"/>
  <c r="AF461" i="1" s="1"/>
  <c r="AD328" i="1"/>
  <c r="AF328" i="1" s="1"/>
  <c r="AD343" i="1"/>
  <c r="AF343" i="1" s="1"/>
  <c r="AD350" i="1"/>
  <c r="AF350" i="1" s="1"/>
  <c r="AD175" i="1"/>
  <c r="AF175" i="1" s="1"/>
  <c r="AD189" i="1"/>
  <c r="AF189" i="1" s="1"/>
  <c r="AD125" i="1"/>
  <c r="AF125" i="1" s="1"/>
  <c r="AI582" i="1"/>
  <c r="AE14" i="1"/>
  <c r="AE141" i="1"/>
  <c r="AE516" i="1"/>
  <c r="AE272" i="1"/>
  <c r="AE280" i="1"/>
  <c r="AE296" i="1"/>
  <c r="AE84" i="1"/>
  <c r="AD429" i="1"/>
  <c r="AF429" i="1" s="1"/>
  <c r="AD246" i="1"/>
  <c r="AF246" i="1" s="1"/>
  <c r="AD130" i="1"/>
  <c r="AF130" i="1" s="1"/>
  <c r="AD145" i="1"/>
  <c r="AF145" i="1" s="1"/>
  <c r="AD405" i="1"/>
  <c r="AF405" i="1" s="1"/>
  <c r="AE577" i="1"/>
  <c r="AI592" i="1"/>
  <c r="AI585" i="1"/>
  <c r="AI577" i="1"/>
  <c r="AD410" i="1"/>
  <c r="AF410" i="1" s="1"/>
  <c r="AI554" i="1"/>
  <c r="AD571" i="1"/>
  <c r="AF571" i="1" s="1"/>
  <c r="AI166" i="1"/>
  <c r="AI190" i="1"/>
  <c r="AI273" i="1"/>
  <c r="AE421" i="1"/>
  <c r="AE466" i="1"/>
  <c r="AE474" i="1"/>
  <c r="AE482" i="1"/>
  <c r="AE456" i="1"/>
  <c r="AE464" i="1"/>
  <c r="AE52" i="1"/>
  <c r="AE56" i="1"/>
  <c r="AE450" i="1"/>
  <c r="AE67" i="1"/>
  <c r="AE521" i="1"/>
  <c r="AE194" i="1"/>
  <c r="AE202" i="1"/>
  <c r="AE210" i="1"/>
  <c r="AE218" i="1"/>
  <c r="AE226" i="1"/>
  <c r="AE242" i="1"/>
  <c r="AD315" i="1"/>
  <c r="AF315" i="1" s="1"/>
  <c r="AD155" i="1"/>
  <c r="AF155" i="1" s="1"/>
  <c r="AI561" i="1"/>
  <c r="AD572" i="1"/>
  <c r="AF572" i="1" s="1"/>
  <c r="AD124" i="1"/>
  <c r="AF124" i="1" s="1"/>
  <c r="AD147" i="1"/>
  <c r="AF147" i="1" s="1"/>
  <c r="AD160" i="1"/>
  <c r="AF160" i="1" s="1"/>
  <c r="AD595" i="1"/>
  <c r="AF595" i="1" s="1"/>
  <c r="AE614" i="1"/>
  <c r="AD627" i="1"/>
  <c r="AF627" i="1" s="1"/>
  <c r="AI610" i="1"/>
  <c r="AI464" i="1"/>
  <c r="AI52" i="1"/>
  <c r="AI210" i="1"/>
  <c r="AI78" i="1"/>
  <c r="AI369" i="1"/>
  <c r="AI384" i="1"/>
  <c r="AI339" i="1"/>
  <c r="AI120" i="1"/>
  <c r="AI251" i="1"/>
  <c r="AE532" i="1"/>
  <c r="AE13" i="1"/>
  <c r="AD360" i="1"/>
  <c r="AF360" i="1" s="1"/>
  <c r="AD368" i="1"/>
  <c r="AF368" i="1" s="1"/>
  <c r="AD309" i="1"/>
  <c r="AF309" i="1" s="1"/>
  <c r="AD329" i="1"/>
  <c r="AF329" i="1" s="1"/>
  <c r="AD289" i="1"/>
  <c r="AF289" i="1" s="1"/>
  <c r="AI595" i="1"/>
  <c r="AE604" i="1"/>
  <c r="AI607" i="1"/>
  <c r="AD86" i="1"/>
  <c r="AF86" i="1" s="1"/>
  <c r="AD353" i="1"/>
  <c r="AF353" i="1" s="1"/>
  <c r="AD361" i="1"/>
  <c r="AF361" i="1" s="1"/>
  <c r="AD391" i="1"/>
  <c r="AF391" i="1" s="1"/>
  <c r="AD397" i="1"/>
  <c r="AF397" i="1" s="1"/>
  <c r="AD488" i="1"/>
  <c r="AF488" i="1" s="1"/>
  <c r="AD104" i="1"/>
  <c r="AF104" i="1" s="1"/>
  <c r="AD261" i="1"/>
  <c r="AF261" i="1" s="1"/>
  <c r="AD275" i="1"/>
  <c r="AF275" i="1" s="1"/>
  <c r="AD212" i="1"/>
  <c r="AF212" i="1" s="1"/>
  <c r="AD543" i="1"/>
  <c r="AF543" i="1" s="1"/>
  <c r="AD597" i="1"/>
  <c r="AF597" i="1" s="1"/>
  <c r="AE602" i="1"/>
  <c r="AD617" i="1"/>
  <c r="AF617" i="1" s="1"/>
  <c r="AI637" i="1"/>
  <c r="AD632" i="1"/>
  <c r="AF632" i="1" s="1"/>
  <c r="AD58" i="1"/>
  <c r="AF58" i="1" s="1"/>
  <c r="AD69" i="1"/>
  <c r="AF69" i="1" s="1"/>
  <c r="AD195" i="1"/>
  <c r="AF195" i="1" s="1"/>
  <c r="AD202" i="1"/>
  <c r="AF202" i="1" s="1"/>
  <c r="AD234" i="1"/>
  <c r="AF234" i="1" s="1"/>
  <c r="AD13" i="1"/>
  <c r="AF13" i="1" s="1"/>
  <c r="AD362" i="1"/>
  <c r="AF362" i="1" s="1"/>
  <c r="AD276" i="1"/>
  <c r="AF276" i="1" s="1"/>
  <c r="AD186" i="1"/>
  <c r="AF186" i="1" s="1"/>
  <c r="AD193" i="1"/>
  <c r="AF193" i="1" s="1"/>
  <c r="AI602" i="1"/>
  <c r="AE627" i="1"/>
  <c r="AE634" i="1"/>
  <c r="AI636" i="1"/>
  <c r="AE506" i="1"/>
  <c r="AE495" i="1"/>
  <c r="AE254" i="1"/>
  <c r="AD469" i="1"/>
  <c r="AF469" i="1" s="1"/>
  <c r="AD450" i="1"/>
  <c r="AF450" i="1" s="1"/>
  <c r="AD17" i="1"/>
  <c r="AF17" i="1" s="1"/>
  <c r="AD263" i="1"/>
  <c r="AF263" i="1" s="1"/>
  <c r="AI570" i="1"/>
  <c r="AD580" i="1"/>
  <c r="AF580" i="1" s="1"/>
  <c r="AI627" i="1"/>
  <c r="AE636" i="1"/>
  <c r="AI632" i="1"/>
  <c r="AI70" i="1"/>
  <c r="AI243" i="1"/>
  <c r="AI108" i="1"/>
  <c r="AI116" i="1"/>
  <c r="AI184" i="1"/>
  <c r="AI416" i="1"/>
  <c r="AI439" i="1"/>
  <c r="AI485" i="1"/>
  <c r="AI459" i="1"/>
  <c r="AI53" i="1"/>
  <c r="AI62" i="1"/>
  <c r="AI532" i="1"/>
  <c r="AI221" i="1"/>
  <c r="AI229" i="1"/>
  <c r="AI237" i="1"/>
  <c r="AI492" i="1"/>
  <c r="AI387" i="1"/>
  <c r="AI395" i="1"/>
  <c r="AI403" i="1"/>
  <c r="AI310" i="1"/>
  <c r="AI342" i="1"/>
  <c r="AI350" i="1"/>
  <c r="AI506" i="1"/>
  <c r="AI98" i="1"/>
  <c r="AI104" i="1"/>
  <c r="AI110" i="1"/>
  <c r="AI17" i="1"/>
  <c r="AI138" i="1"/>
  <c r="AI146" i="1"/>
  <c r="AI162" i="1"/>
  <c r="AI186" i="1"/>
  <c r="AI20" i="1"/>
  <c r="AD440" i="1"/>
  <c r="AF440" i="1" s="1"/>
  <c r="AD459" i="1"/>
  <c r="AF459" i="1" s="1"/>
  <c r="AD357" i="1"/>
  <c r="AF357" i="1" s="1"/>
  <c r="AD372" i="1"/>
  <c r="AF372" i="1" s="1"/>
  <c r="AD527" i="1"/>
  <c r="AF527" i="1" s="1"/>
  <c r="AD415" i="1"/>
  <c r="AF415" i="1" s="1"/>
  <c r="AD422" i="1"/>
  <c r="AF422" i="1" s="1"/>
  <c r="AD552" i="1"/>
  <c r="AF552" i="1" s="1"/>
  <c r="AI617" i="1"/>
  <c r="AE619" i="1"/>
  <c r="AI620" i="1"/>
  <c r="AD629" i="1"/>
  <c r="AF629" i="1" s="1"/>
  <c r="AD466" i="1"/>
  <c r="AF466" i="1" s="1"/>
  <c r="AI520" i="1"/>
  <c r="AI420" i="1"/>
  <c r="AI428" i="1"/>
  <c r="AI525" i="1"/>
  <c r="AI413" i="1"/>
  <c r="AI450" i="1"/>
  <c r="AI67" i="1"/>
  <c r="AI218" i="1"/>
  <c r="AI226" i="1"/>
  <c r="AI513" i="1"/>
  <c r="AI400" i="1"/>
  <c r="AI408" i="1"/>
  <c r="AI307" i="1"/>
  <c r="AI323" i="1"/>
  <c r="AI107" i="1"/>
  <c r="AI135" i="1"/>
  <c r="AI167" i="1"/>
  <c r="AI183" i="1"/>
  <c r="AE425" i="1"/>
  <c r="AE440" i="1"/>
  <c r="AE470" i="1"/>
  <c r="AE478" i="1"/>
  <c r="AE486" i="1"/>
  <c r="AE54" i="1"/>
  <c r="AE60" i="1"/>
  <c r="AE452" i="1"/>
  <c r="AE534" i="1"/>
  <c r="AE198" i="1"/>
  <c r="AE206" i="1"/>
  <c r="AE214" i="1"/>
  <c r="AE230" i="1"/>
  <c r="AE246" i="1"/>
  <c r="AE493" i="1"/>
  <c r="AE81" i="1"/>
  <c r="AE89" i="1"/>
  <c r="AE357" i="1"/>
  <c r="AE319" i="1"/>
  <c r="AE131" i="1"/>
  <c r="AE286" i="1"/>
  <c r="AI469" i="1"/>
  <c r="AI477" i="1"/>
  <c r="AI94" i="1"/>
  <c r="AI205" i="1"/>
  <c r="AI213" i="1"/>
  <c r="AI364" i="1"/>
  <c r="AI372" i="1"/>
  <c r="AI411" i="1"/>
  <c r="AI501" i="1"/>
  <c r="AI122" i="1"/>
  <c r="AI154" i="1"/>
  <c r="AI170" i="1"/>
  <c r="AI495" i="1"/>
  <c r="AI426" i="1"/>
  <c r="AI207" i="1"/>
  <c r="AI358" i="1"/>
  <c r="AI312" i="1"/>
  <c r="AI18" i="1"/>
  <c r="AI132" i="1"/>
  <c r="AI156" i="1"/>
  <c r="AI164" i="1"/>
  <c r="AI180" i="1"/>
  <c r="AI271" i="1"/>
  <c r="AI279" i="1"/>
  <c r="AI303" i="1"/>
  <c r="AE340" i="1"/>
  <c r="AI435" i="1"/>
  <c r="AI465" i="1"/>
  <c r="AI473" i="1"/>
  <c r="AI481" i="1"/>
  <c r="AI455" i="1"/>
  <c r="AI463" i="1"/>
  <c r="AI51" i="1"/>
  <c r="AI446" i="1"/>
  <c r="AI449" i="1"/>
  <c r="AI66" i="1"/>
  <c r="AI497" i="1"/>
  <c r="AI201" i="1"/>
  <c r="AI209" i="1"/>
  <c r="AI217" i="1"/>
  <c r="AI225" i="1"/>
  <c r="AI233" i="1"/>
  <c r="AI241" i="1"/>
  <c r="AI249" i="1"/>
  <c r="AI512" i="1"/>
  <c r="AI77" i="1"/>
  <c r="AI84" i="1"/>
  <c r="AI352" i="1"/>
  <c r="AI360" i="1"/>
  <c r="AI368" i="1"/>
  <c r="AI376" i="1"/>
  <c r="AI383" i="1"/>
  <c r="AI391" i="1"/>
  <c r="AI399" i="1"/>
  <c r="AI407" i="1"/>
  <c r="AI519" i="1"/>
  <c r="AI306" i="1"/>
  <c r="AI314" i="1"/>
  <c r="AI322" i="1"/>
  <c r="AI338" i="1"/>
  <c r="AI489" i="1"/>
  <c r="AI503" i="1"/>
  <c r="AI537" i="1"/>
  <c r="AI100" i="1"/>
  <c r="AI15" i="1"/>
  <c r="AI114" i="1"/>
  <c r="AI119" i="1"/>
  <c r="AI126" i="1"/>
  <c r="AI134" i="1"/>
  <c r="AI142" i="1"/>
  <c r="AI150" i="1"/>
  <c r="AI158" i="1"/>
  <c r="AI174" i="1"/>
  <c r="AI182" i="1"/>
  <c r="AI258" i="1"/>
  <c r="AI265" i="1"/>
  <c r="AI281" i="1"/>
  <c r="AI289" i="1"/>
  <c r="AE415" i="1"/>
  <c r="AE458" i="1"/>
  <c r="AE444" i="1"/>
  <c r="AE451" i="1"/>
  <c r="AE69" i="1"/>
  <c r="AE533" i="1"/>
  <c r="AE196" i="1"/>
  <c r="AE204" i="1"/>
  <c r="AE220" i="1"/>
  <c r="AE228" i="1"/>
  <c r="AE236" i="1"/>
  <c r="AE244" i="1"/>
  <c r="AE510" i="1"/>
  <c r="AE72" i="1"/>
  <c r="AE80" i="1"/>
  <c r="AE87" i="1"/>
  <c r="AE355" i="1"/>
  <c r="AE371" i="1"/>
  <c r="AE379" i="1"/>
  <c r="AE386" i="1"/>
  <c r="AE284" i="1"/>
  <c r="AE523" i="1"/>
  <c r="AE318" i="1"/>
  <c r="AE334" i="1"/>
  <c r="AE130" i="1"/>
  <c r="AE186" i="1"/>
  <c r="AE20" i="1"/>
  <c r="AE269" i="1"/>
  <c r="AD66" i="1"/>
  <c r="AF66" i="1" s="1"/>
  <c r="AD161" i="1"/>
  <c r="AF161" i="1" s="1"/>
  <c r="AE380" i="1"/>
  <c r="AE396" i="1"/>
  <c r="AE404" i="1"/>
  <c r="AE529" i="1"/>
  <c r="AE311" i="1"/>
  <c r="AE327" i="1"/>
  <c r="AE335" i="1"/>
  <c r="AE351" i="1"/>
  <c r="AE526" i="1"/>
  <c r="AE99" i="1"/>
  <c r="AE105" i="1"/>
  <c r="AE117" i="1"/>
  <c r="AE123" i="1"/>
  <c r="AE139" i="1"/>
  <c r="AE163" i="1"/>
  <c r="AE171" i="1"/>
  <c r="AE179" i="1"/>
  <c r="AE262" i="1"/>
  <c r="AE294" i="1"/>
  <c r="AD115" i="1"/>
  <c r="AF115" i="1" s="1"/>
  <c r="AD558" i="1"/>
  <c r="AF558" i="1" s="1"/>
  <c r="AE373" i="1"/>
  <c r="AE388" i="1"/>
  <c r="AE343" i="1"/>
  <c r="AI415" i="1"/>
  <c r="AI423" i="1"/>
  <c r="AI430" i="1"/>
  <c r="AI438" i="1"/>
  <c r="AI468" i="1"/>
  <c r="AI476" i="1"/>
  <c r="AI484" i="1"/>
  <c r="AI458" i="1"/>
  <c r="AI93" i="1"/>
  <c r="AI444" i="1"/>
  <c r="AI58" i="1"/>
  <c r="AI451" i="1"/>
  <c r="AI69" i="1"/>
  <c r="AI533" i="1"/>
  <c r="AI196" i="1"/>
  <c r="AI204" i="1"/>
  <c r="AI212" i="1"/>
  <c r="AI220" i="1"/>
  <c r="AI228" i="1"/>
  <c r="AI236" i="1"/>
  <c r="AI244" i="1"/>
  <c r="AI510" i="1"/>
  <c r="AI72" i="1"/>
  <c r="AI80" i="1"/>
  <c r="AI87" i="1"/>
  <c r="AI355" i="1"/>
  <c r="AI363" i="1"/>
  <c r="AI371" i="1"/>
  <c r="AI379" i="1"/>
  <c r="AI386" i="1"/>
  <c r="AI394" i="1"/>
  <c r="AI402" i="1"/>
  <c r="AI410" i="1"/>
  <c r="AI528" i="1"/>
  <c r="AI309" i="1"/>
  <c r="AI317" i="1"/>
  <c r="AI325" i="1"/>
  <c r="AI333" i="1"/>
  <c r="AI341" i="1"/>
  <c r="AI349" i="1"/>
  <c r="AI505" i="1"/>
  <c r="AI540" i="1"/>
  <c r="AI103" i="1"/>
  <c r="AI109" i="1"/>
  <c r="AI16" i="1"/>
  <c r="AI121" i="1"/>
  <c r="AI129" i="1"/>
  <c r="AI137" i="1"/>
  <c r="AI145" i="1"/>
  <c r="AI153" i="1"/>
  <c r="AI161" i="1"/>
  <c r="AI169" i="1"/>
  <c r="AI177" i="1"/>
  <c r="AI185" i="1"/>
  <c r="AI193" i="1"/>
  <c r="AI253" i="1"/>
  <c r="AI261" i="1"/>
  <c r="AI268" i="1"/>
  <c r="AI276" i="1"/>
  <c r="AI284" i="1"/>
  <c r="AI292" i="1"/>
  <c r="AI300" i="1"/>
  <c r="AD411" i="1"/>
  <c r="AF411" i="1" s="1"/>
  <c r="AD203" i="1"/>
  <c r="AF203" i="1" s="1"/>
  <c r="AD89" i="1"/>
  <c r="AF89" i="1" s="1"/>
  <c r="AI641" i="1"/>
  <c r="AE639" i="1"/>
  <c r="AE642" i="1"/>
  <c r="AE418" i="1"/>
  <c r="AE426" i="1"/>
  <c r="AE433" i="1"/>
  <c r="AE441" i="1"/>
  <c r="AE471" i="1"/>
  <c r="AE479" i="1"/>
  <c r="AE487" i="1"/>
  <c r="AE461" i="1"/>
  <c r="AE96" i="1"/>
  <c r="AE445" i="1"/>
  <c r="AE447" i="1"/>
  <c r="AE64" i="1"/>
  <c r="AE524" i="1"/>
  <c r="AE498" i="1"/>
  <c r="AE199" i="1"/>
  <c r="AE207" i="1"/>
  <c r="AE215" i="1"/>
  <c r="AE223" i="1"/>
  <c r="AE231" i="1"/>
  <c r="AE239" i="1"/>
  <c r="AE247" i="1"/>
  <c r="AE494" i="1"/>
  <c r="AE75" i="1"/>
  <c r="AE82" i="1"/>
  <c r="AE90" i="1"/>
  <c r="AE358" i="1"/>
  <c r="AE366" i="1"/>
  <c r="AE374" i="1"/>
  <c r="AE381" i="1"/>
  <c r="AE389" i="1"/>
  <c r="AE397" i="1"/>
  <c r="AE405" i="1"/>
  <c r="AE304" i="1"/>
  <c r="AE530" i="1"/>
  <c r="AE312" i="1"/>
  <c r="AE320" i="1"/>
  <c r="AE328" i="1"/>
  <c r="AE336" i="1"/>
  <c r="AE344" i="1"/>
  <c r="AE488" i="1"/>
  <c r="AE502" i="1"/>
  <c r="AD438" i="1"/>
  <c r="AF438" i="1" s="1"/>
  <c r="AD445" i="1"/>
  <c r="AF445" i="1" s="1"/>
  <c r="AD235" i="1"/>
  <c r="AF235" i="1" s="1"/>
  <c r="AE633" i="1"/>
  <c r="AI647" i="1"/>
  <c r="AD484" i="1"/>
  <c r="AF484" i="1" s="1"/>
  <c r="AD363" i="1"/>
  <c r="AF363" i="1" s="1"/>
  <c r="AD314" i="1"/>
  <c r="AF314" i="1" s="1"/>
  <c r="AD339" i="1"/>
  <c r="AF339" i="1" s="1"/>
  <c r="AD158" i="1"/>
  <c r="AF158" i="1" s="1"/>
  <c r="AD439" i="1"/>
  <c r="AF439" i="1" s="1"/>
  <c r="AD208" i="1"/>
  <c r="AF208" i="1" s="1"/>
  <c r="AD359" i="1"/>
  <c r="AF359" i="1" s="1"/>
  <c r="AD342" i="1"/>
  <c r="AF342" i="1" s="1"/>
  <c r="AD349" i="1"/>
  <c r="AF349" i="1" s="1"/>
  <c r="AD570" i="1"/>
  <c r="AF570" i="1" s="1"/>
  <c r="AI622" i="1"/>
  <c r="AI117" i="1"/>
  <c r="AI419" i="1"/>
  <c r="AI454" i="1"/>
  <c r="AI511" i="1"/>
  <c r="AI390" i="1"/>
  <c r="AI329" i="1"/>
  <c r="AI157" i="1"/>
  <c r="AI257" i="1"/>
  <c r="AI296" i="1"/>
  <c r="AE520" i="1"/>
  <c r="AE449" i="1"/>
  <c r="AE225" i="1"/>
  <c r="AE249" i="1"/>
  <c r="AE391" i="1"/>
  <c r="AE119" i="1"/>
  <c r="AE193" i="1"/>
  <c r="AD21" i="1"/>
  <c r="AF21" i="1" s="1"/>
  <c r="AD458" i="1"/>
  <c r="AF458" i="1" s="1"/>
  <c r="AD400" i="1"/>
  <c r="AF400" i="1" s="1"/>
  <c r="AD427" i="1"/>
  <c r="AF427" i="1" s="1"/>
  <c r="AD64" i="1"/>
  <c r="AF64" i="1" s="1"/>
  <c r="AD215" i="1"/>
  <c r="AF215" i="1" s="1"/>
  <c r="AD87" i="1"/>
  <c r="AF87" i="1" s="1"/>
  <c r="AD354" i="1"/>
  <c r="AF354" i="1" s="1"/>
  <c r="AD531" i="1"/>
  <c r="AF531" i="1" s="1"/>
  <c r="AD272" i="1"/>
  <c r="AF272" i="1" s="1"/>
  <c r="AD563" i="1"/>
  <c r="AF563" i="1" s="1"/>
  <c r="AD619" i="1"/>
  <c r="AF619" i="1" s="1"/>
  <c r="AD626" i="1"/>
  <c r="AF626" i="1" s="1"/>
  <c r="AD226" i="1"/>
  <c r="AF226" i="1" s="1"/>
  <c r="AD358" i="1"/>
  <c r="AF358" i="1" s="1"/>
  <c r="AD530" i="1"/>
  <c r="AF530" i="1" s="1"/>
  <c r="AD348" i="1"/>
  <c r="AF348" i="1" s="1"/>
  <c r="AD153" i="1"/>
  <c r="AF153" i="1" s="1"/>
  <c r="AD288" i="1"/>
  <c r="AF288" i="1" s="1"/>
  <c r="AD294" i="1"/>
  <c r="AF294" i="1" s="1"/>
  <c r="AD300" i="1"/>
  <c r="AF300" i="1" s="1"/>
  <c r="AD82" i="1"/>
  <c r="AF82" i="1" s="1"/>
  <c r="AD344" i="1"/>
  <c r="AF344" i="1" s="1"/>
  <c r="AD273" i="1"/>
  <c r="AF273" i="1" s="1"/>
  <c r="AE542" i="1"/>
  <c r="AI542" i="1"/>
  <c r="AE24" i="1"/>
  <c r="AE568" i="1"/>
  <c r="AE552" i="1"/>
  <c r="AE566" i="1"/>
  <c r="AE558" i="1"/>
  <c r="AE572" i="1"/>
  <c r="AE564" i="1"/>
  <c r="AE556" i="1"/>
  <c r="AI567" i="1"/>
  <c r="AD25" i="1"/>
  <c r="AF25" i="1" s="1"/>
  <c r="AD24" i="1"/>
  <c r="AF24" i="1" s="1"/>
  <c r="AD557" i="1"/>
  <c r="AF557" i="1" s="1"/>
  <c r="AD620" i="1"/>
  <c r="AF620" i="1" s="1"/>
  <c r="AD631" i="1"/>
  <c r="AF631" i="1" s="1"/>
  <c r="AD68" i="1"/>
  <c r="AF68" i="1" s="1"/>
  <c r="AD497" i="1"/>
  <c r="AF497" i="1" s="1"/>
  <c r="AD223" i="1"/>
  <c r="AF223" i="1" s="1"/>
  <c r="AD241" i="1"/>
  <c r="AF241" i="1" s="1"/>
  <c r="AD395" i="1"/>
  <c r="AF395" i="1" s="1"/>
  <c r="AD406" i="1"/>
  <c r="AF406" i="1" s="1"/>
  <c r="AD583" i="1"/>
  <c r="AF583" i="1" s="1"/>
  <c r="AD602" i="1"/>
  <c r="AF602" i="1" s="1"/>
  <c r="AE620" i="1"/>
  <c r="AI621" i="1"/>
  <c r="AI646" i="1"/>
  <c r="AD424" i="1"/>
  <c r="AF424" i="1" s="1"/>
  <c r="AD79" i="1"/>
  <c r="AF79" i="1" s="1"/>
  <c r="AI644" i="1"/>
  <c r="AD646" i="1"/>
  <c r="AF646" i="1" s="1"/>
  <c r="AE508" i="1"/>
  <c r="AE541" i="1"/>
  <c r="AE106" i="1"/>
  <c r="AE112" i="1"/>
  <c r="AE18" i="1"/>
  <c r="AE124" i="1"/>
  <c r="AE132" i="1"/>
  <c r="AE140" i="1"/>
  <c r="AE148" i="1"/>
  <c r="AE156" i="1"/>
  <c r="AE164" i="1"/>
  <c r="AE172" i="1"/>
  <c r="AE180" i="1"/>
  <c r="AE188" i="1"/>
  <c r="AE515" i="1"/>
  <c r="AE256" i="1"/>
  <c r="AE263" i="1"/>
  <c r="AE271" i="1"/>
  <c r="AE279" i="1"/>
  <c r="AE295" i="1"/>
  <c r="AE303" i="1"/>
  <c r="AD414" i="1"/>
  <c r="AF414" i="1" s="1"/>
  <c r="AD480" i="1"/>
  <c r="AF480" i="1" s="1"/>
  <c r="AD444" i="1"/>
  <c r="AF444" i="1" s="1"/>
  <c r="AD57" i="1"/>
  <c r="AF57" i="1" s="1"/>
  <c r="AD65" i="1"/>
  <c r="AF65" i="1" s="1"/>
  <c r="AD496" i="1"/>
  <c r="AF496" i="1" s="1"/>
  <c r="AD220" i="1"/>
  <c r="AF220" i="1" s="1"/>
  <c r="AD227" i="1"/>
  <c r="AF227" i="1" s="1"/>
  <c r="AD240" i="1"/>
  <c r="AF240" i="1" s="1"/>
  <c r="AD331" i="1"/>
  <c r="AF331" i="1" s="1"/>
  <c r="AD501" i="1"/>
  <c r="AF501" i="1" s="1"/>
  <c r="AD141" i="1"/>
  <c r="AF141" i="1" s="1"/>
  <c r="AD159" i="1"/>
  <c r="AF159" i="1" s="1"/>
  <c r="AD447" i="1"/>
  <c r="AF447" i="1" s="1"/>
  <c r="AD591" i="1"/>
  <c r="AF591" i="1" s="1"/>
  <c r="AI615" i="1"/>
  <c r="AE638" i="1"/>
  <c r="AD642" i="1"/>
  <c r="AF642" i="1" s="1"/>
  <c r="AI650" i="1"/>
  <c r="AD374" i="1"/>
  <c r="AF374" i="1" s="1"/>
  <c r="AD364" i="1"/>
  <c r="AF364" i="1" s="1"/>
  <c r="AE546" i="1"/>
  <c r="AI546" i="1"/>
  <c r="AI560" i="1"/>
  <c r="AI552" i="1"/>
  <c r="AD229" i="1"/>
  <c r="AF229" i="1" s="1"/>
  <c r="AI414" i="1"/>
  <c r="AI422" i="1"/>
  <c r="AI429" i="1"/>
  <c r="AI437" i="1"/>
  <c r="AI475" i="1"/>
  <c r="AI483" i="1"/>
  <c r="AI457" i="1"/>
  <c r="AI92" i="1"/>
  <c r="AI443" i="1"/>
  <c r="AI57" i="1"/>
  <c r="AI61" i="1"/>
  <c r="AI68" i="1"/>
  <c r="AI195" i="1"/>
  <c r="AI203" i="1"/>
  <c r="AI211" i="1"/>
  <c r="AI219" i="1"/>
  <c r="AI227" i="1"/>
  <c r="AI235" i="1"/>
  <c r="AI509" i="1"/>
  <c r="AI362" i="1"/>
  <c r="AI378" i="1"/>
  <c r="AI385" i="1"/>
  <c r="AI393" i="1"/>
  <c r="AI401" i="1"/>
  <c r="AI409" i="1"/>
  <c r="AI527" i="1"/>
  <c r="AI308" i="1"/>
  <c r="AI316" i="1"/>
  <c r="AI324" i="1"/>
  <c r="AI332" i="1"/>
  <c r="AI340" i="1"/>
  <c r="AI348" i="1"/>
  <c r="AI490" i="1"/>
  <c r="AI504" i="1"/>
  <c r="AI539" i="1"/>
  <c r="AI102" i="1"/>
  <c r="AI19" i="1"/>
  <c r="AI128" i="1"/>
  <c r="AI136" i="1"/>
  <c r="AI144" i="1"/>
  <c r="AI152" i="1"/>
  <c r="AI160" i="1"/>
  <c r="AI168" i="1"/>
  <c r="AI192" i="1"/>
  <c r="AI252" i="1"/>
  <c r="AI267" i="1"/>
  <c r="AI275" i="1"/>
  <c r="AI283" i="1"/>
  <c r="AI291" i="1"/>
  <c r="AI299" i="1"/>
  <c r="AD267" i="1"/>
  <c r="AF267" i="1" s="1"/>
  <c r="AE419" i="1"/>
  <c r="AE427" i="1"/>
  <c r="AE434" i="1"/>
  <c r="AE442" i="1"/>
  <c r="AE472" i="1"/>
  <c r="AE480" i="1"/>
  <c r="AE454" i="1"/>
  <c r="AE462" i="1"/>
  <c r="AE12" i="1"/>
  <c r="AE55" i="1"/>
  <c r="AE448" i="1"/>
  <c r="AE65" i="1"/>
  <c r="AE496" i="1"/>
  <c r="AE499" i="1"/>
  <c r="AE200" i="1"/>
  <c r="AE208" i="1"/>
  <c r="AE216" i="1"/>
  <c r="AE224" i="1"/>
  <c r="AE232" i="1"/>
  <c r="AE240" i="1"/>
  <c r="AE248" i="1"/>
  <c r="AE511" i="1"/>
  <c r="AE76" i="1"/>
  <c r="AE83" i="1"/>
  <c r="AE91" i="1"/>
  <c r="AE359" i="1"/>
  <c r="AE367" i="1"/>
  <c r="AE375" i="1"/>
  <c r="AE382" i="1"/>
  <c r="AE390" i="1"/>
  <c r="AE398" i="1"/>
  <c r="AE406" i="1"/>
  <c r="AE518" i="1"/>
  <c r="AE531" i="1"/>
  <c r="AE313" i="1"/>
  <c r="AE321" i="1"/>
  <c r="AE329" i="1"/>
  <c r="AE337" i="1"/>
  <c r="AE345" i="1"/>
  <c r="AE97" i="1"/>
  <c r="AE522" i="1"/>
  <c r="AE536" i="1"/>
  <c r="AE22" i="1"/>
  <c r="AE118" i="1"/>
  <c r="AE133" i="1"/>
  <c r="AE149" i="1"/>
  <c r="AE165" i="1"/>
  <c r="AE189" i="1"/>
  <c r="AE257" i="1"/>
  <c r="AE264" i="1"/>
  <c r="AE288" i="1"/>
  <c r="AE413" i="1"/>
  <c r="AE21" i="1"/>
  <c r="AE436" i="1"/>
  <c r="AE234" i="1"/>
  <c r="AE500" i="1"/>
  <c r="AD420" i="1"/>
  <c r="AF420" i="1" s="1"/>
  <c r="AD122" i="1"/>
  <c r="AF122" i="1" s="1"/>
  <c r="AE623" i="1"/>
  <c r="AD71" i="1"/>
  <c r="AF71" i="1" s="1"/>
  <c r="AE589" i="1"/>
  <c r="AE144" i="1"/>
  <c r="AE299" i="1"/>
  <c r="AD503" i="1"/>
  <c r="AF503" i="1" s="1"/>
  <c r="AI573" i="1"/>
  <c r="AI173" i="1"/>
  <c r="AD475" i="1"/>
  <c r="AF475" i="1" s="1"/>
  <c r="AD198" i="1"/>
  <c r="AF198" i="1" s="1"/>
  <c r="AD83" i="1"/>
  <c r="AF83" i="1" s="1"/>
  <c r="AD370" i="1"/>
  <c r="AF370" i="1" s="1"/>
  <c r="AE617" i="1"/>
  <c r="AI618" i="1"/>
  <c r="AE625" i="1"/>
  <c r="AI626" i="1"/>
  <c r="AD592" i="1"/>
  <c r="AF592" i="1" s="1"/>
  <c r="AD616" i="1"/>
  <c r="AF616" i="1" s="1"/>
  <c r="AD622" i="1"/>
  <c r="AF622" i="1" s="1"/>
  <c r="AE649" i="1"/>
  <c r="AE402" i="1"/>
  <c r="AE410" i="1"/>
  <c r="AE528" i="1"/>
  <c r="AE309" i="1"/>
  <c r="AE317" i="1"/>
  <c r="AE325" i="1"/>
  <c r="AE333" i="1"/>
  <c r="AE341" i="1"/>
  <c r="AE491" i="1"/>
  <c r="AE540" i="1"/>
  <c r="AE103" i="1"/>
  <c r="AE16" i="1"/>
  <c r="AE121" i="1"/>
  <c r="AE129" i="1"/>
  <c r="AE137" i="1"/>
  <c r="AE145" i="1"/>
  <c r="AE153" i="1"/>
  <c r="AE161" i="1"/>
  <c r="AE169" i="1"/>
  <c r="AE177" i="1"/>
  <c r="AE185" i="1"/>
  <c r="AE253" i="1"/>
  <c r="AE268" i="1"/>
  <c r="AE292" i="1"/>
  <c r="AE53" i="1"/>
  <c r="AE59" i="1"/>
  <c r="AE197" i="1"/>
  <c r="AE245" i="1"/>
  <c r="AE88" i="1"/>
  <c r="AE622" i="1"/>
  <c r="AE643" i="1"/>
  <c r="AD225" i="1"/>
  <c r="AF225" i="1" s="1"/>
  <c r="AD554" i="1"/>
  <c r="AF554" i="1" s="1"/>
  <c r="AD645" i="1"/>
  <c r="AF645" i="1" s="1"/>
  <c r="AI254" i="1"/>
  <c r="AI277" i="1"/>
  <c r="AE51" i="1"/>
  <c r="AE446" i="1"/>
  <c r="AE66" i="1"/>
  <c r="AE265" i="1"/>
  <c r="AD128" i="1"/>
  <c r="AF128" i="1" s="1"/>
  <c r="AD621" i="1"/>
  <c r="AF621" i="1" s="1"/>
  <c r="AD634" i="1"/>
  <c r="AF634" i="1" s="1"/>
  <c r="AD638" i="1"/>
  <c r="AF638" i="1" s="1"/>
  <c r="AI639" i="1"/>
  <c r="AI640" i="1"/>
  <c r="AD102" i="1"/>
  <c r="AF102" i="1" s="1"/>
  <c r="AI588" i="1"/>
  <c r="AE628" i="1"/>
  <c r="AE631" i="1"/>
  <c r="AD647" i="1"/>
  <c r="AF647" i="1" s="1"/>
  <c r="AI614" i="1"/>
  <c r="AD625" i="1"/>
  <c r="AF625" i="1" s="1"/>
  <c r="AI631" i="1"/>
  <c r="AE635" i="1"/>
  <c r="AE641" i="1"/>
  <c r="AE644" i="1"/>
  <c r="AD618" i="1"/>
  <c r="AF618" i="1" s="1"/>
  <c r="AD624" i="1"/>
  <c r="AF624" i="1" s="1"/>
  <c r="AE629" i="1"/>
  <c r="AE640" i="1"/>
  <c r="AD643" i="1"/>
  <c r="AF643" i="1" s="1"/>
  <c r="AE646" i="1"/>
  <c r="AD274" i="1"/>
  <c r="AF274" i="1" s="1"/>
  <c r="AE615" i="1"/>
  <c r="AI619" i="1"/>
  <c r="AE621" i="1"/>
  <c r="AI624" i="1"/>
  <c r="AI629" i="1"/>
  <c r="AI635" i="1"/>
  <c r="AI645" i="1"/>
  <c r="AD640" i="1"/>
  <c r="AF640" i="1" s="1"/>
  <c r="AE632" i="1"/>
  <c r="AI634" i="1"/>
  <c r="AD637" i="1"/>
  <c r="AF637" i="1" s="1"/>
  <c r="AD615" i="1"/>
  <c r="AF615" i="1" s="1"/>
  <c r="AI616" i="1"/>
  <c r="AE618" i="1"/>
  <c r="AE626" i="1"/>
  <c r="AD635" i="1"/>
  <c r="AF635" i="1" s="1"/>
  <c r="AI638" i="1"/>
  <c r="AD641" i="1"/>
  <c r="AF641" i="1" s="1"/>
  <c r="AE630" i="1"/>
  <c r="AD639" i="1"/>
  <c r="AF639" i="1" s="1"/>
  <c r="AE650" i="1"/>
  <c r="AE624" i="1"/>
  <c r="AI625" i="1"/>
  <c r="AE647" i="1"/>
  <c r="AD650" i="1"/>
  <c r="AF650" i="1" s="1"/>
  <c r="AD614" i="1"/>
  <c r="AF614" i="1" s="1"/>
  <c r="AD623" i="1"/>
  <c r="AF623" i="1" s="1"/>
  <c r="AE645" i="1"/>
  <c r="AE648" i="1"/>
  <c r="O8" i="1" l="1"/>
  <c r="R8" i="1" s="1"/>
</calcChain>
</file>

<file path=xl/sharedStrings.xml><?xml version="1.0" encoding="utf-8"?>
<sst xmlns="http://schemas.openxmlformats.org/spreadsheetml/2006/main" count="11498" uniqueCount="1015">
  <si>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</si>
  <si>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</si>
  <si>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</si>
  <si>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</si>
  <si>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</si>
  <si>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</si>
  <si>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</si>
  <si>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</si>
  <si>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</si>
  <si>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</si>
  <si>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</si>
  <si>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</si>
  <si>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</si>
  <si>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</si>
  <si>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</si>
  <si>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</si>
  <si>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</si>
  <si>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</si>
  <si>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</si>
  <si>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</si>
  <si>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</si>
  <si>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</si>
  <si>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</si>
  <si>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</si>
  <si>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</si>
  <si>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</si>
  <si>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</si>
  <si>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</si>
  <si>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</si>
  <si>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</si>
  <si>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</si>
  <si>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</si>
  <si>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</si>
  <si>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</si>
  <si>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</si>
  <si>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</si>
  <si>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</si>
  <si>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</si>
  <si>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</si>
  <si>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</si>
  <si>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</si>
  <si>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</si>
  <si>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</si>
  <si>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</si>
  <si>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</si>
  <si>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</si>
  <si>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</si>
  <si>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</si>
  <si>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</si>
  <si>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</si>
  <si>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</si>
  <si>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</si>
  <si>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</si>
  <si>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</si>
  <si>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</si>
  <si>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</si>
  <si>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</si>
  <si>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</si>
  <si>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</si>
  <si>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</si>
  <si>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</si>
  <si>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</si>
  <si>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</si>
  <si>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</si>
  <si>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</si>
  <si>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</si>
  <si>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</si>
  <si>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</si>
  <si>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Fuente de Recursos</t>
  </si>
  <si>
    <t>plazo ejec Meses</t>
  </si>
  <si>
    <t>Modalidad de Selección</t>
  </si>
  <si>
    <t>Si Secop / No Secop</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</si>
  <si>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</si>
  <si>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</si>
  <si>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</si>
  <si>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</si>
  <si>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</si>
  <si>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</si>
  <si>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</si>
  <si>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</si>
  <si>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</si>
  <si>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</si>
  <si>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</si>
  <si>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</si>
  <si>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</si>
  <si>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</si>
  <si>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</si>
  <si>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</si>
  <si>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</si>
  <si>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</si>
  <si>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</si>
  <si>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</si>
  <si>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</si>
  <si>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</si>
  <si>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</si>
  <si>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</si>
  <si>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</si>
  <si>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</si>
  <si>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</si>
  <si>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</si>
  <si>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</si>
  <si>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</si>
  <si>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</si>
  <si>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</si>
  <si>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</si>
  <si>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</si>
  <si>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</si>
  <si>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</si>
  <si>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</si>
  <si>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</si>
  <si>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</si>
  <si>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</si>
  <si>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</si>
  <si>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</si>
  <si>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</si>
  <si>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</si>
  <si>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</si>
  <si>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</si>
  <si>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</si>
  <si>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</si>
  <si>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</si>
  <si>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</si>
  <si>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</si>
  <si>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</si>
  <si>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</si>
  <si>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</si>
  <si>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</si>
  <si>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</si>
  <si>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</si>
  <si>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</si>
  <si>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</si>
  <si>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</si>
  <si>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</si>
  <si>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</si>
  <si>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</si>
  <si>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</si>
  <si>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17 - contrato de mantenimiento</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</si>
  <si>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</si>
  <si>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</si>
  <si>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</si>
  <si>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</si>
  <si>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</si>
  <si>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</si>
  <si>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</si>
  <si>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</si>
  <si>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</si>
  <si>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</si>
  <si>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</si>
  <si>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</si>
  <si>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</si>
  <si>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</si>
  <si>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</si>
  <si>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</si>
  <si>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</si>
  <si>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</si>
  <si>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</si>
  <si>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</si>
  <si>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</si>
  <si>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</si>
  <si>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</si>
  <si>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</si>
  <si>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</si>
  <si>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</si>
  <si>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</si>
  <si>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</si>
  <si>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</si>
  <si>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</si>
  <si>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</si>
  <si>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</si>
  <si>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</si>
  <si>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</si>
  <si>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</si>
  <si>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</si>
  <si>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</si>
  <si>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</si>
  <si>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</si>
  <si>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</si>
  <si>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</si>
  <si>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</si>
  <si>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</si>
  <si>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</si>
  <si>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</si>
  <si>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</si>
  <si>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</si>
  <si>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</si>
  <si>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</si>
  <si>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</si>
  <si>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</si>
  <si>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</si>
  <si>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</si>
  <si>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</si>
  <si>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</si>
  <si>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</si>
  <si>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</si>
  <si>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</si>
  <si>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</si>
  <si>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</si>
  <si>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</si>
  <si>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</si>
  <si>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</si>
  <si>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</si>
  <si>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</si>
  <si>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</si>
  <si>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</si>
  <si>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</si>
  <si>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</si>
  <si>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</si>
  <si>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</si>
  <si>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</si>
  <si>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</si>
  <si>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</si>
  <si>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</si>
  <si>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</si>
  <si>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</si>
  <si>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</si>
  <si>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</si>
  <si>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</si>
  <si>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</si>
  <si>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</si>
  <si>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</si>
  <si>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</si>
  <si>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</si>
  <si>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</si>
  <si>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</si>
  <si>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</si>
  <si>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</si>
  <si>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</si>
  <si>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</si>
  <si>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</si>
  <si>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</si>
  <si>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</si>
  <si>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</si>
  <si>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</si>
  <si>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</si>
  <si>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</si>
  <si>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</si>
  <si>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</si>
  <si>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</si>
  <si>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</si>
  <si>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</si>
  <si>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</si>
  <si>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</si>
  <si>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</si>
  <si>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</si>
  <si>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</si>
  <si>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</si>
  <si>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</si>
  <si>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</si>
  <si>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</si>
  <si>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</si>
  <si>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</si>
  <si>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</si>
  <si>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</si>
  <si>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</si>
  <si>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</si>
  <si>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</si>
  <si>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</si>
  <si>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</si>
  <si>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</si>
  <si>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</si>
  <si>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</si>
  <si>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</si>
  <si>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</si>
  <si>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</si>
  <si>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</si>
  <si>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</si>
  <si>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</si>
  <si>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</si>
  <si>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</si>
  <si>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</si>
  <si>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</si>
  <si>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</si>
  <si>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</si>
  <si>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</si>
  <si>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</si>
  <si>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</si>
  <si>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</si>
  <si>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</si>
  <si>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</si>
  <si>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</si>
  <si>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</si>
  <si>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</si>
  <si>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</si>
  <si>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</si>
  <si>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PM MGA conca</t>
  </si>
  <si>
    <t>PMR conca</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</si>
  <si>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</si>
  <si>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</si>
  <si>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</si>
  <si>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</si>
  <si>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</si>
  <si>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</si>
  <si>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</si>
  <si>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</si>
  <si>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</si>
  <si>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</si>
  <si>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</si>
  <si>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</si>
  <si>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</si>
  <si>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</si>
  <si>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</si>
  <si>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</si>
  <si>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</si>
  <si>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</si>
  <si>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</si>
  <si>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</si>
  <si>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</si>
  <si>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</si>
  <si>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</si>
  <si>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</si>
  <si>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</si>
  <si>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</si>
  <si>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</si>
  <si>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</si>
  <si>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</si>
  <si>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</si>
  <si>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</si>
  <si>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</si>
  <si>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</si>
  <si>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</si>
  <si>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</si>
  <si>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</si>
  <si>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</si>
  <si>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</si>
  <si>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</si>
  <si>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</si>
  <si>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</si>
  <si>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</si>
  <si>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</si>
  <si>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</si>
  <si>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</si>
  <si>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</si>
  <si>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</si>
  <si>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</si>
  <si>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mas plazo ejec Días (si aplica)</t>
  </si>
  <si>
    <t>N/A</t>
  </si>
  <si>
    <t>N/A-N/A N/A_N/A</t>
  </si>
  <si>
    <t>Programado</t>
  </si>
  <si>
    <t>DISTRIBUCIÓN PPTAL PROYECTADA PAA VR 0</t>
  </si>
  <si>
    <t xml:space="preserve">proyecto </t>
  </si>
  <si>
    <t>Diferencia</t>
  </si>
  <si>
    <t>ARMONIZACION</t>
  </si>
  <si>
    <t>O23202020088714199 Servicio de mantenimiento y reparación de vehículos automotores n.c.p. MTTO VEHICULOS (3.850.000.000)
O23201010030208 Otra maquinaria para usos especiales y sus partes y piezas (600.000.000) FOX - ALINEACIÓN Y BALAN</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</si>
  <si>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</si>
  <si>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</si>
  <si>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</si>
  <si>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Etiquetas de fila</t>
  </si>
  <si>
    <t>Total general</t>
  </si>
  <si>
    <t>1-100-I087 VA-Sobretasa Bomberil</t>
  </si>
  <si>
    <t>O2120201002082823609    Uniformes de trabajo</t>
  </si>
  <si>
    <t xml:space="preserve"> </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</si>
  <si>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</si>
  <si>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</si>
  <si>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</si>
  <si>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</si>
  <si>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</si>
  <si>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</si>
  <si>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1-200-I079  RB-Sobretasa Bomberil</t>
  </si>
  <si>
    <t>PLAN ANUAL DE ADQUISICIONES 2026</t>
  </si>
  <si>
    <t>NIT: 899.999.061-9</t>
  </si>
  <si>
    <t>Id Interno</t>
  </si>
  <si>
    <t>Objeto de la contratación</t>
  </si>
  <si>
    <t>TIPO DE CONTRATO</t>
  </si>
  <si>
    <t>TH</t>
  </si>
  <si>
    <t>tipo de Contrato (TH talento humano - B/S bienes y/o servicios)</t>
  </si>
  <si>
    <t>Mes estimado de inicio de ejecución</t>
  </si>
  <si>
    <t>Dependencia Solicitante</t>
  </si>
  <si>
    <t>Responsable del Proceso</t>
  </si>
  <si>
    <t>Proyecto y nombre Asociado</t>
  </si>
  <si>
    <t>Gerente del Proyecto Asociado</t>
  </si>
  <si>
    <t>Objeto de contratacion CDP</t>
  </si>
  <si>
    <t>meta objeto</t>
  </si>
  <si>
    <t>meta objeto2</t>
  </si>
  <si>
    <t>ENERO</t>
  </si>
  <si>
    <t>FEBRERO</t>
  </si>
  <si>
    <t>MARZO</t>
  </si>
  <si>
    <t>ABRIL</t>
  </si>
  <si>
    <t>MAYO</t>
  </si>
  <si>
    <t>JUNIO</t>
  </si>
  <si>
    <t>JULIO</t>
  </si>
  <si>
    <t>AGOSTO</t>
  </si>
  <si>
    <t>SEPTIEMBRE</t>
  </si>
  <si>
    <t>OCTUBRE</t>
  </si>
  <si>
    <t>NOVIEMBRE</t>
  </si>
  <si>
    <t>DICIEMBRE</t>
  </si>
  <si>
    <t>O232020200991191 Servicios administrativos relacionados con los trabajadores estatales</t>
  </si>
  <si>
    <t>O232020200883449 Otros servicios de ensayos y análisis técnicos</t>
  </si>
  <si>
    <t>O23202020088714102 Servicio de mantenimiento y reparación de vehículos automóviles</t>
  </si>
  <si>
    <t xml:space="preserve">Infraestructura física misional construida mantenida y dotada </t>
  </si>
  <si>
    <t>Infraestructura Tecnológica misional (Sistemas de Información y Tecnología)</t>
  </si>
  <si>
    <t>Servicio de monitoreo y seguimiento para la gestión del riesgo</t>
  </si>
  <si>
    <t>14-Infraestructura física misional construida mantenida y dotada  014_Estaciones de bomberos adecuadas</t>
  </si>
  <si>
    <t>PM/0131/0114/45030140255</t>
  </si>
  <si>
    <t>15-Infraestructura Tecnológica misional (Sistemas de Información y Tecnología) 004_Servicio de atención a emergencias y desastres</t>
  </si>
  <si>
    <t>PM/0131/0115/45030040255</t>
  </si>
  <si>
    <t>PM/0131/0116/45030180255</t>
  </si>
  <si>
    <t>¿Se requieren vigencias futuras?</t>
  </si>
  <si>
    <t>SI</t>
  </si>
  <si>
    <t>NO</t>
  </si>
  <si>
    <t>¿vigencia futuras?</t>
  </si>
  <si>
    <t>Valor apropiacion vigencia actual</t>
  </si>
  <si>
    <t>Paula Ximena Henao Escobar</t>
  </si>
  <si>
    <t>BS</t>
  </si>
  <si>
    <t>Prestar los servicios profesionales jurídicos especializados para orientar y apoyar los procesos de contratación en sus diferentes etapas adelantados por la Oficina Jurídica, tendientes a garantizar las necesidades propias de la UAECOB</t>
  </si>
  <si>
    <t>Prestar los servicios profesionales jurídicos especializados en la Oficina Jurídica que garantice la verificación de la legalidad, en apoyo a cada una de las actuaciones a cargo de esta Oficina.</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</si>
  <si>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</si>
  <si>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</si>
  <si>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jurídicos especializados para apoyar el desarrollo de las funciones de la Oficina Jurídica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</si>
  <si>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</si>
  <si>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</si>
  <si>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</si>
  <si>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</si>
  <si>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</si>
  <si>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</si>
  <si>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</si>
  <si>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</si>
  <si>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</si>
  <si>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</si>
  <si>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</si>
  <si>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actuaciones procesales y procedimentales de la Oficina Jurídica</t>
  </si>
  <si>
    <t>Mónica María Pérez Barragán</t>
  </si>
  <si>
    <t>Yenire Yohansy Lozano Ascanio</t>
  </si>
  <si>
    <t>Fatima Veronica Quintero Nuñez</t>
  </si>
  <si>
    <t>Prestar servicios profesionales jurídicos para apoyar la instrucción y demás actuaciones que deban surtirse en los procesos disciplinarios adelantados por la Oficina de Control Disciplinario Interno.</t>
  </si>
  <si>
    <t xml:space="preserve">Prestar servicios profesionales para ejercer las labores de secretaría común y actividades jurídicas que requieren las actuaciones disciplinarias en etapa de instrucción adelantadas por la Oficina de Control Disciplinario Interno.	</t>
  </si>
  <si>
    <t>Prestar los servicios profesionales como abogado en la Oficina de Control Interno para el desarrollo del Plan Anual de Auditorías.</t>
  </si>
  <si>
    <t>Prestar los servicios profesionales como contador público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</si>
  <si>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</si>
  <si>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</si>
  <si>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Contratar la prestación del servicio de monitoreo, control y seguimiento satelital a los vehículos de propiedad de la U.A.E. Cuerpo Oficial de Bomberos de Bogotá - TIC</t>
  </si>
  <si>
    <t>Adquisición, actualización y configuración de la plataforma de comunicaciones de Voz IP compatible con la solución actual con la que cuenta la entidad.</t>
  </si>
  <si>
    <t>Adquisición de un certificado digital servidor seguro SSL para múltiples subdominios y aplicaciones para los sistemas misionales de la UAE cuerpo oficial de bomberos de Bogotá</t>
  </si>
  <si>
    <t>Contratar la renovación del licenciamiento y soporte de las plataformas de seguridad perimetral Fortinet, firewalls y WAF del edificio comando y estaciones para la U.A.E. Cuerpo Oficial de Bomberos de Bogotá - TIC</t>
  </si>
  <si>
    <t>Contratar el alquiler de equipos tecnológicos, periféricos y servicios complementarios para la U.A.E. Cuerpo Oficial de Bomberos de Bogotá. - TIC</t>
  </si>
  <si>
    <t>Contratar el servicio de actualización y soporte de licenciamiento ArcGIS para la U.A.E. Cuerpo Oficial de Bomberos de Bogotá.- TIC</t>
  </si>
  <si>
    <t xml:space="preserve">Contratar la adquisición de tarjetas de comunicación satelital de voz, para la U.A.E. Cuerpo Oficial de Bomberos de Bogotá. </t>
  </si>
  <si>
    <t>Contratar la renovación de garantía y soporte de fabrica de los equipos activos que hacen parte de la infraestructura tecnológica de la U.A.E. Cuerpo Oficial de Bomberos de Bogotá.</t>
  </si>
  <si>
    <t>Actualización y renovación para ASMS( Aranda service manangment suite), soporte y mantenimiento del licenciamiento Software Aranda para la U.A.E. Cuerpo Oficial de Bomberos Bogota - TIC</t>
  </si>
  <si>
    <t>Contratar el servicio de mantenimiento, soporte técnico y actualización del aplicativo PCT, utilizado por la UAE Cuerpo Oficial de Bomberos de Bogota - TIC</t>
  </si>
  <si>
    <t>Contratar la renovación , servicio de actualización y soporte de licenciamiento Oracle para Base de Datos,  y Web Logic para la U.A.E. Cuerpo Oficial de Bomberos de Bogotá - TIC</t>
  </si>
  <si>
    <t>Modernización y mantenimiento de la solución de control de acceso con reconocimiento facial para la U.A.E. Cuerpo Oficial Bomberos de Bogotá</t>
  </si>
  <si>
    <t>Contratar el servicios de mantenimiento para el sistema de atención de turnos de la U.A.E. Cuerpo Ofical de Bomberos de Bogotá - TIC</t>
  </si>
  <si>
    <t xml:space="preserve">Modernizacion y soporte sala de auditorio sede Principal </t>
  </si>
  <si>
    <t>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t>
  </si>
  <si>
    <t>Contratar la renovación tecnologica y fortalecimiento para la infraestructura de seguridad perimetral del edificio comando y estaciones para la U.A.E. Cuerpo Oficial de Bomberos de Bogotá - TIC</t>
  </si>
  <si>
    <t>Contratar la adquisición, renovación y  suscripciones de licencia Microsoft y modulos de seguridad y vulnerabilidad para la U.A.E. Cuerpo Oficial de Bomberos de Bogotá - TIC</t>
  </si>
  <si>
    <t xml:space="preserve">83121700; 83111600; 43221700; 25173100;  81112000; 32101600 </t>
  </si>
  <si>
    <t>43191500
43221500
43222800
81161700
72151600</t>
  </si>
  <si>
    <t>43233200;43222500</t>
  </si>
  <si>
    <t>72151607;72103302</t>
  </si>
  <si>
    <t>72151500; 72101500; 731521000; 39121600; 39121000; 72151500; 72101500; 73152100.</t>
  </si>
  <si>
    <t>83121700;83111600;43221700</t>
  </si>
  <si>
    <t xml:space="preserve">81112222
81111811
43231501
43231513 </t>
  </si>
  <si>
    <t>81112200;81112201</t>
  </si>
  <si>
    <t>81112204;81112501</t>
  </si>
  <si>
    <t xml:space="preserve">46171619, 81111805 ,81112208 </t>
  </si>
  <si>
    <t>32131023;39121011;43232300</t>
  </si>
  <si>
    <t>43222600
45111700
45111800
52161500</t>
  </si>
  <si>
    <t>43232309; 43233416
43232915; 43233203
43233204; 43233405
43233403; 43233415; 81112201; 81112203; 43233205; 43231500; 43231501; 81111802; 81111808; 81111812; 43233400; 43232907</t>
  </si>
  <si>
    <t>43231512;81112501</t>
  </si>
  <si>
    <t>Jose Andres Ponce Caicedo</t>
  </si>
  <si>
    <t>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t>
  </si>
  <si>
    <t>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t>
  </si>
  <si>
    <t>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t>
  </si>
  <si>
    <t>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t>
  </si>
  <si>
    <t>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t>
  </si>
  <si>
    <t>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t>
  </si>
  <si>
    <t>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t>
  </si>
  <si>
    <t>SGH - Prestar servicios profesionales en la Subdirección de Gestión Humana de la UAE Cuerpo Oficial de Bomberos de Bogotá, para apoyar las actividades relacionadas con la administración de personal, en el marco de la normatividad y lineamientos institucionales vigentes.</t>
  </si>
  <si>
    <t>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t>
  </si>
  <si>
    <t>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</si>
  <si>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</si>
  <si>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</si>
  <si>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t>
  </si>
  <si>
    <t>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t>
  </si>
  <si>
    <t>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t>
  </si>
  <si>
    <t>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t>
  </si>
  <si>
    <t>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t>
  </si>
  <si>
    <t>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t>
  </si>
  <si>
    <t>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t>
  </si>
  <si>
    <t>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</si>
  <si>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</si>
  <si>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t>
  </si>
  <si>
    <t>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t>
  </si>
  <si>
    <t>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t>
  </si>
  <si>
    <t>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t>
  </si>
  <si>
    <t>SGH - Garantizar los recursos para movilización efectiva del personal operativo en la atención de emergencias</t>
  </si>
  <si>
    <t xml:space="preserve">SGH - Garantizar los recursos para viáticos y adquisición de tiquetes, con el fin de permitir el desplazamiento del personal en desarrollo de actividades misionales, operativas o de capacitación  </t>
  </si>
  <si>
    <t>SGH - Prestar los servicios  de capacitación y entrenamiento para el fortalecimiento de las capacidades de los instructores, que hacen parte de la academia de la UAE Cuerpo Oficial de Bomberos de Bogotá</t>
  </si>
  <si>
    <t>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t>
  </si>
  <si>
    <t>SGH- Adquisición de material bibliográfico de consulta para estudio y capacitación, que servirá como base de la biblioteca para la academia de la UAE Cuerpo Oficial de Bomberos de Bogotá</t>
  </si>
  <si>
    <t>72121100, 24101600, 30131500, 31371300, 30101500, 30101700, 30103600, 95121633, 30103619, 73121600, 73121500, 30101704, 30101504</t>
  </si>
  <si>
    <t>46161707,46191605, 46191609, 27111604, 46191603, 30191501, 46161715,  46201001; 42172201; 42171610; 42171612; 46181504; 46181537; 46201002; 42301502, 27111801, 27112124, 27112807, 27113101, 46161701, 46161714, 46161715, 46182304, 46182306 </t>
  </si>
  <si>
    <t>80131502, 80131505</t>
  </si>
  <si>
    <t>86101600, 86101700, 86101800, 86111600, 86141500,  86121800, 80111500,86131800, 86101711</t>
  </si>
  <si>
    <t>Manuel Eduardo Castillo Guzman</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</si>
  <si>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</si>
  <si>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</si>
  <si>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t>
  </si>
  <si>
    <t>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</si>
  <si>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</si>
  <si>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t>
  </si>
  <si>
    <t>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</si>
  <si>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</si>
  <si>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t>
  </si>
  <si>
    <t>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t>
  </si>
  <si>
    <t>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t>
  </si>
  <si>
    <t>ADICIÓN Y PRÓRROGA al contrato de prestación de servicios # 313-2025, cuyo objeto es: Prestación de servicios profesionales para apoyar los procesos contractuales de la Subdirección Operativa en todas sus etapas y apoyo técnico en los proyectos y procesos de la dependencia S.O.</t>
  </si>
  <si>
    <t>Pago pasivo exigible Subdirección Operativa</t>
  </si>
  <si>
    <t>Adquisición de equipos de protección personal (E.P.P.)  para el personal uniformado de la UAE Cuerpo Oficial de Bomberos de Bogota, S.O.</t>
  </si>
  <si>
    <t>Adquisición de equipos, herramientas y accesorios (E.H.A.)  para la atención de emergencias de la UAE Cuerpo Oficial de Bomberos de Bogota, S.O.</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</si>
  <si>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</si>
  <si>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Omer Mauricio Rivera Ruiz</t>
  </si>
  <si>
    <t>William Tovar Segura</t>
  </si>
  <si>
    <t>Suministrar combustible para los vehículos, y equipos especializados de la U.A.E. Cuerpo Oficial de Bomberos Bogotá dentro y fuera del perímetro del Distrito Capital - SBLG</t>
  </si>
  <si>
    <t>Mantenimiento correctivo y preventivo de los equipos menores con suministro, repuestos, accesorios e insumos de propiedad de la UAECOB. – SBLG </t>
  </si>
  <si>
    <t>31261500; 31161500; 31161600; 31162300; 31162800; 31171500; 31171700; 39121600; 27121600;72101509; 26101700: 26101900; 15121500; 72101517; 72151511; 72154105 72154302; 73152108; 73152112</t>
  </si>
  <si>
    <t>Suministro de llantas y  prestación del servicio de instalación, alineación, balanceo y conexos a los vehículos del parque automotor de la U.A.E. Cuerpo Oficial de Bomberos de Bogotá - SBLG</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</si>
  <si>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</si>
  <si>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46161600;72101509;73152108;46191600</t>
  </si>
  <si>
    <t>Proveer el suministro de elementos de bioseguridad e insumos médicos básicos y otros para la atención de emergencias. - SBLG</t>
  </si>
  <si>
    <t>42141501;42141502;42141503;42142101;42142103;42142105;42142108;42172010;42172013;42172016;42172201;42281502;42291902</t>
  </si>
  <si>
    <t>Suministro de alimentación e hidratación para el cuerpo operativo en la atención de emergencias, entrenamientos, capacitaciones y actividades de prevención.-SBLG </t>
  </si>
  <si>
    <t>90101800;90101600;50192700;50112000;50202311;50201709;50161509;50192110;93131602; 50161500; 50192100; 50181900; 50101700.</t>
  </si>
  <si>
    <t>Contratar el suministro de alimentación para los caninos del cuerpo oficial y animales rescatados por la U.A.E. del Cuerpo Oficial de Bomberos de Bogotá –  SBLG</t>
  </si>
  <si>
    <t>10121801; 10121802; 10121804</t>
  </si>
  <si>
    <t>Suministrar los repuestos, accesorios e insumos de los equipos de rescate vehicular liviano y pesado marca LUKAS-  SBLG</t>
  </si>
  <si>
    <t>23191200; 23153100; 23271800; 26121600; 27131600; 26101700; 31162800; 31163000; 31163100; 31171500; 31171700; 31191500; 31201600; 40141700; 31121700; 26111700</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</si>
  <si>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SBLG</t>
  </si>
  <si>
    <t>46182005; 46171613; 72101509.</t>
  </si>
  <si>
    <t>Prestación de servicios médicos veterinarios, con suministro de medicamentos e insumos veterinarios y otros, para los caninos de la U.A.E. Cuerpo Oficial de Bomberos de Bogotá -  SBLG</t>
  </si>
  <si>
    <t>70122002; 70122005; 70122006; 70122007; 70122008; 70122009; 70122010; 10110000; 42120000;70122001.</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</si>
  <si>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</si>
  <si>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SBLG</t>
  </si>
  <si>
    <t>72101509;46191600</t>
  </si>
  <si>
    <t>Prestar el servicio de mantenimiento preventivo y correctivo de los compresores BAUER propiedad de la U.A.E. Cuerpo Oficial de Bomberos de Bogotá, incluido el suministro de repuestos, insumos y mano de obra especializada.  - SBLG</t>
  </si>
  <si>
    <t xml:space="preserve">72101511, 40151604, 40151691, 81101800 </t>
  </si>
  <si>
    <t>46191506;46191601</t>
  </si>
  <si>
    <t>Prestación de servicios profesionales para la gestión, seguimiento y control administrativo, técnico y operativo del proceso de mantenimiento del parque automotor a cargo de la Subdirección Logística - SBLG.</t>
  </si>
  <si>
    <t>Prestar servicio de apoyo a la gestión para asistir a la Subdirección Logística en el seguimiento técnico y administrativo de los mantenimientos requeridos en la Subdirección Logística - SBLG</t>
  </si>
  <si>
    <t>Prestación de servicios profesionales para realizar el seguimiento y monitoreo a los diferentes procesos y procedimientos del equipo menor a cargo de la Subdirección Logística - SBLG</t>
  </si>
  <si>
    <t>78121600;78131800;92111600;
72141500</t>
  </si>
  <si>
    <t>Adquisición de suministros y elementos de identificación institucional para el fortalecimiento de los procesos misionales de la Subdirección de Gestión del Riesgo_SGR</t>
  </si>
  <si>
    <t>60121200;60121000;60121500;
60121600</t>
  </si>
  <si>
    <t>42301500;46191500;46201000</t>
  </si>
  <si>
    <t>Adquisición de insumos y materias primas para la producción de materiales impresos en artes gráficas_ SGR.</t>
  </si>
  <si>
    <t>53103100;53102500</t>
  </si>
  <si>
    <t>Prestar servicios profesionales para apoyar la planeación y gestión de las  estrategias de reducción y/o conocimiento del riesgo  para la Subdirección de Gestión del Riesgo._SGR</t>
  </si>
  <si>
    <t>Prestar servicios profesionales en  los componentes tecnológicos e informáticos relacionados con los aspectos misionales de la Subdirección de Gestión del Riesgo._SGR</t>
  </si>
  <si>
    <t>Prestar servicios de apoyo para el seguimiento y respuesta de requerimientos ciudadanos relacionados con la misionalidad de la Subdirección de Gestión del Riesgo_SGR</t>
  </si>
  <si>
    <t>Prestar servicios profesionales en la gestión misional mediante el  análisis y seguimiento financiero de la Subdirección de Gestión del Riesgo_SGR</t>
  </si>
  <si>
    <t>Prestar servicios profesionales para la gestión misional  mediante la estructuración y seguimiento de procesos contractuales y asuntos jurídicos de la Subdirección de Gestión del Riesgo_SGR</t>
  </si>
  <si>
    <t xml:space="preserve">Prestar servicios profesionales para la gestión misional en sus componentes técnico, administrativo y financiero de la Subdirección de Gestión del Riesgo_SGR. </t>
  </si>
  <si>
    <t>Prestar servicios profesionales  liderando las actividades del proceso de inspecciones técnicas de la subdireccion de gestion del riesgo.._SGR</t>
  </si>
  <si>
    <t>Prestar  servicios profesionales en las actividades relacionadas con la emision de conceptos a cargo de la Subdirección de Gestión del Riesgo._SGR</t>
  </si>
  <si>
    <t>Prestarservicios profesionales en las actividades relacionadas con la emision de conceptos a cargo de la Subdirección de Gestión del Riesgo._SGR</t>
  </si>
  <si>
    <t>Prestar  servicios de apoyo tecnico para realizar las inspecciones relacionadas con la emision de conceptos a cargo de la Subdirección de Gestión del Riesgo._SGR</t>
  </si>
  <si>
    <t xml:space="preserve">  Prestar  servicios de apoyo tecnico para realizar las inspecciones relacionadas con la emision de conceptos a cargo de la Subdirección de Gestión del Riesgo._SGR</t>
  </si>
  <si>
    <t>Prestar servicios profesionales liderando las actividades de Programas y Campañas de Prevención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</si>
  <si>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</si>
  <si>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 _SGR</t>
  </si>
  <si>
    <t>Prestar servicios apoyo técnico para el desarrollo de los contenidos graficos, piezas comunicativa y de imagen institucional para la Subdirección de Gestión del riesgo._SGR</t>
  </si>
  <si>
    <t>Prestar servicios profesionales  liderando los procesos de formacion y capacitacion de la subdirección de gestión del riesgo._SGR</t>
  </si>
  <si>
    <t>Prestar servicios profesionales en los procesos de formacion y capacitacion de la subdirección de gestión del riesgo._SGR</t>
  </si>
  <si>
    <t>Prestar servicios profesionales liderando las actividades de identificacion y caracterizacion  de escenarios  de riesgos a cargo de la Subdirección de Gestión del Riesgo._SGR</t>
  </si>
  <si>
    <t>Prestar servicios profesionales en las actividades de identificacion y caracterizacion  de escenarios  de riesgos a cargo de la Subdirección de Gestión del Riesgo._SGR</t>
  </si>
  <si>
    <t>prestar servicios profesionales liderando las actividades de monitoreo del riesgo de la subdirecion  de gestión del riesgo_SGR</t>
  </si>
  <si>
    <t>Prestar servicios profesionales en las actividades de monitoreo del riesgo para la Subdirección de Gestión del Riesgo._SGR</t>
  </si>
  <si>
    <t>Prestar servicios  de apoyo en las actividades de monitoreo del riesgo para la Subdirección de Gestión del Riesgo._SGR</t>
  </si>
  <si>
    <t>Prestar  servicios profesionales  liderando las actividades de proyeccion e innovacion para la Subdirección de Gestión del Riesgo._SGR</t>
  </si>
  <si>
    <t>Prestar  servicios profesionales  en las actividades de proyeccion e innovacion para la Subdirección de Gestión del Riesgo._SGR</t>
  </si>
  <si>
    <t>O232020200888215 Servicios de confección de artículos con materiales textiles</t>
  </si>
  <si>
    <t>O232020200667230 Servicio de almacenamiento para mercancías voluminosas</t>
  </si>
  <si>
    <t>1-100-F039-VA-Crédito</t>
  </si>
  <si>
    <t>16-Servicio de monitoreo y seguimiento para la gestión del riesgo 018_Servicio de monitoreo y seguimiento para la gestión del riesgo</t>
  </si>
  <si>
    <t>PRESUPUESTO ASIGNADO INVERSION PROY 8126</t>
  </si>
  <si>
    <t>PRESUPUESTO ASIGNADO INVERSION PROY 8173</t>
  </si>
  <si>
    <t>TOTAL PRESUPUESTO PAA INVERSION</t>
  </si>
  <si>
    <t>O232020200772252 Servicios de arrendamiento de bienes inmuebles no residenciales (vivienda) a comisión o por contrato</t>
  </si>
  <si>
    <t>PM/0131/0114/45030150255</t>
  </si>
  <si>
    <t>14-Infraestructura física misional construida mantenida y dotada  015_Estaciones de bomberos construidas</t>
  </si>
  <si>
    <t>O232020200991260 Servicios de policía y protección contra incendios</t>
  </si>
  <si>
    <t>O23202010033899920 Artículos varios de publicidad y propaganda</t>
  </si>
  <si>
    <t>O232020200883115 Servicios de consultoría en gestión administrativa</t>
  </si>
  <si>
    <t>O2320202010 Viáticos de los funcionarios en comisión</t>
  </si>
  <si>
    <t>Suma de Valor apropiacion vigencia actual</t>
  </si>
  <si>
    <t>O2320201003063611101 Llantas de caucho para automóviles</t>
  </si>
  <si>
    <t>O23202020088715602 Servicio de mantenimiento y reparación de equipos de fuerza hidráulica y de potencia neumática, bombas, compresores y válvulas</t>
  </si>
  <si>
    <t>1-601-I037 PAS-Crédito</t>
  </si>
  <si>
    <t>Adquisición de elementos y equipos necesarios para fortalecer las capacidades técnicas y operativas de los equipos especializados de la subdirecion de gestion del riesgo_SGR.</t>
  </si>
  <si>
    <t>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t>
  </si>
  <si>
    <t>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t>
  </si>
  <si>
    <t>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t>
  </si>
  <si>
    <t>Prestar los servicios profesionales para realizar las actividades tendientes a soportar el Sistema Integrado de Administración de Personal - SIAP  a cargo del área de Tecnologías de la Información y las Comunicaciones de la U.A.E. Cuerpo Oficial de Bomberos Bogotá</t>
  </si>
  <si>
    <t>Prestar servicios profesionales apoyando los lineamientos tecnológicos necesarios  para la administración y gestión de los servicios desarrollados por el  área de Tecnologías de la Información y las Comunicaciones de la U.A.E. Cuerpo Oficial de Bomberos Bogotá.</t>
  </si>
  <si>
    <t>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t>
  </si>
  <si>
    <t>Prestar servicios profesionales orientados al fortalecimiento, administración y soporte de los sistemas, plataformas, infraestructura tecnológica y servicios informáticos a cargo de la Dirección de Tics de la U.A.E Cuerpo Oficial de Bomberos de Bogotá D.C</t>
  </si>
  <si>
    <t>Prestar los servicios de apoyo a la gestión para desarrollar actividades de soporte técnico nivel (1 y 2) que requiera el área de Tecnologías de la Información y las Comunicaciones de la U.A.E. Cuerpo Oficial de Bomberos Bogotá</t>
  </si>
  <si>
    <t>Prestar servicios profesionales para apoyar el seguimiento, control y gestión de los servicios  tecnológicos asociados a  la herramienta de mesa de ayuda, directorio activo y herramientas de gestión que le sean asignados por la UAE Cuerpo Oficial de Bomberos de Bogotá - TIC.</t>
  </si>
  <si>
    <t>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t>
  </si>
  <si>
    <t>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t>
  </si>
  <si>
    <t>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t>
  </si>
  <si>
    <t>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t>
  </si>
  <si>
    <t>Prestar servicios de apoyo a la gestión en el desarrollo de actividades asistenciales administrativas, asociadas a los procesos y procedimientos  a cargo del área de Tecnologías de la Información y las Comunicaciones de la U.A.E. Cuerpo Oficial de Bomberos Bogotá.</t>
  </si>
  <si>
    <t>Prestar servicios profesionales para apoyar la implementación, seguimiento y fortalecimiento del Sistema de Gestión de Seguridad de la Información (SGSI) y de la política de Gobierno Digital de la UAE Cuerpo Oficial de Bomberos de Bogotá</t>
  </si>
  <si>
    <t>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t>
  </si>
  <si>
    <t>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t>
  </si>
  <si>
    <t>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t>
  </si>
  <si>
    <t>Prestar los servicios profesionales en apoyo a la estructuración e implementación, de las herramientas misionales, creadas como soporte a los procesos y procedimientos de la U.A.E. Cuerpo Oficial de Bomberos de Bogotá.</t>
  </si>
  <si>
    <t>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t>
  </si>
  <si>
    <t>Prestar los servicios profesionales en la implementación, de las herramientas misionales, creadas como soporte a los procesos y procedimientos de la U.A.E. Cuerpo Oficial de Bomberos de Bogotá.</t>
  </si>
  <si>
    <t>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t>
  </si>
  <si>
    <t>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t>
  </si>
  <si>
    <t>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t>
  </si>
  <si>
    <t>Prestar servicios profesionales, en el levantamiento de requerimientos, análisis y mejora de soluciones digitales a cargo de la Dirección de Tecnologías de la Información y las Comunicaciones de la U.A.E Cuerpo Oficial de Bomberos de Bogotá D.C.</t>
  </si>
  <si>
    <t>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t>
  </si>
  <si>
    <t>Contratar  la suscripción de licencias Suite Adobe para la UAE Cuerpo Oficial de Bomberos de Bogotá-TIC</t>
  </si>
  <si>
    <t>Contratar los servicios de canales de datos dedicados para la UAE Cuerpo Oficial de Bomberos de Bogotá-TIC</t>
  </si>
  <si>
    <t>Contratar la modernización integral  tecnológica, soporte y mantenimiento preventivo y correctivo con repuestos, para los sistemas de video vigilancia de la U.A.E. Cuerpo Oficial de Bomberos de Bogotá - TIC.</t>
  </si>
  <si>
    <t>Contratar la adquisición de firma digital (token) para la U.A.E. Cuerpo Oficial de Bomberos de Bogotá - TIC</t>
  </si>
  <si>
    <t>81112501;43232102;43232103;43231512</t>
  </si>
  <si>
    <t>81111811;72151600; 43223300;
39131700</t>
  </si>
  <si>
    <t>43233200; 72151700;  43233200; 81112200; 72151700; 45121600</t>
  </si>
  <si>
    <t>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t>
  </si>
  <si>
    <t>Prestar servicios profesionales jurídicos especializados en la Oficina de Control Disciplinario Interno para orientar, revisar y apoyar los documentos que se elaboren en el desarrollo del proceso disciplinario en etapa de instrucción.</t>
  </si>
  <si>
    <t>Prestar servicios profesionales jurídicos en la Oficina de Control Disciplinario Interno de la entidad para apoyar la gestión, logística y operación de los procesos contractuales y administrativos a cargo de esta dependencia.</t>
  </si>
  <si>
    <t>Prestación de servicios de apoyo técnico a la Oficina de Control Disciplinario Interno de la UAECOB para la gestión y cumplimiento de las funciones administrativas asignadas.</t>
  </si>
  <si>
    <t>Prestación de servicios de apoyo administrativo y de gestión documental a la Oficina de Control Disciplinario Interno de la UAECOB, en el manejo y organización de la documentación propia de los expedientes disciplinarios y las actividades de archivo que se requieran.</t>
  </si>
  <si>
    <t>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</si>
  <si>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</si>
  <si>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el servicio de apoyo técnico y operativo a la gestión de los procesos disciplinarios en la etapa de juzgamiento, mediante la ejecución de tareas administrativas, logísticas y de soporte documental en la Oficina Jurídica</t>
  </si>
  <si>
    <t>Prestar servicios profesionales jurídicos para apoyar las actividades de defensa Judicial y de procesos penales que adelante la UAE Cuerpo Oficial de Bomberos de Bogotá</t>
  </si>
  <si>
    <t>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t>
  </si>
  <si>
    <t>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t>
  </si>
  <si>
    <t>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t>
  </si>
  <si>
    <t>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t>
  </si>
  <si>
    <t>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t>
  </si>
  <si>
    <t>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t>
  </si>
  <si>
    <t>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t>
  </si>
  <si>
    <t>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t>
  </si>
  <si>
    <t>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t>
  </si>
  <si>
    <t>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t>
  </si>
  <si>
    <t>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t>
  </si>
  <si>
    <t>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t>
  </si>
  <si>
    <t>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t>
  </si>
  <si>
    <t>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</si>
  <si>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t>
  </si>
  <si>
    <t>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t>
  </si>
  <si>
    <t>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t>
  </si>
  <si>
    <t>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t>
  </si>
  <si>
    <t>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t>
  </si>
  <si>
    <t>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t>
  </si>
  <si>
    <t>SGH - Prestar servicios de apoyo a la Academia de la UAE Cuerpo Oficial de Bomberos de Bogotá D.C., para el desarrollo logístico y administrativo, contribuyendo al fortalecimiento de la formación, capacitación y gestión institucional.</t>
  </si>
  <si>
    <t>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t>
  </si>
  <si>
    <t>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t>
  </si>
  <si>
    <t>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t>
  </si>
  <si>
    <t>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t>
  </si>
  <si>
    <t>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t>
  </si>
  <si>
    <t>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t>
  </si>
  <si>
    <t xml:space="preserve">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t>
  </si>
  <si>
    <t>SGH - Adecuación de escenarios necesarios para el desarrollo de procesos de formación, capacitación y entrenamiento del personal operativo de la UAE Cuerpo Oficial de Bomberos de Bogotá.</t>
  </si>
  <si>
    <t>SGH - Adquisición de Equipos y Herramientas para los procesos de Capacitación a cargo de la Academia de la UAE Cuerpo Oficial de Bomberos de Bogotá</t>
  </si>
  <si>
    <t>SGH -Contratar la realización de los exámenes Médicos Ocupacionales para el personal de la UAE Cuerpo Oficial de Bomberos de Bogotá</t>
  </si>
  <si>
    <t>85121503;85121603;85121604;85121608;85121610;85121611;85121612;85121702;85122201</t>
  </si>
  <si>
    <t>SGH - Contratar la Prestación de Servicios para desarrollar el Plan de Bienestar de la UAE Cuerpo Oficial de Bomberos para la Vigencia 2026</t>
  </si>
  <si>
    <t>90101600;90111600;90141700;90151700</t>
  </si>
  <si>
    <t>SGH - Adquirir elementos de protección personal para prevenir la aparición de enfermedades ocupacionales en el oido, del personal operativo de la UAE Cuerpo Oficial de Bomberos de Bogotá</t>
  </si>
  <si>
    <t>46181900;46181901</t>
  </si>
  <si>
    <t>Prestar los servicios profesionales para la gestión, financiera de los proyectos y procesos para el fortalecimiento de las estrategías de la Subdirección Logística - SBLG.</t>
  </si>
  <si>
    <t>Prestar servicios de apoyo técnico en asuntos administrativos, financieros, documentales y emisión de informes para el desarrollo de las estrategías de la Subdireccion Logística-SBLG</t>
  </si>
  <si>
    <t>Prestar servicios profesionales en las actividades administrativas y financieras que requieran los procesos para el desarrollo de las estrategías de la Subdirección Logística- SBLG</t>
  </si>
  <si>
    <t>Prestar servicios profesionales para la gestión del Plan Estratégico de Seguridad Vial (PESV), participación en el comité correspondiente y el desarrollo de programas y actividades asignadas para el desarrollo de las estrategías de la Subdirección Logística SBLG.</t>
  </si>
  <si>
    <t>Prestar servicios de apoyo a la gestión en las actividades de soporte operacional para el desarrollo de las estrategías de la Subdirección Logística. SBLG</t>
  </si>
  <si>
    <t>Prestación de servicios profesionales para la gestión, seguimiento y control administrativo, técnico y operativo del equipo menor a cargo de la Subdirección Logística. SBLG.</t>
  </si>
  <si>
    <t>Prestar el servicio de  mantenimiento y recarga de extintores, cilindros y tanques de las maquinas extintoras de la UAECOB.  - SBLG</t>
  </si>
  <si>
    <t>Contratar el servicio de revision técnico mecánica y de emision de gases contaminantes para los vehiculos que forman parte del parque automotor de la Unidad Administrativa Especial Cuerpo Oficial de Bomberos de Bogotá - UAECOB-SBLG</t>
  </si>
  <si>
    <t>Prestación de servicios profesionales para el fortalecimiento de los procesos de comunicaciones y  en articulación con otras dependencias de la entidad y de los procesos y programas a cargo de la Subdirección  Operativa-S.O.</t>
  </si>
  <si>
    <t>Prestación de servicios profesionales para realizar seguimiento y verificación  de las actividades relacionadas con la Subdirección Logística en los procesos, procedimientos y programas a cargo de la Subdirección Operativa-S.O.</t>
  </si>
  <si>
    <t>Prestación de servicios profesionales para apoyar en el análisis de información, reportes, documentos técnicos y demás productos relacionados con la atención de emergencias de la entidad y  de los  programas a cargo de la Subdirección  Operativa-S.O.</t>
  </si>
  <si>
    <t>Prestación de servicios profesionales para ejecutar los aspectos jurídicos en las diferentes modalidades de contratación que requiera la Subdirección operativa para el cumplimiento de su misionalidad y de los programas a cargo-S.O.</t>
  </si>
  <si>
    <t>Adquisición de uniformes para el personal operativo de la UAECOB</t>
  </si>
  <si>
    <t>Prestar el servicio de vigilancia y seguridad privada en la modalidad de vigilancia fija, según especificaciones técnicas, en las instalaciones donde la UAE Especial Cuerpo Oficial de Bomberos requiera-SGC</t>
  </si>
  <si>
    <t>Construcción de la estación de bomberos Caobos Salazar  B13 - de la UAE Cuerpo Oficial de Bomberos de Bogotá – SGC</t>
  </si>
  <si>
    <t>Interventoría técnica, administrativa, financiera, contable, jurídica y ambiental para la elaboración de estudios y diseños técnicos para la construcción de la estación de bomberos Caobos Salazar  B13- de la UAE Cuerpo Oficial de Bomberos de Bogotá – SGC</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</si>
  <si>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</si>
  <si>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</si>
  <si>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los servicios profesionales en las actividades asociadas del área de infraestructura que contribuyan para la implementación de procesos y procedimientos para la adecuada prestación del servicio-SGC.</t>
  </si>
  <si>
    <t>Prestar los servicios profesionales para el acompañamiento y el seguimiento de los comodatos y demás actividades relacionadas con los procesos y procedimientos de inventarios de la Subdireccion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</si>
  <si>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</si>
  <si>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</si>
  <si>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</si>
  <si>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</si>
  <si>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</si>
  <si>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</si>
  <si>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Prestación de servicios profesionales en la Subdirección de Gestión Corporativa en las actividades relacionadas con MIPG-SGC</t>
  </si>
  <si>
    <t>Prestar servicios profesionales para realizar acompañamiento juridico en la elaboración de los procesos contractuales adelantados por la Subdirección Gestión Corporativa -SGC</t>
  </si>
  <si>
    <t>Prestación de servicios de apoyo a la gestión del proceso de inventarios de la Subdirección de Gestión Corporativa.-SGC</t>
  </si>
  <si>
    <t>Prestar servicios profesionales en la Subdirección de Gestión Corporativa en lo relacionado con los procesos de inventarios, almacén y bajas-SGC</t>
  </si>
  <si>
    <t>Prestar servicios profesionales para desarrollar e implementar sistemas de información, brindar soporte, mantenimiento y generar interoperabilidad con la Subdirección de Gestión Corporativa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</si>
  <si>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</si>
  <si>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</si>
  <si>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de apoyo a la gestión documental de la Subdirección de Gestión Corporativa de la Unidad.-SGC</t>
  </si>
  <si>
    <t>Prestación de servicios profesionales para la implementación, consolidación, seguimiento y reporte de los lineamientos ambientales establecidos en el Plan Institucional de Gestión Ambiental (PIGA) en cada una de las sedes de la UAE Cuerpo Oficial de Bomberos Bogotá-SGC.</t>
  </si>
  <si>
    <t>Prestar los servicios profesionales para la gestión administrativa y operativa de la Subdirección de Gestión Corporativa en el proceso de adquisición de bienes y servicios - SGC</t>
  </si>
  <si>
    <t>Prestar los servicios como conductor de la Subdirección de Gestión Corporativa -SGC</t>
  </si>
  <si>
    <t>Prestar servicios profesionales en la Subdirección de Gestión Corporativa en el marco de las actividades administrativas de la Dependencia.-SGC</t>
  </si>
  <si>
    <t>Prestación de servicios profesionales para adelantar actividades técnicas y trámites administrativos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</si>
  <si>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</si>
  <si>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para la formulación, seguimiento y ejecución de procesos presupuestales y financieros a cargo del área de infraestructura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</si>
  <si>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</si>
  <si>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temas financieros, administrativas y misionales para apoyar los proyectos de infraestructura de la Subdirección de Gestión Corporativa.- SGC</t>
  </si>
  <si>
    <t>Prestar servicios profesionales especializados para acompañar jurídicamente los procesos y procedimientos del área de infraestructura de la Subdirección de Gestión Corporativa. SGC</t>
  </si>
  <si>
    <t>Prestación de servicios profesionales para apoyar las actividades técnicas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</si>
  <si>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</si>
  <si>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Prestar los servicios como conductor del  Area de Infraestructura a fin de atender las actividades propias asociadas al mantenimiento de las sedes de UAECOB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</si>
  <si>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</si>
  <si>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al área Financiera de la Subdirección de Gestión Corporativa--SGC</t>
  </si>
  <si>
    <t>Prestación de servicios de apoyo a la gestión del área Financiera de la Subdirección de Gestión Corporativa.-SGC</t>
  </si>
  <si>
    <t>Prestación de servicios profesionales para el seguimiento, ejecución de los procesos de gestión de pagos que se desarrollan en el área Financiera de la UAE Cuerpo Oficial de Bomberos asignados. -SGC</t>
  </si>
  <si>
    <t>Prestación de servicios profesionales especializados para apoyar las actividades de seguimiento técnico del Área de Infraestructura de la Subdirección de Gestión Corporativa-SGC</t>
  </si>
  <si>
    <t>Prestación de servicios profesionales en la proyección y el seguimiento financiero a los proyectos del área de infraestructura de la Subdirección de Gestión Corporativa -SGC</t>
  </si>
  <si>
    <t>Prestación de servicios profesionales con el fin de gestionar trámites de carácter técnico, administrativo y operativamente en el desarrollo de los proyectos de inversión  de la entidad-SGC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</si>
  <si>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</si>
  <si>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</si>
  <si>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</si>
  <si>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</si>
  <si>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profesionales especializados para apoyar las actividades técnicas y gestión predial del Área de Infraestructura de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</si>
  <si>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</si>
  <si>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</si>
  <si>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</si>
  <si>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</si>
  <si>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</si>
  <si>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</si>
  <si>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</si>
  <si>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</si>
  <si>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</si>
  <si>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</si>
  <si>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</si>
  <si>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</si>
  <si>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Prestar los servicios profesionales para el acompañamiento y seguimiento de los planes y proyectos del area de inventarios de la Subdireccion de Gestión Corporativa-SGC</t>
  </si>
  <si>
    <t>Prestar los servicios profesionales en el area de inventarios de la Subdireccion de Gestión Corporativa-SGC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</si>
  <si>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</si>
  <si>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</si>
  <si>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Prestación de servicios profesionales en el acompañamiento y asistencia al proceso de gestión documental de la UAE Cuerpo oficial de Bomberos. -SGC</t>
  </si>
  <si>
    <t>Prestación de servicios profesionales especializados para desarrollar las actividades técnicas y administrativas del Área de Infraestructura de la Subdirección de Gestión Corporativa-SGC.</t>
  </si>
  <si>
    <t>Prestación de servicios profesionales especializados para desarrollar las actividades técnicas y administrativas del Área de Infraestructura de la Subdirección de Gestión Corporativa-SGC</t>
  </si>
  <si>
    <t>Prestar servicios profesionales especializados como ingeniero electrónico para apoyar las actividades propias que contribuyan al desarrollo de la infraestructura requerida por la entidad para la adecuada prestación del servicio-SGC</t>
  </si>
  <si>
    <t>Contratar la prestación del servicio de aseo y cafetería incluido insumos para la Unidad Administrativa Especial Cuerpo Oficial de Bomberos Bogotá -SGC</t>
  </si>
  <si>
    <t>Suministro y mantenimiento de equipos de higienización, desodorización y aromatización  para la Unidad Administrativa Especial Cuerpo Oficial de Bomberos Bogotá -SGC</t>
  </si>
  <si>
    <t>Suministro  de muebles, enseres y demàs elementos requeridos para la Unidad Administrativa Especial Cuerpo Oficial de Bomberos Bogotá -SGC</t>
  </si>
  <si>
    <t>Mantenimiento preventivo y/o correctivo, suministros y repuestos de los electrodomésticos de las instalaciones a cargo de la UAE Cuerpo Oficial de Bomberos Bogotá-SGC</t>
  </si>
  <si>
    <t>Mantenimiento preventivo y correctivo, que incluye el suministro de insumos y repuestos de las plantas eléctricas ubicadas en los diferentes edificios de la Unidad Administrativa Especial Cuerpo Oficial de Bomberos Bogotá -SGC</t>
  </si>
  <si>
    <t>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t>
  </si>
  <si>
    <t>Mantenimiento preventivo y correctivo de la red contraincendios  y sistemas de detención de alarmas contra incendios de las estaciones de bomberos de la  Unidad Administrativa Especial Cuerpo Oficial de Bomberos Bogotá -SGC</t>
  </si>
  <si>
    <t>Suministro de materiales, equipos y herramientas para el mejoramiento integral de las instalaciones para la Unidad Administrativa Especial Cuerpo Oficial de Bomberos Bogotá -SGC</t>
  </si>
  <si>
    <t>Realizar el mantenimiento predictivo, preventivo, correctivo y mejoras a las instalaciones de las dependencias de la Unidad Administrativa Especial Cuerpo Oficial de Bomberos Bogotá -SGC</t>
  </si>
  <si>
    <t>Adquisición de elementos requeridos para las estaciones de bomberos B-18 Bosa la Cabaña y B-19 Casa de Teja de la  Unidad Administrativa Especial Cuerpo Oficial de Bomberos Bogotá -SGC</t>
  </si>
  <si>
    <t>Mantenimiento preventivo y correctivo, que incluye el suministro de insumos y repuestos de las lavadoras y secadoras industriales ubicadas en las estaciones de bomberos de la UAE Cuerpo Oficial de Bomberos de Bogotá-SGC</t>
  </si>
  <si>
    <t xml:space="preserve">Proceso para amparar el Pago de Pasivos exigibles </t>
  </si>
  <si>
    <t>Realizar el mantenimiento preventivo, correctivo de puertas automatizadas para las salas de máquinas de las estaciones de la UAE Cuerpo Oficial de Bomberos-SGC</t>
  </si>
  <si>
    <t>Construcción de la estación  Ferias  B-7  UAE Cuerpo Oficial de Bomberos de Bogotá – SGC</t>
  </si>
  <si>
    <t>Interventoría técnica, administrativa, financiera, contable, jurídica y ambiental para la construcción de la estación de bomberos Ferias B7 UAE Cuerpo Oficial de Bomberos de Bogotá – SGC</t>
  </si>
  <si>
    <t>Contratar el servicio de saneamiento ambiental, corte de césped, jardinería, poda y tala de árboles para las sedes (predios y/o estaciones) de la Unidad Administrativa Especial Cuerpo Oficial de Bomberos de Bogotá – SGC</t>
  </si>
  <si>
    <t>Prestar el servicio de recolección y disposición final de los residuos sanitarios y aguas no tratadas de las instalaciones de la Unidad Administrativa Especial Cuerpo Oficial de Bomberos de Bogotá – SGC</t>
  </si>
  <si>
    <t>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t>
  </si>
  <si>
    <t>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</si>
  <si>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</si>
  <si>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Suministro  de implementos  de  papelería y oficina para las dependencias  para la Unidad Administrativa Especial Cuerpo Oficial de Bomberos Bogotá -SGC</t>
  </si>
  <si>
    <t>Suministro de insumos para las impresoras de las dependencias  para la Unidad Administrativa Especial Cuerpo Oficial de Bomberos Bogotá -SGC</t>
  </si>
  <si>
    <t>Suministro de insumos para lavandería-SGC</t>
  </si>
  <si>
    <t>Arrendamiento de instalaciones estación Ferias-SGC</t>
  </si>
  <si>
    <t>Adición y prórroga No. 1 al contrato 491 de 2025 que tiene como objeto “Mantenimiento ascensor nueva Estación de Bomberos de Fontibón-SGC</t>
  </si>
  <si>
    <t>Mantenimiento correctivo y preventivo con suministro de repuestos para el ascensor estación de bomberos Fontibón B6 -SGC</t>
  </si>
  <si>
    <t>Adición y prórroga No. 1 al contrato 586 de 2025 que tiene como objeto “Mantenimiento correctivo y preventivo con suministro de repuestos para los ascensores edificio comando-SGC</t>
  </si>
  <si>
    <t>Mantenimiento correctivo y preventivo con suministro de repuestos para los ascensores edificio comando-SGC</t>
  </si>
  <si>
    <t>Adición y prórroga No. 1 al contrato 638 de 2025 que tiene como objeto “Mantenimiento correctivo y preventivo con suministro de repuestos ascensor estación de bomberos Bellavista B-9 - SGC</t>
  </si>
  <si>
    <t>Mantenimiento correctivo y preventivo con suministro de repuestos ascensor estación de bomberos Bellavista B-9 - SGC</t>
  </si>
  <si>
    <t>Prestación del servicio para inspección y certificación correspondientes a los sistemas de transporte vertical (ascensores) a cargo de la Unidad Administrativa Especial Cuerpo Oficial de Bomberos Bogotá D.C – SGC</t>
  </si>
  <si>
    <t>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</si>
  <si>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Adquirir máquinas de grabado láser para el plaqueteo y/o marcación de los bienes devolutivos de la UAECOB, con el fin de garantizar el correcto control del inventario mediante rótulos duraderos y resistentes-SGC</t>
  </si>
  <si>
    <t>92121500;</t>
  </si>
  <si>
    <t>72121400; 72151700; 72151700; 81101500</t>
  </si>
  <si>
    <t>81101500; 80101600; 72121400; 95121700</t>
  </si>
  <si>
    <t>80111600;</t>
  </si>
  <si>
    <t>44121700;
44121800;
44121900;
44122000;</t>
  </si>
  <si>
    <t>76101501;
47131829;</t>
  </si>
  <si>
    <t>72151001;
72101503;
72101504;
 72101506; 
72153208;
 72154019;</t>
  </si>
  <si>
    <t>56101500; 
56101700; 
56101900; 
56111500; 
48101800;
48101915;
24112601;
49121509;</t>
  </si>
  <si>
    <t>73152108;</t>
  </si>
  <si>
    <t>72151800;
72151500;
73152100;</t>
  </si>
  <si>
    <t>72154100;
 73152100;</t>
  </si>
  <si>
    <t>72101500; 
92101600; 
95121700;</t>
  </si>
  <si>
    <t>23131500;
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</si>
  <si>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
72154000;</t>
  </si>
  <si>
    <t>80101600; 
81101500; 
72101500; 
72121400</t>
  </si>
  <si>
    <t>47111500; 
47111700;</t>
  </si>
  <si>
    <t>47111500;
73151800;
73152100;</t>
  </si>
  <si>
    <t>72121400;
72151700;
72154109;
95121700;</t>
  </si>
  <si>
    <t>70111500;
72102100 ;
72102104;
76101503;
72154055;
70111703;
70111706;
70111503;
72153204;</t>
  </si>
  <si>
    <t>81141807;
40151517;
76121701;
83101506;</t>
  </si>
  <si>
    <t>91111602;
72154302;
47101568;
49241712;</t>
  </si>
  <si>
    <t>78102206;</t>
  </si>
  <si>
    <t>14111500;
14111800;
44121700; 
44121800; 
44122000; 
44122100;
44121600;
60101900;
27112300;
60105700;</t>
  </si>
  <si>
    <t>14111500; 
24112400; 
44111500; 
44121800; 
31201500; 
27112300; 
44121700; 
44121600</t>
  </si>
  <si>
    <t>80131502;</t>
  </si>
  <si>
    <t>72101506;
72154010;</t>
  </si>
  <si>
    <t>81141503;
81141804;</t>
  </si>
  <si>
    <t>84131501;
84131503;
84131504;
84131512;
84131513;
84131515; 
84131601,
84131603;
84131607;
84131515;</t>
  </si>
  <si>
    <t>23153602;</t>
  </si>
  <si>
    <t>Prestación de servicios profesionales jurídicos en virtud de las funciones asignadas a la Dirección General de la UAECOB, para apoyar los procesos contractuales y actividades administrativas requeridas.</t>
  </si>
  <si>
    <t>Prestar servicios profesionales a la Dirección General en actividades de articulación interinstitucional entre las diferentes dependencias, entidades del sector, y demás que estén relacionadas con la misionalidad de la UAECOB.</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</si>
  <si>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</si>
  <si>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</si>
  <si>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</si>
  <si>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jurídicos en la Dirección General de la UAECOB en la revisión, gestión y seguimiento de temas a cargo de la dirección, contratación y estratégicos de la misionalidad de la Entidad</t>
  </si>
  <si>
    <t>Prestar servicios de apoyo a la gestión en la UAECOB, en asuntos administrativos y asistenciales requeridos, especificamente en el seguimiento de la información.</t>
  </si>
  <si>
    <t>Prestar servicios profesionales en el desarrollo de los diferentes procesos que tiene a su cargo la Dirección General de la UAE Cuerpo Oficial de Bomberos de Bogotá.</t>
  </si>
  <si>
    <t>Prestar servicios como conductor a la UAECOB, para facilitar el transporte de recursos humanos y demás que le sean indicados en la Dirección General en concordancia al marco de sus funciones</t>
  </si>
  <si>
    <t>Prestar servicios profesionales jurídicos en el desarrollo de las actividades estrategicas de la Dirección General de la UAE Cuerpo Oficial de Bomberos de Bogotá</t>
  </si>
  <si>
    <t>Prestar servicios profesionales jurídicos en la Dirección General de la UAECOB en la revisión, gestión y seguimiento de temas de infraestructura, POT, plan maestro de equipamiento y procesos contractuales y estratégicos de la misionalidad de la Entidad</t>
  </si>
  <si>
    <t>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</si>
  <si>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</si>
  <si>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para gestionar las actividades de articulación interinstitucional, protocolo y demás que le sean indicados en la Dirección General en concordancia al marco de sus funciones</t>
  </si>
  <si>
    <t>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</si>
  <si>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</si>
  <si>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en comunicaciones y prensa, para apoyar la difusión de la información al público interno y externo de la UAECOB.</t>
  </si>
  <si>
    <t>Prestar servicios de apoyo para la gestión en asuntos de comunicaciones y prensa en la Dirección General, y demás acciones encaminadas al cumplimiento de las estrategias comunicacionales de la UAECOB</t>
  </si>
  <si>
    <t>Prestación de servicios profesionales en asuntos de comunicaciones y prensa para apoyar la divulgación y socialización de la información relacionada con la misionalidad de la UAECOB de manera interna y externa</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</si>
  <si>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</si>
  <si>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servicios profesionales en la Dirección General para  el manejo de redes sociales de la entidad y apoyo periodistico requerido en el marco de la estrategia de comunicaciones y prensa de la UEACOB.</t>
  </si>
  <si>
    <t>Prestar servicios profesionales en la Dirección General para el manejo de redes sociales, divulgación, socialización de información y apoyo periodístico, requerido en el marco de la estrategia de comunicaciones y prensa de la UAECOB.</t>
  </si>
  <si>
    <t>Prestación de servicios profesionales para apoyar a la Dirección en la elaboración, diseño y diagramación de piezas requeridas para los planes, programas, proyectos y procedimientos</t>
  </si>
  <si>
    <t>Prestar apoyo técnico en la Dirección, en asuntos de comunicaciones y prensa, para la producción, diseño y edición de material audiovisual de la UAECOB.</t>
  </si>
  <si>
    <t>Prestar servicios profesionales especializados a la Dirección General de la UAECOB en la construcción ,acompañamiento, seguimiento y fortalecimiento de las estrategias de comunicación que adelante la entidad dentro del Distrito Capital</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</si>
  <si>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</si>
  <si>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para realizar el cubrimiento periodístico, fotográfico y audiovisual de las actividades operativas y misionales de la UAECOB, así como la elaboración de contenidos informativos para su difusión.</t>
  </si>
  <si>
    <t>Prestar servicios a la Dirección General en la conducción, traslado y movilización de personal, equipos y materiales, garantizando el cumplimiento de las operaciones logísticas y misionales del Cuerpo Oficial de Bomberos de Bogotá</t>
  </si>
  <si>
    <t>Prestación de servicios como operador logístico, relacionados con la organización, administración y ejecución de las diferentes temáticas que fortalezcan la misionalidad de la entidad a través de la protección de la vida, el medio ambiente y el patrimonio</t>
  </si>
  <si>
    <t>80141900; 90111500; 90111600; 80141600; 80161502</t>
  </si>
  <si>
    <t>Prestación de servicios profesionales apoyando el control legal de los procesos y acciones, especialmente la gestión contractual para el desarrollo de las estrategías de la Subdirección Logística - SBLG</t>
  </si>
  <si>
    <t>Prestación de servicios profesionales para apoyar en la elaboración, tramite e impulso de los procesos de contratación en sus diferentes etapas para el desarrollo de las estrategías de la Subdirección Logística - SBLG.</t>
  </si>
  <si>
    <t>Prestación de servicios profesionales, para apoyar la estructuración y elaboración de los asuntos contractuales en sus diferentes etapas en la adquisicion de bienes y servicios para el desarrollo de las estrategías de la Subdirección Logística.- SBLG</t>
  </si>
  <si>
    <t>Prestar servicios profesionales para apoyar el seguimiento y garantizar la adecuada ejecución presupuestal y financiera de los diferentes planes, programas, proyectos administrativos y financieros a cargo de la Subdirección Logística- SBLG</t>
  </si>
  <si>
    <t>Prestar servicios profesionales para realizar el seguimiento, revisión y validación de los asuntos presupuestales, financieros y administrativos necesarios para la gestión de pagos de los contratos a cargo de la subdirección logística. - SBLG</t>
  </si>
  <si>
    <t>Prestación de servicios profesionales en la gestión, seguimiento y control administrativo, financiero, presupuestal y contractual del proceso de mantenimiento del parque automotor a cargo de la Subdirección Logística - SBLG.</t>
  </si>
  <si>
    <t>Prestación de servicios profesionales para la gestión, seguimiento y control  técnico y operativo del proceso de mantenimiento del parque automotor a cargo de la Subdirección Logística - SBLG.</t>
  </si>
  <si>
    <t>Prestar servicios de apoyo técnico en la gestión documental, administrando y diligenciando las bases de datos, y demás documentos para el desarrollo de las estrategias de la Subdirección logística. -SBLG</t>
  </si>
  <si>
    <t>Prestar servicios profesionales en las diferentes estrategias adelantadas por la subdirección Logistica en los procesos de planeación, logísticos, administrativos y financieros que se deriven de las competencias propias del area - SBLG</t>
  </si>
  <si>
    <t>Prestar servicios de apoyo a la gestión en actividades administrativas y documentales para el desarrollo de las estrategías de la Subdirección Logística - SBLG</t>
  </si>
  <si>
    <t>Prestar servicios profesionales de caracter tecnologico apoyando la estructuración, elaboración, manejo y optimización de las herramientas tecnológicas a cargo de la Subdirección Logística – SBLG.</t>
  </si>
  <si>
    <t>Prestar servicios como conductor para apoyar en la gestiónes tecnicas y operativas para la Subdirección Logistica- SBLG.</t>
  </si>
  <si>
    <t>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t>
  </si>
  <si>
    <t>Prestar servicios profesionales para apoyar en las actividades administrativas y tecnicas de los elementos e inventario a cargo Subdirección Logistica  – SBLG.</t>
  </si>
  <si>
    <t>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t>
  </si>
  <si>
    <t>Prestar servicios de apoyo a la gestión para el seguimiento y control de los suministros y consumibles  necesarios para la oportuna disponibilidad en la atención de emergencias -SBLG</t>
  </si>
  <si>
    <t>Prestar servicios profesionales para el seguimiento y control en la cadena de suministros e insumos para la atención de emergencias garantizando la entrega oportuna de los bienes y servicios de la Subdirección Logística. SBLG</t>
  </si>
  <si>
    <t>Prestar servicios profesionales para el seguimiento administrativo, financiero y de control en la cadena de suministros e insumos en la atención de emergencias garantizando la entrega de los bienes y servicios de la Subdirección Logística. SBLG</t>
  </si>
  <si>
    <t>Prestar servicio de apoyo a la gestión para asistir a la Subdirección Logística en el seguimiento técnico y administrativo de los mantenimientos minimos requeridos en la Subdirección Logística - SBLG</t>
  </si>
  <si>
    <t>Prestar servicios de apoyo a la gestión en actividades administrativas y documentales en el procedimiento de equipo menor desarrollo de las estrategías de la Subdirección Logística - SBLG - SBLG</t>
  </si>
  <si>
    <t>Prestación de servicios profesionales para realizar el seguimiento, verificación y asignación de las solicitudes recepcionadas atraves de las herramientas tecnológicas  asociadas a la Subdirección Logística - SBLG</t>
  </si>
  <si>
    <t>Prestar servicios profesionales apoyando las estrategias de comunicación, capacitación y gestión administrativa que promueva el uso y apropiación de los programas desarrollados en cada una de las estrategías de la Subdirección Logística - SBLG</t>
  </si>
  <si>
    <t>Prestar servicios de apoyo a la gestión como conductor para atender los requerimientos que se presenten en la Oficina Asesora de Planeación, así como los incidentes que puedan surgir en la Unidad Administrativa Especial Cuerpo Oficial de Bomberos de Bogotá.</t>
  </si>
  <si>
    <t>Prestar servicios de apoyo a la gestión administrativa, orientados al control, organización y seguimiento de la documentación institucional, en cumplimiento de las políticas de planeación y de los lineamientos establecidos en el Modelo Integrado de Planeación y Gestión - MIPG.</t>
  </si>
  <si>
    <t>Prestar servicios profesionales para la gestión, formulación, actualización y seguimiento de los proyectos de inversión asignados, en el marco de la política de Gestión Presupuestal y Eficiencia del Gasto Público del Modelo Integrado de Planeación y Gestión - MIPG.</t>
  </si>
  <si>
    <t>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t>
  </si>
  <si>
    <t>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t>
  </si>
  <si>
    <t>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t>
  </si>
  <si>
    <t>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t>
  </si>
  <si>
    <t>Prestar servicios de apoyo a la gestión administrativa para la ejecución de actividades asistenciales, logísticas y de gestión documental, requeridas para la implementación del Sistema de Gestión de la Calidad en el marco del Modelo Integrado de Planeación y Gestión - MIPG.</t>
  </si>
  <si>
    <t>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t>
  </si>
  <si>
    <t>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t>
  </si>
  <si>
    <t>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t>
  </si>
  <si>
    <t>Prestar servicios profesionales a la Oficina Asesora de Planeación en los temas estratégicos y transversales relacionados con el Mejoramiento Continuo y la Gestión de la Calidad, en el marco del Modelo Integrado de Planeación y Gestión (MIPG).</t>
  </si>
  <si>
    <t>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t>
  </si>
  <si>
    <t>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t>
  </si>
  <si>
    <t>Prestar servicios profesionales para el desarrollo de actividades orientadas a la implementación de las políticas establecidas en el marco del Modelo Integrado de Planeación y Gestión - MIPG, liderado por la Oficina Asesora de Planeación.</t>
  </si>
  <si>
    <t>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t>
  </si>
  <si>
    <t>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t>
  </si>
  <si>
    <t>Prestar servicios profesionales para brindar apoyo jurídico en la gestión contractual y administrativa de la Oficina Asesora de Planeación, de acuerdo con los lineamientos internos y en el marco del Modelo Integrado de Planeación y Gestión - MIPG.</t>
  </si>
  <si>
    <t>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t>
  </si>
  <si>
    <t>Prestación de servicios de apoyo al proceso de comunicaciones en emergencias del centro de coordinación y comunicaciones (c.c.c.), para el desarrollo de los programas a cargo de la Subdirección Operativa-S.O.</t>
  </si>
  <si>
    <t>Prestación de servicios para realizar la gestión administrativa requerida en la estación de bomberos asignada, para el desarrollo de los programas a cargo de la Subdirección Operativa-S.O.</t>
  </si>
  <si>
    <t>Prestación de servicios para la gestión administrativa y documental realizando los reportes requeridos para el desarrollo de los programas a cargo de la Subdirección Operativa-S.O.</t>
  </si>
  <si>
    <t>Prestación de servicios profesionales para atender las actividades de bienestar de los caninos y los animales rescatados o recuperados que  atiende el grupo BRAE, para el desarrollo de los programas a cargo de la Subdirección Operativa-S.O.</t>
  </si>
  <si>
    <t>Prestación de servicios de apoyo para desarrollar y mantener las condiciones básicas de bienestar de los caninos y  animales rescatados o recuperados que atiende el grupo BRAE, para la gestión de los programas a cargo de la Subdirección Operativa-S.O.</t>
  </si>
  <si>
    <t>Prestación de servicios profesionales para apoyar el fortalecimiento de la dependencia y la articulación con entidades externas, para el desarrollo de los programas a cargo de la Subdirección Operativa-S. O.</t>
  </si>
  <si>
    <t>Prestación de servicios profesionales para brindar el apoyo administrativo de las gestiones  de la Subdirección, así como proyectar las respuestas a las solicitudes de carácter interno o externo para  el desarrollo de los programas a cargo de la Subdirección Operativa-S.O.</t>
  </si>
  <si>
    <t>Prestación de servicios profesionales para apoyar las gestiones de carácter contractual en sus diferentes etapas y las gestiones administrativas a cargo, para el desarrollo de los programas de la Subdirección operativa-S.O.</t>
  </si>
  <si>
    <t>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t>
  </si>
  <si>
    <t>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t>
  </si>
  <si>
    <t>Prestación de servicios profesionales para apoyar jurídicamente los proyectos, procesos y procedimientos, para e desarrollo de los programas de la subdirección operativa-S.O</t>
  </si>
  <si>
    <t>Prestar servicios profesionales  para apoyar el fortalecimiento, articulación, seguimiento y gestión de los proyectos de inversión,  planes e indicadores de gestión, para el desarrollo de los programas de la Subdirección Operativa-S.O.</t>
  </si>
  <si>
    <t>Prestación de servicios profesionales para realizar el seguimiento, verificación, control y  diligenciamiento de los requerimientos propios, en los sistemas de información de la Entidad, para el desarrollo de los programas de la Subdirección Operativa-S.O.</t>
  </si>
  <si>
    <t>Prestación de servicios profesionales para liderar y gestionar los temas operativos, incluyendo  el trabajo articulado con tecnología para implementar el sistema de información   de emergencias,  para el desarrollo de los programas  de la Subdirección Operativa-S.O.</t>
  </si>
  <si>
    <t>Prestación de servicios profesionales para la elaboración, diagramación de piezas gráficas con estilos de textos e informes requeridos frente a los procesos y procedimientos, para el desarrollo de los programas de la Subdirección Operativa-S.O.</t>
  </si>
  <si>
    <t>Prestación de servicios de apoyo para ejecutar las actividades administrativas, trámite, seguimiento y verificación de solicitudes recibidas en el canal de comunicación de gestión operativa para el desarrollo de los programas de la Subdirección Operativa-S.O.</t>
  </si>
  <si>
    <t>Prestación de servicios profesionales para ejecutar las actividades relacionadas con el sistema de gestión de calidad, el sistema ambiental y el sistema de control interno, para el desarrollo los programas de la Subdireccion Operativa-S.O.</t>
  </si>
  <si>
    <t>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t>
  </si>
  <si>
    <t>Prestación de servicios profesionales para la elaboración de informes o documentos técnicos, infografías, reportes y consolidación de indicadores relacionados con los procesos, y procedimientos, para el desarrollo de los programas de la Subdirección Operativa-S.O.</t>
  </si>
  <si>
    <t>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t>
  </si>
  <si>
    <t>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t>
  </si>
  <si>
    <t>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t>
  </si>
  <si>
    <t>Prestación de servicios profesionales liderando la elaboración de informes estadísticos a partir de los datos asociados a los incidentes atendidos en el marco de la misionalidad de la UAECOB, para el acompañamiento de los programas de la Subdirección Operativa.</t>
  </si>
  <si>
    <t>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t>
  </si>
  <si>
    <t>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t>
  </si>
  <si>
    <t>Prestación de servicios profesionales jurídicos para  realizar el seguimiento y control de las actividades de gestión propias de los procesos y procedimientos, para el acompañamiento de los programas de la Subdirección Operativa-S.O.</t>
  </si>
  <si>
    <t>Prestación de servicios profesionales jurídicos para  realizar el seguimiento y control de las actividades de gestión propias de los procesos y procedimientos, para el acompañamiento de los programas de la subdirección operativa y de las respuestas a Entes de control-S.O.</t>
  </si>
  <si>
    <t>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t>
  </si>
  <si>
    <t xml:space="preserve">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t>
  </si>
  <si>
    <t>Prestación de servicios profesionales para realizar la consolidación, seguimiento financiero, control y reporte de los planes y proyectos de inversión e indicadores, para el apoyo de los programas de la Subdirección Operativa-S.O.</t>
  </si>
  <si>
    <t>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t>
  </si>
  <si>
    <t>Prestación de servicios de apoyo a la gestión en las actividades documentales, administrativas y manejo de las herramientas de gestión, para el acompañamiento de los programas de la Subdirección Operativa S.O.</t>
  </si>
  <si>
    <t>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t>
  </si>
  <si>
    <t>Prestar servicios profesionales en comunicación y prensa para apoyar la producción y difusión de contenidos periodísticos y audiovisuales de la UAECOB</t>
  </si>
  <si>
    <t>Prestación de servicios profesionales en la Dirección para el acompañamiento en las labores de gestión administrativa, en asuntos propios de comunicaciones y prensa de la UAECOB</t>
  </si>
  <si>
    <t>Prestar los servicios profesionales jurídicos especializados en la Oficina de Control Disciplinario Interno de la entidad estableciendo pautas de liderazgo en las actuaciones procesales que se deban tramitar en esa dependencia en etapa de instrucción</t>
  </si>
  <si>
    <t>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t>
  </si>
  <si>
    <t>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t>
  </si>
  <si>
    <t>Contratar la adquisición de dispositivos para el fortalecimiento y modernización de la infraestructura tecnológica de la U.A.E. Cuerpo Oficial de Bomberos de Bogotá.</t>
  </si>
  <si>
    <t>43211500, 43211503, 43211507, 43211509, 43211619</t>
  </si>
  <si>
    <t>Adición y prorróga al contrato No. 245 de 2025 cuyo objeto es  "Contratar el servicio de mantenimiento preventivo y correctivo de los radios portátiles y móviles marca Motorola propiedad de la U.A.E. Cuerpo Oficial de Bomberos de Bogotá – TIC"</t>
  </si>
  <si>
    <t>Adición y prorróga al contrato No. 493 de 2025 cuyo objeto es "Contratar la adquisicion, modernizacion y mantenimiento preventivo y correctivo de UPS,  aires acondicionados con suministro de repuestos, para todas las sedes de la U.A.E. Cuerpo Oficial de Bomberos de Bogotá - TIC."</t>
  </si>
  <si>
    <t>Prestar servicios profesionales a la Oficina Asesora de Planeación en los asuntos concernientes que se le asignen para la implementación del Modelo Integrado de Planeación y Gestión MIPG.</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</si>
  <si>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</si>
  <si>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servicios profesionales para apoyar al Jefe de la Oficina de Planeación en asuntos estratégicos de la gestión administrativa</t>
  </si>
  <si>
    <t>Prestación de servicios profesionales en asuntos de comunicaciones y prensa para revisar los procesos de comunicación de entidad con el fin de evaluar su eficacia interna y externa y detectar ineficiencias en los canales de comunicación</t>
  </si>
  <si>
    <t>Prestación de servicios profesionales en asuntos de comunicaciones y prensa para detectar las necesidades de la Entidad y facilitar la inserción de nuevas estrategias de comunicación</t>
  </si>
  <si>
    <t>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t>
  </si>
  <si>
    <t>Prestar servicios de apoyo técnico en las herramientas tecnologicas para el desarrollo de las estrategias de la Subdirección  Logística-SBLG</t>
  </si>
  <si>
    <t>Prestar servicios de apoyo a la gestión en las actividades de soporte operacional de la UAECOB Subdirección Logística. SBLG</t>
  </si>
  <si>
    <t>Prestar servicios de apoyo a la gestión en actividades administrativas y documentales que se desarrollen en la Subdirección Logística – SBLG".</t>
  </si>
  <si>
    <t>Prestación de servicios de apoyo a la gestión para realizar actividades documentales, administrativas relacionadas para el desarrollo de las estrategias de la Subdirección Logística. SBLG</t>
  </si>
  <si>
    <t>Prestar servicios de apoyo a la gestión en el manejo de las herramientas tecnológicas en diligenciamiento, seguimiento y control de las herramientas de gestión asociadas a la mesa logística de la Subdirección Logística. – SBLG</t>
  </si>
  <si>
    <t>Prestación de servicios profesionales para apoyar en la elaboracion, seguimiento e impulso de la actuaciones procesales en cada una de las etapas para la adquisición de bienes y servicios en el desarrollo de las estrategias de la Subdirección Logística. SBLG.</t>
  </si>
  <si>
    <t>Prestar servicios profesionales para el seguimiento y gestión de las actividades establecidas en los planes de acción y estratégicos; así como, de los procesos de planeación y administrativos propios de Subdirección Logística - SBLG"</t>
  </si>
  <si>
    <t>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t>
  </si>
  <si>
    <t>Prestación de servicios profesionales para apoyar en el análisis de información, reportes, y seguimientos relacionados con la atención de emergencias de la entidad y de los programas a cargo de la Subdirección Operativa-S.O.</t>
  </si>
  <si>
    <t>O232020200885961 Servicios de organización y asistencia de convenciones</t>
  </si>
  <si>
    <t>O232020200991121 Servicios de la administración pública relacionados con la educación</t>
  </si>
  <si>
    <t>O2320201002092929012 Partes y accesorios para artículos de protección personal</t>
  </si>
  <si>
    <t>O232020200992913 Servicios de educación para la formación y el trabajo</t>
  </si>
  <si>
    <t>O23201010030202 Máquinas herramientas y sus partes, piezas y accesorios</t>
  </si>
  <si>
    <t>O2320201003023229906 Libros publicados en fascículos, folletos, hojas sueltas e impresos similares</t>
  </si>
  <si>
    <t>O232020200887151 Servicios de mantenimiento y reparación de electrodomésticos</t>
  </si>
  <si>
    <t>O2320202005040654612 Servicios de instalación de alarmas contra incendios</t>
  </si>
  <si>
    <t>O23201010030401 Motores, generadores y transformadores eléctricos y sus partes y piezas</t>
  </si>
  <si>
    <t>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t>
  </si>
  <si>
    <t>Prestar servicios profesionales de carácter jurídico para apoyar y fortalecer de manera integral las actividades propias de la Oficina Jurídica</t>
  </si>
  <si>
    <t>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t>
  </si>
  <si>
    <t>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t>
  </si>
  <si>
    <t>Adición y prórroga No. 1 al contrato 698 de 2025 que tiene como objeto “Prestar el servicio y mantenimiento de equipos de higienización, desodorización y aromatización para la UAECOB-SGC"</t>
  </si>
  <si>
    <t>Prestación de servicios profesionales para apoyar las actividades jurídicas de la Subdirección de Gestión Corporativa-SGC</t>
  </si>
  <si>
    <t>Prestación de servicios profesionales, en temas jurídicos de la gestión administrativa a cargo de la Subdirección de Gestión Corporativa.- SGC</t>
  </si>
  <si>
    <t>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t>
  </si>
  <si>
    <t>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t>
  </si>
  <si>
    <t xml:space="preserve"> Adición No. 1 al contrato 578 de 2025 que tiene como objeto “  Contratar los seguros obligatorios "SOAT" para el parque automotor de propiedad de la Unidad Administrativa Especial Cuerpo Oficial de Bomberos Bogotá D.C y de aquellos por los cuales fuere legalmente responsable-SGC</t>
  </si>
  <si>
    <t>Adición y prórroga No. 2 al contrato 597 de 2025  que tiene como objeto " Contratar la prestación del servicio de aseo y cafetería incluido insumos para la UAE Cuerpo Oficial de Bomberos -SGC</t>
  </si>
  <si>
    <t>Interventoría técnica, administrativa, financiera, contable, jurídica y ambiental  para la realización del mantenimiento predictivo, preventivo, correctivo y mejoras a las instalaciones de las dependencias de la Unidad Administrativa Especial Cuerpo Oficial de Bomberos Bogotá -SGC</t>
  </si>
  <si>
    <t>Prestación de servicios profesionales de carácter jurídico para apoyar la gestión administrativa y la adquisición de bienes y servicios para el desarrollo de las estrategias de la Subdirección Logística. -SBLG</t>
  </si>
  <si>
    <t>Prestación de servicios profesionales para apoyar la gestión financiera y presupuestal de los proyectos, planes y estrategias a cargo de la Subdirección Logística - SBLG</t>
  </si>
  <si>
    <t>Prestar servicios de apoyo a la gestión en el manejo de las herramientas tecnológicas en la recepción diligenciamiento y trámite asociadas a la mesa logística. – SBLG</t>
  </si>
  <si>
    <t>Prestar servicios de apoyo como conductor a las acciones misionales de la Subdirección de Gestión del Riesgo.</t>
  </si>
  <si>
    <t>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</si>
  <si>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Subdirector@ de Gestión Corporativa</t>
  </si>
  <si>
    <t>Subdirector@ de Gestión del Riesgo</t>
  </si>
  <si>
    <t>Adición No. 01 al contrato 524 de 2025 que tiene como objeto "Mantenimiento preventivo y correctivo, que incluye el suministro de insumos y repuestos de las lavadoras y secadoras industriales ubicadas en las estaciones de bomberos de la UAE Cuerpo Oficial de Bomberos de Bogotá-SGC</t>
  </si>
  <si>
    <t xml:space="preserve"> 04 - contratación mínima cuantía </t>
  </si>
  <si>
    <t>47111502;
47111503;
73151802;
73152100;</t>
  </si>
  <si>
    <t>Mantenimiento preventivo y/o correctivo, y suministros de repuestos de los equipos gasodomésticos y solares y adecuaciones de las redes de gas natural para las Estaciones de la Unidad Administrativa Especial Cuerpo Oficial de Bomberos Bogotá -SGC</t>
  </si>
  <si>
    <t>Mantenimiento preventivo y/o correctivo, y suministro de repuestos de los equipos de gimnasio de las diferentes instalaciones a cargo de la Unidad Administrativa Especial Cuerpo Oficial de Bomberos Bogotá -SGC</t>
  </si>
  <si>
    <t>Suministro de banderas y accesorios para las sedes UAECOB-SGC</t>
  </si>
  <si>
    <t>Adecuación de la estación Nueva Estación de la UAE Cuerpo Oficial de Bomberos de Bogotá – SGC</t>
  </si>
  <si>
    <t>Interventoría técnica, administrativa, financiera, contable, jurídica y ambiental para la Adecuación de la Nueva Estación de bomberos de la UAE Cuerpo Oficial de Bomberos de Bogotá – SGC</t>
  </si>
  <si>
    <t>Adecuación de la estación de Bomberos Chapinero B1- de la UAE Cuerpo Oficial de Bomberos de Bogotá – SGC</t>
  </si>
  <si>
    <t>Interventoría técnica, administrativa, financiera, contable, jurídica y ambiental para la Adecuación de la estación de Bomberos Chapinero B1- de la UAE Cuerpo Oficial de Bomberos de Bogotá – SGC</t>
  </si>
  <si>
    <t>72151000;
72101500;
72153200;
 72154000;</t>
  </si>
  <si>
    <t>Carlos Andres Vargas Puerto</t>
  </si>
  <si>
    <t>Prestar servicios profesionales para el registro, actualización y reporte de los procesos y decisiones disciplinarias expedidas por la Oficina de Control Disciplinario Interno de la UAECOB en el aplicativo Sistema de Información Disciplinario (SID) .</t>
  </si>
  <si>
    <t>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t>
  </si>
  <si>
    <t>Adición y prórroga al Contrato 460 de 2025 con objeto "Prestar servicios profesionales especializados en el desarrollo de las actividades estrategicas de la Dirección General de la UAE Cuerpo Oficial de Bomberos de Bogotá"</t>
  </si>
  <si>
    <t>Adición y prórroga al Contrato 211 de 2025 con objeto "Prestación de servicios profesionales en la Dirección en comunicaciones y prensa, para apoyar la difusión de la información al público interno y externo de la UAECOB"</t>
  </si>
  <si>
    <t>Adición y prórroga al Contrato 202 de 2025 con objeto "Prestar servicios de apoyo para la gestión en asuntos de comunicaciones y prensa en la Dirección General, y demás acciones encaminadas al cumplimiento de las estrategias comunicacionales de la UAECOB"</t>
  </si>
  <si>
    <t>Adición y prórroga al Contrato 285 de 2025 con objeto "Prestar apoyo técnico en la Dirección, en asuntos de comunicaciones y prensa, para la producción, diseño y edición de material audiovisual de la UAECOB"</t>
  </si>
  <si>
    <t>Adición y prórroga al Contrato 278 de 2025 con objeto "Prestación de servicios como conductor en los diferentes recorridos de carácter operativo que se requieran en la Dirección General"</t>
  </si>
  <si>
    <t>Adición y prórroga al Contrato 356 de 2025 con objeto "Prestación de servicios profesionales en asuntos de comunicaciones y prensa para apoyar la creación y divulgación audiovisual relacionada con la misionalidad de la UAECOB"</t>
  </si>
  <si>
    <t>Prestación de servicios de apoyo a la gestión en asuntos de comunicaciones y prensa para apoyar las labores de reportería, periodismo y de divulgación de información de acuerdo con la misionalidad de la UAECOB.</t>
  </si>
  <si>
    <t>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</si>
  <si>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 xml:space="preserve">JUNIO </t>
  </si>
  <si>
    <t>Prestar los servicios profesionales  en la Oficina de Control Interno para el desarrollo del Plan Anual de Auditorías.</t>
  </si>
  <si>
    <t>enero</t>
  </si>
  <si>
    <t>Prestar servicios de apoyo a la gestión en el desarrollo de las actividades y trámites administrativos y operativos relacionados con los procesos que se encuentran a cargo de la Subdirección Operativa de la UAECOB-SO.</t>
  </si>
  <si>
    <t>Prestar los servicios profesionales a la Subdirección Operativa de la UAECOB desde el componente jurídico, en los asuntos a cargo de la dependencia para el adecuado alcance de las metas e indicadores asignados a esta, brindando plena aplicación a la normatividad vigente-S.O.</t>
  </si>
  <si>
    <t>Adquisición de vehiculos operativos para la atención de emergencias para la UAE Cuerpo Oficial de Bomberos de Bogotá, S.O.</t>
  </si>
  <si>
    <t>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t>
  </si>
  <si>
    <t>SGH - INCENTIVOS</t>
  </si>
  <si>
    <t>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t>
  </si>
  <si>
    <t xml:space="preserve"> Prestación de servicios de apoyo a la gestión en la Subdirección de Gestión Corporativa, en las actividades asociadas a los procesos y procedimientos del almacén de la Entidad.- SGC</t>
  </si>
  <si>
    <t>(Todas)</t>
  </si>
  <si>
    <t xml:space="preserve">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t>
  </si>
  <si>
    <t>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t>
  </si>
  <si>
    <t>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t>
  </si>
  <si>
    <t>Uaecob</t>
  </si>
  <si>
    <t>Prestación de servicios de apoyo para el desarrollo de las actividades y trámites administrativos y operativos relacionados con los procesos que se encuentran a cargo de la Subdirección Operativa-SO.</t>
  </si>
  <si>
    <t>Adición y Prórroga al contrato de prestación de servicios # 446-2025, cuyo objeto es: "Prestar servicios de apoyo a la gestión en las actividades de monitoreo, seguimiento y reporte de información del Centro de Coordinación y Comunicaciones de la Subdirección Operativa".</t>
  </si>
  <si>
    <t>Prestar servicios profesionales para apoyar jurídicamente el seguimiento y la revisión de derechos de petición y demás requerimientos, así como en la revisión de documentación referida a procesos de contratación a cargo de la Subdirección Operativa S.O.</t>
  </si>
  <si>
    <t>Adición y prórroga al contrato No. 411 de 2025 cuyo objeto es: "Contratar la prestación del servicio de monitoreo, control y seguimiento satelital a los vehículos de propiedad de la U.A.E. Cuerpo Oficial de Bomberos de Bogotá - TIC"</t>
  </si>
  <si>
    <t>Adición y prórroga al contrato No. 490 de 2025 cuyo objeto es: "contratar el alquiler de equipos tecnológicos, periféricos y servicios complementarios para la U.A.E Cuerpo Oficial de bomberos de Bogota- TIC"</t>
  </si>
  <si>
    <t>Congelamiento recursos 5% proyecto 8126</t>
  </si>
  <si>
    <t>Congelamiento recursos 5% proyecto 8173</t>
  </si>
  <si>
    <t>Prestar servicio de apoyo a la gestión administrativa y operativa de los mantenimientos requeridos a los equipos menores y/o parque automotor de la Subdirección Logística - SBLG</t>
  </si>
  <si>
    <t>Adquisición de materiales y elementos especializados para el desarrollo de actividades de reduccion del riesgo adelantados por la Subdirección de Gestión del Riesgo_SGR</t>
  </si>
  <si>
    <t>Versión No. 3 - PLAN DISTRITAL DE DESARROLLO "BOGOTÁ CAMINA SEGURA"</t>
  </si>
  <si>
    <t>NO APLICA</t>
  </si>
  <si>
    <t>Fecha de elaboracion: 22/01/2026</t>
  </si>
  <si>
    <t>Adición No. 1 al contrato 629 de 2025 que tiene como objeto “Prestar el servicio de vigilancia y seguridad privada en la modalidad de vigilancia fija, según especificaciones técnicas, en las instalaciones donde la UAE Especial Cuerpo Oficial de Bomberos requiera-SGC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</si>
</sst>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_-[$$-240A]\ * #,##0_-;\-[$$-240A]\ * #,##0_-;_-[$$-240A]\ * &quot;-&quot;??_-;_-@_-"/>
  </numFmts>
  <fonts count="26"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sz val="11"/>
      <color theme="1"/>
      <name val="Tahoma"/>
      <family val="2"/>
    </font>
    <font>
      <sz val="11"/>
      <color rgb="FFFF0000"/>
      <name val="Tahoma"/>
      <family val="2"/>
    </font>
    <font>
      <b/>
      <sz val="11"/>
      <color rgb="FFFF0000"/>
      <name val="Tahoma"/>
      <family val="2"/>
    </font>
    <font>
      <b/>
      <sz val="12"/>
      <name val="Tahoma"/>
      <family val="2"/>
    </font>
    <font>
      <sz val="8"/>
      <name val="Calibri"/>
      <family val="2"/>
      <scheme val="minor"/>
    </font>
    <font>
      <b/>
      <sz val="12"/>
      <color theme="5" tint="-0.499984740745262"/>
      <name val="Tahoma"/>
      <family val="2"/>
    </font>
    <font>
      <sz val="12"/>
      <name val="Tahoma"/>
      <family val="2"/>
    </font>
    <font>
      <sz val="12"/>
      <color theme="1"/>
      <name val="Calibri"/>
      <family val="2"/>
      <scheme val="minor"/>
    </font>
    <font>
      <sz val="12"/>
      <color rgb="FFFF0000"/>
      <name val="Tahoma"/>
      <family val="2"/>
    </font>
    <font>
      <sz val="11"/>
      <color rgb="FFC00000"/>
      <name val="Tahoma"/>
      <family val="2"/>
    </font>
    <font>
      <b/>
      <sz val="11"/>
      <color theme="1"/>
      <name val="Tahoma"/>
      <family val="2"/>
    </font>
    <font>
      <b/>
      <sz val="11"/>
      <color theme="5" tint="-0.499984740745262"/>
      <name val="Tahoma"/>
      <family val="2"/>
    </font>
    <font>
      <u/>
      <sz val="11"/>
      <color theme="10"/>
      <name val="Calibri"/>
      <family val="2"/>
      <scheme val="minor"/>
    </font>
    <font>
      <b/>
      <sz val="14"/>
      <color theme="5" tint="-0.499984740745262"/>
      <name val="Tahoma"/>
      <family val="2"/>
    </font>
    <font>
      <sz val="11"/>
      <color rgb="FFFF0000"/>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theme="4" tint="0.39997558519241921"/>
      </top>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0" fontId="23" fillId="0" borderId="0" applyNumberFormat="0" applyFill="0" applyBorder="0" applyAlignment="0" applyProtection="0"/>
  </cellStyleXfs>
  <cellXfs count="249">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4"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4"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0" fontId="7" fillId="0" borderId="0" xfId="0" applyFont="1"/>
    <xf numFmtId="0" fontId="7" fillId="0" borderId="0" xfId="0" applyFont="1" applyAlignment="1">
      <alignment horizontal="center"/>
    </xf>
    <xf numFmtId="0" fontId="7" fillId="0" borderId="0" xfId="0" applyFont="1" applyAlignment="1">
      <alignment horizontal="left"/>
    </xf>
    <xf numFmtId="0" fontId="9" fillId="0" borderId="0" xfId="0" applyFont="1"/>
    <xf numFmtId="0" fontId="0" fillId="0" borderId="0" xfId="0" applyAlignment="1">
      <alignment vertical="center"/>
    </xf>
    <xf numFmtId="0" fontId="8"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2" fillId="0" borderId="1" xfId="2"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xf>
    <xf numFmtId="164" fontId="8" fillId="0" borderId="0" xfId="2" applyNumberFormat="1" applyFont="1" applyAlignment="1">
      <alignment vertical="center"/>
    </xf>
    <xf numFmtId="164" fontId="10" fillId="0" borderId="1" xfId="2" applyNumberFormat="1" applyFont="1" applyBorder="1" applyAlignment="1">
      <alignment horizontal="center" vertical="center"/>
    </xf>
    <xf numFmtId="164" fontId="8" fillId="0" borderId="1" xfId="2" applyNumberFormat="1" applyFont="1" applyBorder="1" applyAlignment="1">
      <alignment vertical="center"/>
    </xf>
    <xf numFmtId="164" fontId="10" fillId="0" borderId="1" xfId="2" applyNumberFormat="1" applyFont="1" applyBorder="1" applyAlignment="1">
      <alignment vertical="center"/>
    </xf>
    <xf numFmtId="164" fontId="10" fillId="0" borderId="0" xfId="2" applyNumberFormat="1" applyFont="1" applyAlignment="1">
      <alignment horizontal="center" vertical="center"/>
    </xf>
    <xf numFmtId="0" fontId="10" fillId="0" borderId="1" xfId="0" applyFont="1" applyBorder="1" applyAlignment="1">
      <alignment horizontal="center" vertical="center" wrapText="1"/>
    </xf>
    <xf numFmtId="43" fontId="11" fillId="0" borderId="0" xfId="2" applyFont="1" applyAlignment="1" applyProtection="1">
      <alignment vertical="center"/>
      <protection locked="0"/>
    </xf>
    <xf numFmtId="0" fontId="11" fillId="0" borderId="0" xfId="0" applyFont="1" applyAlignment="1" applyProtection="1">
      <alignment vertical="center"/>
      <protection locked="0"/>
    </xf>
    <xf numFmtId="164" fontId="11" fillId="0" borderId="0" xfId="2" applyNumberFormat="1" applyFont="1" applyAlignment="1" applyProtection="1">
      <alignment vertical="center"/>
      <protection locked="0"/>
    </xf>
    <xf numFmtId="0" fontId="11" fillId="0" borderId="0" xfId="0" applyFont="1" applyAlignment="1">
      <alignment vertical="center"/>
    </xf>
    <xf numFmtId="0" fontId="10" fillId="0" borderId="0" xfId="0" applyFont="1"/>
    <xf numFmtId="0" fontId="8" fillId="0" borderId="0" xfId="0" applyFont="1"/>
    <xf numFmtId="43" fontId="8" fillId="0" borderId="0" xfId="2" applyFont="1"/>
    <xf numFmtId="43" fontId="8" fillId="0" borderId="0" xfId="0" applyNumberFormat="1" applyFont="1"/>
    <xf numFmtId="0" fontId="8" fillId="0" borderId="1" xfId="0" applyFont="1" applyBorder="1"/>
    <xf numFmtId="43" fontId="8" fillId="0" borderId="1" xfId="2" applyFont="1" applyBorder="1"/>
    <xf numFmtId="43" fontId="10" fillId="0" borderId="0" xfId="2" applyFont="1"/>
    <xf numFmtId="43" fontId="8" fillId="0" borderId="1" xfId="0" applyNumberFormat="1" applyFont="1" applyBorder="1"/>
    <xf numFmtId="43" fontId="10" fillId="0" borderId="1" xfId="2" applyFont="1" applyBorder="1"/>
    <xf numFmtId="43" fontId="10" fillId="0" borderId="1" xfId="2" applyFont="1" applyBorder="1" applyAlignment="1">
      <alignment horizontal="center" vertical="center"/>
    </xf>
    <xf numFmtId="164" fontId="8" fillId="3" borderId="1" xfId="2" applyNumberFormat="1" applyFont="1" applyFill="1" applyBorder="1" applyAlignment="1">
      <alignment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5" fillId="0" borderId="0" xfId="0" applyFont="1" applyAlignment="1">
      <alignment horizontal="center" vertical="center"/>
    </xf>
    <xf numFmtId="43" fontId="8" fillId="0" borderId="1" xfId="2" applyFont="1" applyFill="1" applyBorder="1"/>
    <xf numFmtId="1" fontId="2" fillId="0" borderId="1" xfId="4" applyNumberFormat="1" applyFont="1" applyFill="1" applyBorder="1" applyAlignment="1" applyProtection="1">
      <alignment horizontal="center" vertical="center" wrapText="1"/>
      <protection locked="0"/>
    </xf>
    <xf numFmtId="43" fontId="11" fillId="0" borderId="0" xfId="2" applyFont="1" applyFill="1" applyAlignment="1" applyProtection="1">
      <alignment vertical="center"/>
      <protection locked="0"/>
    </xf>
    <xf numFmtId="164" fontId="11" fillId="0" borderId="0" xfId="2" applyNumberFormat="1" applyFont="1" applyFill="1" applyAlignment="1" applyProtection="1">
      <alignment vertical="center"/>
      <protection locked="0"/>
    </xf>
    <xf numFmtId="0" fontId="12" fillId="0" borderId="0" xfId="0" applyFont="1" applyAlignment="1" applyProtection="1">
      <alignment vertical="center"/>
      <protection locked="0"/>
    </xf>
    <xf numFmtId="0" fontId="0" fillId="0" borderId="0" xfId="0" pivotButton="1"/>
    <xf numFmtId="164" fontId="0" fillId="0" borderId="0" xfId="0" applyNumberFormat="1"/>
    <xf numFmtId="37" fontId="14" fillId="0" borderId="0" xfId="0" applyNumberFormat="1" applyFont="1" applyAlignment="1" applyProtection="1">
      <alignment horizontal="center" vertical="center"/>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7" fillId="0" borderId="0" xfId="0" applyFont="1" applyAlignment="1">
      <alignment vertical="center" wrapText="1"/>
    </xf>
    <xf numFmtId="164" fontId="16" fillId="0" borderId="0" xfId="0" applyNumberFormat="1" applyFont="1" applyAlignment="1">
      <alignment horizontal="center" vertical="center"/>
    </xf>
    <xf numFmtId="37" fontId="14" fillId="0" borderId="0" xfId="0" applyNumberFormat="1" applyFont="1" applyAlignment="1">
      <alignment vertical="center" wrapText="1"/>
    </xf>
    <xf numFmtId="0" fontId="17" fillId="0" borderId="0" xfId="0" applyFont="1" applyAlignment="1" applyProtection="1">
      <alignment vertical="center" wrapText="1"/>
      <protection locked="0"/>
    </xf>
    <xf numFmtId="0" fontId="16" fillId="0" borderId="0" xfId="0" applyFont="1" applyAlignment="1">
      <alignment horizontal="right" vertical="center"/>
    </xf>
    <xf numFmtId="164" fontId="18" fillId="2" borderId="0" xfId="2" applyNumberFormat="1" applyFont="1" applyFill="1" applyAlignment="1" applyProtection="1">
      <alignment horizontal="center" vertical="center" wrapText="1"/>
    </xf>
    <xf numFmtId="164" fontId="14" fillId="0" borderId="0" xfId="2" applyNumberFormat="1" applyFont="1" applyFill="1" applyAlignment="1" applyProtection="1">
      <alignment horizontal="center" vertical="center" wrapText="1"/>
    </xf>
    <xf numFmtId="164" fontId="18" fillId="0" borderId="0" xfId="2" applyNumberFormat="1" applyFont="1" applyFill="1" applyAlignment="1" applyProtection="1">
      <alignment horizontal="center" vertical="center" wrapText="1"/>
      <protection locked="0"/>
    </xf>
    <xf numFmtId="37" fontId="14" fillId="0" borderId="0" xfId="0" applyNumberFormat="1" applyFont="1" applyAlignment="1" applyProtection="1">
      <alignment horizontal="center" vertical="center" wrapText="1"/>
      <protection locked="0"/>
    </xf>
    <xf numFmtId="37" fontId="14" fillId="0" borderId="0" xfId="0" applyNumberFormat="1" applyFont="1" applyAlignment="1">
      <alignment horizontal="center" vertical="center" wrapText="1"/>
    </xf>
    <xf numFmtId="0" fontId="17" fillId="0" borderId="0" xfId="0" applyFont="1" applyAlignment="1" applyProtection="1">
      <alignment horizontal="center" vertical="center" wrapText="1"/>
      <protection locked="0"/>
    </xf>
    <xf numFmtId="37" fontId="14" fillId="0" borderId="0" xfId="0" applyNumberFormat="1" applyFont="1" applyAlignment="1" applyProtection="1">
      <alignment vertical="center" wrapText="1"/>
      <protection locked="0"/>
    </xf>
    <xf numFmtId="0" fontId="19" fillId="0" borderId="0" xfId="0" applyFont="1" applyAlignment="1" applyProtection="1">
      <alignment vertical="center" wrapText="1"/>
      <protection locked="0"/>
    </xf>
    <xf numFmtId="0" fontId="18" fillId="0" borderId="0" xfId="0" applyFont="1"/>
    <xf numFmtId="43" fontId="18" fillId="0" borderId="0" xfId="2" applyFont="1"/>
    <xf numFmtId="43" fontId="19" fillId="0" borderId="0" xfId="0" applyNumberFormat="1" applyFont="1" applyAlignment="1" applyProtection="1">
      <alignment vertical="center" wrapText="1"/>
      <protection locked="0"/>
    </xf>
    <xf numFmtId="43" fontId="17" fillId="0" borderId="0" xfId="2" applyFont="1" applyAlignment="1" applyProtection="1">
      <alignment vertical="center" wrapText="1"/>
      <protection locked="0"/>
    </xf>
    <xf numFmtId="43" fontId="17" fillId="0" borderId="0" xfId="2" applyFont="1" applyFill="1" applyAlignment="1" applyProtection="1">
      <alignment vertical="center" wrapText="1"/>
      <protection locked="0"/>
    </xf>
    <xf numFmtId="43" fontId="18" fillId="0" borderId="0" xfId="2" applyFont="1" applyFill="1"/>
    <xf numFmtId="37" fontId="14" fillId="0" borderId="0" xfId="0" applyNumberFormat="1" applyFont="1" applyAlignment="1" applyProtection="1">
      <alignment vertical="center"/>
      <protection locked="0"/>
    </xf>
    <xf numFmtId="164" fontId="14" fillId="0" borderId="0" xfId="2" applyNumberFormat="1" applyFont="1" applyFill="1" applyBorder="1" applyAlignment="1" applyProtection="1">
      <alignment horizontal="center" vertical="center" wrapText="1"/>
      <protection locked="0"/>
    </xf>
    <xf numFmtId="164" fontId="7" fillId="0" borderId="0" xfId="2" applyNumberFormat="1" applyFont="1" applyFill="1" applyBorder="1" applyAlignment="1" applyProtection="1">
      <alignment horizontal="center" vertical="center" wrapText="1"/>
    </xf>
    <xf numFmtId="0" fontId="7" fillId="0" borderId="0" xfId="0" applyFont="1" applyAlignment="1" applyProtection="1">
      <alignment vertical="center" wrapText="1"/>
      <protection locked="0"/>
    </xf>
    <xf numFmtId="165" fontId="7" fillId="0" borderId="0" xfId="4" applyNumberFormat="1" applyFont="1" applyFill="1" applyBorder="1" applyAlignment="1" applyProtection="1">
      <alignment horizontal="center" vertical="center" wrapText="1"/>
      <protection locked="0"/>
    </xf>
    <xf numFmtId="165" fontId="7" fillId="0" borderId="0" xfId="4" applyNumberFormat="1" applyFont="1" applyFill="1" applyBorder="1" applyAlignment="1" applyProtection="1">
      <alignment horizontal="center" vertical="center" wrapText="1"/>
    </xf>
    <xf numFmtId="165" fontId="17" fillId="0" borderId="0" xfId="0" applyNumberFormat="1" applyFont="1" applyAlignment="1" applyProtection="1">
      <alignment vertical="center" wrapText="1"/>
      <protection locked="0"/>
    </xf>
    <xf numFmtId="166" fontId="2" fillId="0" borderId="1" xfId="2" applyNumberFormat="1" applyFont="1" applyFill="1" applyBorder="1" applyAlignment="1" applyProtection="1">
      <alignment horizontal="center" vertical="center" wrapText="1"/>
      <protection locked="0"/>
    </xf>
    <xf numFmtId="49" fontId="7" fillId="0" borderId="0" xfId="0" applyNumberFormat="1" applyFont="1"/>
    <xf numFmtId="0" fontId="17"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4" fillId="0" borderId="1" xfId="5" applyFont="1" applyBorder="1" applyAlignment="1">
      <alignment horizontal="center" vertical="center" wrapText="1"/>
    </xf>
    <xf numFmtId="164" fontId="17" fillId="0" borderId="0" xfId="0" applyNumberFormat="1" applyFont="1" applyAlignment="1" applyProtection="1">
      <alignment horizontal="center" vertical="center" wrapText="1"/>
      <protection locked="0"/>
    </xf>
    <xf numFmtId="164" fontId="17" fillId="0" borderId="0" xfId="2" applyNumberFormat="1" applyFont="1" applyAlignment="1" applyProtection="1">
      <alignment vertical="center" wrapText="1"/>
      <protection locked="0"/>
    </xf>
    <xf numFmtId="164" fontId="0" fillId="2" borderId="0" xfId="2" applyNumberFormat="1" applyFont="1" applyFill="1" applyAlignment="1" applyProtection="1">
      <alignment horizontal="center" vertical="center" wrapText="1"/>
    </xf>
    <xf numFmtId="164" fontId="0" fillId="2" borderId="0" xfId="2" applyNumberFormat="1" applyFont="1" applyFill="1" applyAlignment="1" applyProtection="1">
      <alignment horizontal="center" vertical="center" wrapText="1"/>
      <protection locked="0"/>
    </xf>
    <xf numFmtId="0" fontId="11" fillId="0" borderId="1" xfId="2" applyNumberFormat="1" applyFont="1" applyFill="1" applyBorder="1" applyAlignment="1" applyProtection="1">
      <alignment horizontal="center" vertical="center" wrapText="1"/>
      <protection locked="0"/>
    </xf>
    <xf numFmtId="1" fontId="11" fillId="0" borderId="1" xfId="1" applyNumberFormat="1" applyFont="1" applyFill="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43" fontId="7" fillId="0" borderId="0" xfId="2" applyFont="1" applyAlignment="1" applyProtection="1">
      <alignment vertical="center" wrapText="1"/>
      <protection locked="0"/>
    </xf>
    <xf numFmtId="0" fontId="3" fillId="0" borderId="0" xfId="0" applyFont="1" applyAlignment="1" applyProtection="1">
      <alignment vertical="center" wrapText="1"/>
      <protection locked="0"/>
    </xf>
    <xf numFmtId="0" fontId="3" fillId="4" borderId="1" xfId="2" applyNumberFormat="1" applyFont="1" applyFill="1" applyBorder="1" applyAlignment="1" applyProtection="1">
      <alignment horizontal="center" vertical="center" wrapText="1"/>
      <protection locked="0"/>
    </xf>
    <xf numFmtId="1" fontId="21" fillId="4" borderId="1" xfId="0" applyNumberFormat="1" applyFont="1" applyFill="1" applyBorder="1" applyAlignment="1" applyProtection="1">
      <alignment horizontal="center" vertical="center" wrapText="1"/>
      <protection locked="0"/>
    </xf>
    <xf numFmtId="1" fontId="3" fillId="4" borderId="1" xfId="0" applyNumberFormat="1"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164" fontId="3" fillId="4" borderId="1" xfId="0" applyNumberFormat="1" applyFont="1" applyFill="1" applyBorder="1" applyAlignment="1" applyProtection="1">
      <alignment horizontal="center" vertical="center" wrapText="1"/>
      <protection locked="0"/>
    </xf>
    <xf numFmtId="164" fontId="3" fillId="4" borderId="1" xfId="2" applyNumberFormat="1" applyFont="1" applyFill="1" applyBorder="1" applyAlignment="1" applyProtection="1">
      <alignment horizontal="center" vertical="center" wrapText="1"/>
      <protection locked="0"/>
    </xf>
    <xf numFmtId="0" fontId="3" fillId="4" borderId="1" xfId="5"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4" applyNumberFormat="1" applyFont="1" applyFill="1" applyBorder="1" applyAlignment="1" applyProtection="1">
      <alignment horizontal="center" vertical="center" wrapText="1"/>
      <protection locked="0"/>
    </xf>
    <xf numFmtId="0" fontId="3" fillId="4" borderId="1" xfId="0" applyFont="1" applyFill="1" applyBorder="1" applyAlignment="1">
      <alignment horizontal="center" vertical="center" wrapText="1"/>
    </xf>
    <xf numFmtId="0" fontId="13" fillId="4" borderId="1" xfId="0" applyFont="1" applyFill="1" applyBorder="1" applyAlignment="1" applyProtection="1">
      <alignment horizontal="center" vertical="center" wrapText="1"/>
      <protection locked="0"/>
    </xf>
    <xf numFmtId="0" fontId="3" fillId="4" borderId="5" xfId="0" applyFont="1" applyFill="1" applyBorder="1" applyAlignment="1" applyProtection="1">
      <alignment horizontal="center" vertical="center" wrapText="1"/>
      <protection locked="0"/>
    </xf>
    <xf numFmtId="0" fontId="7" fillId="0" borderId="0" xfId="0" applyFont="1" applyAlignment="1">
      <alignment vertical="center" wrapText="1"/>
    </xf>
    <xf numFmtId="14" fontId="21" fillId="4" borderId="1" xfId="0" applyNumberFormat="1" applyFont="1" applyFill="1" applyBorder="1" applyAlignment="1" applyProtection="1">
      <alignment horizontal="center" vertical="center" wrapText="1"/>
      <protection locked="0"/>
    </xf>
    <xf numFmtId="164" fontId="11" fillId="0" borderId="1" xfId="2" applyNumberFormat="1" applyFont="1" applyFill="1" applyBorder="1" applyAlignment="1" applyProtection="1">
      <alignment horizontal="center" vertical="center" wrapText="1"/>
      <protection locked="0"/>
    </xf>
    <xf numFmtId="43" fontId="7" fillId="0" borderId="0" xfId="2" applyFont="1" applyFill="1" applyAlignment="1" applyProtection="1">
      <alignment vertical="center" wrapText="1"/>
      <protection locked="0"/>
    </xf>
    <xf numFmtId="0" fontId="21" fillId="4" borderId="1" xfId="2" applyNumberFormat="1" applyFont="1" applyFill="1" applyBorder="1" applyAlignment="1" applyProtection="1">
      <alignment horizontal="center" vertical="center" wrapText="1"/>
      <protection locked="0"/>
    </xf>
    <xf numFmtId="0" fontId="11" fillId="0" borderId="3" xfId="2" applyNumberFormat="1" applyFont="1" applyFill="1" applyBorder="1" applyAlignment="1" applyProtection="1">
      <alignment horizontal="center" vertical="center" wrapText="1"/>
      <protection locked="0"/>
    </xf>
    <xf numFmtId="16" fontId="7" fillId="0" borderId="0" xfId="0" applyNumberFormat="1" applyFont="1"/>
    <xf numFmtId="0" fontId="16" fillId="0" borderId="0" xfId="0" applyFont="1" applyAlignment="1">
      <alignment horizontal="left" vertical="center"/>
    </xf>
    <xf numFmtId="164" fontId="0" fillId="0" borderId="0" xfId="2" applyNumberFormat="1" applyFont="1"/>
    <xf numFmtId="164" fontId="0" fillId="0" borderId="0" xfId="0" pivotButton="1" applyNumberFormat="1"/>
    <xf numFmtId="166" fontId="11" fillId="0" borderId="1" xfId="2" applyNumberFormat="1" applyFont="1" applyFill="1" applyBorder="1" applyAlignment="1" applyProtection="1">
      <alignment horizontal="center" vertical="center" wrapText="1"/>
      <protection locked="0"/>
    </xf>
    <xf numFmtId="164" fontId="2" fillId="0" borderId="1" xfId="2" applyNumberFormat="1" applyFont="1" applyFill="1" applyBorder="1" applyAlignment="1" applyProtection="1">
      <alignment horizontal="center" vertical="center" wrapText="1"/>
      <protection locked="0"/>
    </xf>
    <xf numFmtId="1" fontId="11" fillId="0" borderId="1" xfId="4" applyNumberFormat="1" applyFont="1" applyFill="1" applyBorder="1" applyAlignment="1" applyProtection="1">
      <alignment horizontal="center" vertical="center" wrapText="1"/>
      <protection locked="0"/>
    </xf>
    <xf numFmtId="43" fontId="11" fillId="0" borderId="1" xfId="2" applyFont="1" applyFill="1" applyBorder="1" applyAlignment="1" applyProtection="1">
      <alignment horizontal="center" vertical="center" wrapText="1"/>
      <protection locked="0"/>
    </xf>
    <xf numFmtId="0" fontId="2" fillId="0" borderId="3" xfId="2" applyNumberFormat="1" applyFont="1" applyFill="1" applyBorder="1" applyAlignment="1" applyProtection="1">
      <alignment horizontal="center" vertical="center" wrapText="1"/>
      <protection locked="0"/>
    </xf>
    <xf numFmtId="43" fontId="11" fillId="0" borderId="3" xfId="2" applyFont="1" applyFill="1" applyBorder="1" applyAlignment="1" applyProtection="1">
      <alignment horizontal="center" vertical="center" wrapText="1"/>
      <protection locked="0"/>
    </xf>
    <xf numFmtId="164" fontId="2" fillId="0" borderId="3" xfId="2" applyNumberFormat="1" applyFont="1" applyFill="1" applyBorder="1" applyAlignment="1" applyProtection="1">
      <alignment horizontal="center" vertical="center" wrapText="1"/>
      <protection locked="0"/>
    </xf>
    <xf numFmtId="166" fontId="2" fillId="0" borderId="3" xfId="2" applyNumberFormat="1" applyFont="1" applyFill="1" applyBorder="1" applyAlignment="1" applyProtection="1">
      <alignment horizontal="center" vertical="center" wrapText="1"/>
      <protection locked="0"/>
    </xf>
    <xf numFmtId="1" fontId="2" fillId="0" borderId="3" xfId="4" applyNumberFormat="1" applyFont="1" applyFill="1" applyBorder="1" applyAlignment="1" applyProtection="1">
      <alignment horizontal="center" vertical="center" wrapText="1"/>
      <protection locked="0"/>
    </xf>
    <xf numFmtId="164" fontId="11" fillId="0" borderId="3" xfId="2" applyNumberFormat="1" applyFont="1" applyFill="1" applyBorder="1" applyAlignment="1" applyProtection="1">
      <alignment horizontal="center" vertical="center" wrapText="1"/>
      <protection locked="0"/>
    </xf>
    <xf numFmtId="1" fontId="2" fillId="0" borderId="1" xfId="2" applyNumberFormat="1" applyFont="1" applyFill="1" applyBorder="1" applyAlignment="1" applyProtection="1">
      <alignment horizontal="center" vertical="center" wrapText="1"/>
      <protection locked="0"/>
    </xf>
    <xf numFmtId="1" fontId="2" fillId="0" borderId="3" xfId="2" applyNumberFormat="1" applyFont="1" applyFill="1" applyBorder="1" applyAlignment="1" applyProtection="1">
      <alignment horizontal="center" vertical="center" wrapText="1"/>
      <protection locked="0"/>
    </xf>
    <xf numFmtId="1" fontId="11" fillId="0" borderId="0" xfId="2" applyNumberFormat="1" applyFont="1" applyAlignment="1" applyProtection="1">
      <alignment vertical="center"/>
      <protection locked="0"/>
    </xf>
    <xf numFmtId="1" fontId="17" fillId="0" borderId="0" xfId="0" applyNumberFormat="1" applyFont="1" applyAlignment="1" applyProtection="1">
      <alignment horizontal="center" vertical="center" wrapText="1"/>
      <protection locked="0"/>
    </xf>
    <xf numFmtId="1" fontId="17" fillId="0" borderId="0" xfId="2" applyNumberFormat="1" applyFont="1" applyAlignment="1" applyProtection="1">
      <alignment vertical="center" wrapText="1"/>
      <protection locked="0"/>
    </xf>
    <xf numFmtId="1" fontId="11" fillId="0" borderId="0" xfId="2" applyNumberFormat="1" applyFont="1" applyFill="1" applyAlignment="1" applyProtection="1">
      <alignment vertical="center"/>
      <protection locked="0"/>
    </xf>
    <xf numFmtId="0" fontId="2" fillId="0" borderId="9" xfId="2" applyNumberFormat="1" applyFont="1" applyFill="1" applyBorder="1" applyAlignment="1" applyProtection="1">
      <alignment horizontal="center" vertical="center" wrapText="1"/>
      <protection locked="0"/>
    </xf>
    <xf numFmtId="164" fontId="5" fillId="5" borderId="10" xfId="0" applyNumberFormat="1" applyFont="1" applyFill="1" applyBorder="1"/>
    <xf numFmtId="164" fontId="17" fillId="0" borderId="0" xfId="0" applyNumberFormat="1" applyFont="1" applyAlignment="1" applyProtection="1">
      <alignment vertical="center" wrapText="1"/>
      <protection locked="0"/>
    </xf>
    <xf numFmtId="0" fontId="2" fillId="0" borderId="0" xfId="0" applyFont="1" applyAlignment="1" applyProtection="1">
      <alignment vertical="center" wrapText="1"/>
      <protection locked="0"/>
    </xf>
    <xf numFmtId="0" fontId="11" fillId="0" borderId="1" xfId="2" applyNumberFormat="1" applyFont="1" applyFill="1" applyBorder="1" applyAlignment="1" applyProtection="1">
      <alignment horizontal="center" wrapText="1"/>
      <protection locked="0"/>
    </xf>
    <xf numFmtId="0" fontId="24" fillId="0" borderId="0" xfId="0" applyFont="1" applyAlignment="1" applyProtection="1">
      <alignment horizontal="right" vertical="center"/>
      <protection locked="0"/>
    </xf>
    <xf numFmtId="0" fontId="24" fillId="0" borderId="0" xfId="0" applyFont="1" applyAlignment="1" applyProtection="1">
      <alignment horizontal="center" vertical="center"/>
      <protection locked="0"/>
    </xf>
    <xf numFmtId="0" fontId="2" fillId="0" borderId="7" xfId="2" applyNumberFormat="1" applyFont="1" applyFill="1" applyBorder="1" applyAlignment="1" applyProtection="1">
      <alignment horizontal="center" vertical="center" wrapText="1"/>
      <protection locked="0"/>
    </xf>
    <xf numFmtId="164" fontId="2" fillId="0" borderId="7" xfId="2" applyNumberFormat="1" applyFont="1" applyFill="1" applyBorder="1" applyAlignment="1" applyProtection="1">
      <alignment horizontal="center" vertical="center" wrapText="1"/>
      <protection locked="0"/>
    </xf>
    <xf numFmtId="0" fontId="11" fillId="0" borderId="1" xfId="7" applyFont="1" applyFill="1" applyBorder="1" applyAlignment="1" applyProtection="1">
      <alignment horizontal="center" vertical="center" wrapText="1"/>
      <protection locked="0"/>
    </xf>
    <xf numFmtId="0" fontId="2" fillId="0" borderId="1" xfId="7" applyFont="1" applyFill="1" applyBorder="1" applyAlignment="1" applyProtection="1">
      <alignment horizontal="center" vertical="center" wrapText="1"/>
      <protection locked="0"/>
    </xf>
    <xf numFmtId="1" fontId="11" fillId="0" borderId="1" xfId="2" applyNumberFormat="1" applyFont="1" applyFill="1" applyBorder="1" applyAlignment="1" applyProtection="1">
      <alignment horizontal="center" vertical="center" wrapText="1"/>
      <protection locked="0"/>
    </xf>
    <xf numFmtId="0" fontId="11" fillId="6" borderId="1" xfId="7" applyFont="1" applyFill="1" applyBorder="1" applyAlignment="1" applyProtection="1">
      <alignment horizontal="center" vertical="center" wrapText="1"/>
      <protection locked="0"/>
    </xf>
    <xf numFmtId="0" fontId="2" fillId="6" borderId="1" xfId="5"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0" fontId="2" fillId="0" borderId="1" xfId="5" applyFont="1" applyBorder="1" applyAlignment="1" applyProtection="1">
      <alignment horizontal="center" vertical="center" wrapText="1"/>
      <protection locked="0"/>
    </xf>
    <xf numFmtId="0" fontId="2" fillId="0" borderId="1" xfId="5" applyFont="1" applyBorder="1" applyAlignment="1">
      <alignment horizontal="center" vertical="center" wrapText="1"/>
    </xf>
    <xf numFmtId="0" fontId="12" fillId="0" borderId="1" xfId="5" applyFont="1" applyBorder="1" applyAlignment="1" applyProtection="1">
      <alignment horizontal="center" vertical="center" wrapText="1"/>
      <protection locked="0"/>
    </xf>
    <xf numFmtId="0" fontId="2" fillId="0" borderId="1" xfId="0" applyFont="1" applyBorder="1" applyAlignment="1">
      <alignment vertical="center" wrapText="1"/>
    </xf>
    <xf numFmtId="0" fontId="11" fillId="0" borderId="1" xfId="5"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11" fillId="0" borderId="1" xfId="5" applyFont="1" applyBorder="1" applyAlignment="1">
      <alignment horizontal="center" vertical="center" wrapText="1"/>
    </xf>
    <xf numFmtId="0" fontId="11" fillId="0" borderId="1" xfId="0" applyFont="1" applyBorder="1" applyAlignment="1">
      <alignment vertical="center" wrapText="1"/>
    </xf>
    <xf numFmtId="0" fontId="20" fillId="0" borderId="1" xfId="0" applyFont="1" applyBorder="1" applyAlignment="1" applyProtection="1">
      <alignment horizontal="center" vertical="center" wrapText="1"/>
      <protection locked="0"/>
    </xf>
    <xf numFmtId="0" fontId="2" fillId="0" borderId="6" xfId="5"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3" xfId="5" applyFont="1" applyBorder="1" applyAlignment="1" applyProtection="1">
      <alignment horizontal="center" vertical="center" wrapText="1"/>
      <protection locked="0"/>
    </xf>
    <xf numFmtId="0" fontId="2" fillId="0" borderId="3" xfId="5" applyFont="1" applyBorder="1" applyAlignment="1" applyProtection="1">
      <alignment horizontal="center" vertical="center" wrapText="1"/>
      <protection locked="0"/>
    </xf>
    <xf numFmtId="0" fontId="12" fillId="0" borderId="3" xfId="5"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5" applyFont="1" applyBorder="1" applyAlignment="1">
      <alignment horizontal="center" vertical="center" wrapText="1"/>
    </xf>
    <xf numFmtId="0" fontId="11" fillId="0" borderId="6" xfId="5" applyFont="1" applyBorder="1" applyAlignment="1" applyProtection="1">
      <alignment horizontal="center" vertical="center" wrapText="1"/>
      <protection locked="0"/>
    </xf>
    <xf numFmtId="0" fontId="2" fillId="0" borderId="8" xfId="5" applyFont="1" applyBorder="1" applyAlignment="1" applyProtection="1">
      <alignment horizontal="center" vertical="center" wrapText="1"/>
      <protection locked="0"/>
    </xf>
    <xf numFmtId="0" fontId="11" fillId="0" borderId="3"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Border="1" applyAlignment="1" applyProtection="1">
      <alignment vertical="center"/>
      <protection locked="0"/>
    </xf>
    <xf numFmtId="0" fontId="2" fillId="7" borderId="1" xfId="5" applyFont="1" applyFill="1" applyBorder="1" applyAlignment="1" applyProtection="1">
      <alignment horizontal="center" vertical="center" wrapText="1"/>
      <protection locked="0"/>
    </xf>
    <xf numFmtId="0" fontId="12" fillId="7" borderId="1" xfId="5" applyFont="1" applyFill="1" applyBorder="1" applyAlignment="1" applyProtection="1">
      <alignment horizontal="center" vertical="center" wrapText="1"/>
      <protection locked="0"/>
    </xf>
    <xf numFmtId="0" fontId="2" fillId="8" borderId="1" xfId="5" applyFont="1" applyFill="1" applyBorder="1" applyAlignment="1" applyProtection="1">
      <alignment horizontal="center" vertical="center" wrapText="1"/>
      <protection locked="0"/>
    </xf>
    <xf numFmtId="0" fontId="12" fillId="8" borderId="1" xfId="5" applyFont="1" applyFill="1" applyBorder="1" applyAlignment="1" applyProtection="1">
      <alignment horizontal="center" vertical="center" wrapText="1"/>
      <protection locked="0"/>
    </xf>
    <xf numFmtId="0" fontId="2" fillId="6" borderId="1" xfId="5" applyFont="1" applyFill="1" applyBorder="1" applyAlignment="1" applyProtection="1">
      <alignment horizontal="center" vertical="center" wrapText="1"/>
      <protection locked="0"/>
    </xf>
    <xf numFmtId="0" fontId="2" fillId="6" borderId="1" xfId="2" applyNumberFormat="1" applyFont="1" applyFill="1" applyBorder="1" applyAlignment="1" applyProtection="1">
      <alignment horizontal="center" vertical="center" wrapText="1"/>
      <protection locked="0"/>
    </xf>
    <xf numFmtId="0" fontId="11" fillId="6" borderId="1" xfId="2" applyNumberFormat="1"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1" fontId="2" fillId="6" borderId="1" xfId="0" applyNumberFormat="1" applyFont="1" applyFill="1" applyBorder="1" applyAlignment="1" applyProtection="1">
      <alignment horizontal="center" vertical="center" wrapText="1"/>
      <protection locked="0"/>
    </xf>
    <xf numFmtId="164" fontId="2" fillId="6" borderId="1" xfId="2" applyNumberFormat="1" applyFont="1" applyFill="1" applyBorder="1" applyAlignment="1" applyProtection="1">
      <alignment horizontal="center" vertical="center" wrapText="1"/>
      <protection locked="0"/>
    </xf>
    <xf numFmtId="166" fontId="2" fillId="6" borderId="1" xfId="2" applyNumberFormat="1" applyFont="1" applyFill="1" applyBorder="1" applyAlignment="1" applyProtection="1">
      <alignment horizontal="center" vertical="center" wrapText="1"/>
      <protection locked="0"/>
    </xf>
    <xf numFmtId="1" fontId="2" fillId="6" borderId="1" xfId="4" applyNumberFormat="1" applyFont="1" applyFill="1" applyBorder="1" applyAlignment="1" applyProtection="1">
      <alignment horizontal="center" vertical="center" wrapText="1"/>
      <protection locked="0"/>
    </xf>
    <xf numFmtId="164" fontId="11" fillId="6" borderId="1" xfId="2" applyNumberFormat="1" applyFont="1" applyFill="1" applyBorder="1" applyAlignment="1" applyProtection="1">
      <alignment horizontal="center" vertical="center" wrapText="1"/>
      <protection locked="0"/>
    </xf>
    <xf numFmtId="0" fontId="2" fillId="6" borderId="1" xfId="0" applyFont="1" applyFill="1" applyBorder="1" applyAlignment="1">
      <alignment vertical="center" wrapText="1"/>
    </xf>
    <xf numFmtId="43" fontId="11" fillId="6" borderId="1" xfId="2" applyFont="1" applyFill="1" applyBorder="1" applyAlignment="1" applyProtection="1">
      <alignment horizontal="center" vertical="center" wrapText="1"/>
      <protection locked="0"/>
    </xf>
    <xf numFmtId="1" fontId="2" fillId="6" borderId="1" xfId="2" applyNumberFormat="1" applyFont="1" applyFill="1" applyBorder="1" applyAlignment="1" applyProtection="1">
      <alignment horizontal="center" vertical="center" wrapText="1"/>
      <protection locked="0"/>
    </xf>
    <xf numFmtId="1" fontId="11" fillId="6" borderId="1" xfId="1" applyNumberFormat="1" applyFont="1" applyFill="1" applyBorder="1" applyAlignment="1" applyProtection="1">
      <alignment horizontal="center" vertical="center" wrapText="1"/>
      <protection locked="0"/>
    </xf>
    <xf numFmtId="0" fontId="11" fillId="0" borderId="9" xfId="2" applyNumberFormat="1" applyFont="1" applyFill="1" applyBorder="1" applyAlignment="1" applyProtection="1">
      <alignment horizontal="center" vertical="center" wrapText="1"/>
      <protection locked="0"/>
    </xf>
    <xf numFmtId="1" fontId="11" fillId="0" borderId="3" xfId="2" applyNumberFormat="1" applyFont="1" applyFill="1" applyBorder="1" applyAlignment="1" applyProtection="1">
      <alignment horizontal="center" vertical="center" wrapText="1"/>
      <protection locked="0"/>
    </xf>
    <xf numFmtId="164" fontId="2" fillId="6" borderId="7" xfId="2" applyNumberFormat="1" applyFont="1" applyFill="1" applyBorder="1" applyAlignment="1" applyProtection="1">
      <alignment horizontal="center" vertical="center" wrapText="1"/>
      <protection locked="0"/>
    </xf>
    <xf numFmtId="166" fontId="11" fillId="0" borderId="3" xfId="2" applyNumberFormat="1" applyFont="1" applyFill="1" applyBorder="1" applyAlignment="1" applyProtection="1">
      <alignment horizontal="center" vertical="center" wrapText="1"/>
      <protection locked="0"/>
    </xf>
    <xf numFmtId="1" fontId="11" fillId="0" borderId="3" xfId="4" applyNumberFormat="1" applyFont="1" applyFill="1" applyBorder="1" applyAlignment="1" applyProtection="1">
      <alignment horizontal="center" vertical="center" wrapText="1"/>
      <protection locked="0"/>
    </xf>
    <xf numFmtId="0" fontId="11" fillId="0" borderId="3" xfId="5" applyFont="1" applyBorder="1" applyAlignment="1">
      <alignment horizontal="center" vertical="center" wrapText="1"/>
    </xf>
    <xf numFmtId="0" fontId="11" fillId="0" borderId="8" xfId="5" applyFont="1" applyBorder="1" applyAlignment="1" applyProtection="1">
      <alignment horizontal="center" vertical="center" wrapText="1"/>
      <protection locked="0"/>
    </xf>
    <xf numFmtId="43" fontId="0" fillId="0" borderId="0" xfId="2" applyFont="1"/>
    <xf numFmtId="0" fontId="2" fillId="9" borderId="1" xfId="5" applyFont="1" applyFill="1" applyBorder="1" applyAlignment="1" applyProtection="1">
      <alignment horizontal="center" vertical="center" wrapText="1"/>
      <protection locked="0"/>
    </xf>
    <xf numFmtId="37" fontId="14" fillId="0" borderId="0" xfId="0" applyNumberFormat="1"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22" fillId="0" borderId="0" xfId="0" applyFont="1" applyAlignment="1" applyProtection="1">
      <alignment horizontal="right" vertical="center"/>
      <protection locked="0"/>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5" fillId="0" borderId="1" xfId="0" applyFont="1" applyBorder="1" applyAlignment="1">
      <alignment horizontal="center"/>
    </xf>
    <xf numFmtId="0" fontId="0" fillId="0" borderId="1" xfId="0" applyBorder="1" applyAlignment="1">
      <alignment horizontal="left"/>
    </xf>
    <xf numFmtId="43" fontId="5" fillId="0" borderId="1" xfId="2" applyFont="1" applyBorder="1" applyAlignment="1">
      <alignment horizontal="center"/>
    </xf>
    <xf numFmtId="43" fontId="6" fillId="0" borderId="0" xfId="2" applyFont="1" applyAlignment="1">
      <alignment horizontal="center"/>
    </xf>
    <xf numFmtId="0" fontId="0" fillId="0" borderId="1" xfId="0" applyBorder="1" applyAlignment="1">
      <alignment horizontal="center"/>
    </xf>
    <xf numFmtId="0" fontId="5" fillId="0" borderId="6" xfId="0" applyFont="1" applyBorder="1" applyAlignment="1">
      <alignment horizontal="center"/>
    </xf>
    <xf numFmtId="0" fontId="5" fillId="0" borderId="2" xfId="0" applyFont="1" applyBorder="1" applyAlignment="1">
      <alignment horizontal="center"/>
    </xf>
    <xf numFmtId="0" fontId="5" fillId="0" borderId="7" xfId="0" applyFont="1" applyBorder="1" applyAlignment="1">
      <alignment horizontal="center"/>
    </xf>
    <xf numFmtId="43" fontId="6" fillId="0" borderId="0" xfId="2" applyFont="1" applyBorder="1" applyAlignment="1">
      <alignment horizontal="center"/>
    </xf>
    <xf numFmtId="0" fontId="25" fillId="0" borderId="0" xfId="0" applyFont="1"/>
    <xf numFmtId="164" fontId="25" fillId="0" borderId="0" xfId="0" applyNumberFormat="1" applyFont="1"/>
    <xf numFmtId="1" fontId="11" fillId="6" borderId="1" xfId="0" applyNumberFormat="1" applyFont="1" applyFill="1" applyBorder="1" applyAlignment="1" applyProtection="1">
      <alignment horizontal="center" vertical="center" wrapText="1"/>
      <protection locked="0"/>
    </xf>
    <xf numFmtId="166" fontId="11" fillId="6" borderId="1" xfId="2" applyNumberFormat="1" applyFont="1" applyFill="1" applyBorder="1" applyAlignment="1" applyProtection="1">
      <alignment horizontal="center" vertical="center" wrapText="1"/>
      <protection locked="0"/>
    </xf>
    <xf numFmtId="0" fontId="11" fillId="6" borderId="1" xfId="5" applyFont="1" applyFill="1" applyBorder="1" applyAlignment="1" applyProtection="1">
      <alignment horizontal="center" vertical="center" wrapText="1"/>
      <protection locked="0"/>
    </xf>
    <xf numFmtId="1" fontId="11" fillId="6" borderId="1" xfId="4" applyNumberFormat="1" applyFont="1" applyFill="1" applyBorder="1" applyAlignment="1" applyProtection="1">
      <alignment horizontal="center" vertical="center" wrapText="1"/>
      <protection locked="0"/>
    </xf>
    <xf numFmtId="0" fontId="11" fillId="6" borderId="1" xfId="5" applyFont="1" applyFill="1" applyBorder="1" applyAlignment="1">
      <alignment horizontal="center" vertical="center" wrapText="1"/>
    </xf>
    <xf numFmtId="0" fontId="11" fillId="6" borderId="1" xfId="0" applyFont="1" applyFill="1" applyBorder="1" applyAlignment="1">
      <alignment vertical="center" wrapText="1"/>
    </xf>
    <xf numFmtId="0" fontId="11" fillId="0" borderId="7" xfId="2" applyNumberFormat="1" applyFont="1" applyFill="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0" fontId="11" fillId="0" borderId="3" xfId="7" applyFont="1" applyFill="1" applyBorder="1" applyAlignment="1" applyProtection="1">
      <alignment horizontal="center" vertical="center" wrapText="1"/>
      <protection locked="0"/>
    </xf>
    <xf numFmtId="0" fontId="2" fillId="9" borderId="1" xfId="5" applyNumberFormat="1" applyFont="1" applyFill="1" applyBorder="1" applyAlignment="1" applyProtection="1">
      <alignment horizontal="center" vertical="center" wrapText="1"/>
      <protection locked="0"/>
    </xf>
    <xf numFmtId="0" fontId="2" fillId="6" borderId="1" xfId="5" applyNumberFormat="1" applyFont="1" applyFill="1" applyBorder="1" applyAlignment="1">
      <alignment horizontal="center" vertical="center" wrapText="1"/>
    </xf>
    <xf numFmtId="0" fontId="12" fillId="9" borderId="1" xfId="5" applyFont="1" applyFill="1" applyBorder="1" applyAlignment="1" applyProtection="1">
      <alignment horizontal="center" vertical="center" wrapText="1"/>
      <protection locked="0"/>
    </xf>
    <xf numFmtId="0" fontId="12" fillId="6" borderId="1" xfId="5" applyFont="1" applyFill="1" applyBorder="1" applyAlignment="1" applyProtection="1">
      <alignment horizontal="center" vertical="center" wrapText="1"/>
      <protection locked="0"/>
    </xf>
    <xf numFmtId="0" fontId="11" fillId="6" borderId="1" xfId="0" applyFont="1" applyFill="1" applyBorder="1" applyAlignment="1" applyProtection="1">
      <alignment vertical="center"/>
      <protection locked="0"/>
    </xf>
    <xf numFmtId="0" fontId="2" fillId="0" borderId="3" xfId="0" applyFont="1" applyBorder="1" applyAlignment="1">
      <alignment vertical="center" wrapText="1"/>
    </xf>
    <xf numFmtId="0" fontId="11" fillId="6" borderId="1" xfId="0" applyFont="1" applyFill="1" applyBorder="1" applyAlignment="1" applyProtection="1">
      <alignment vertical="center" wrapText="1"/>
      <protection locked="0"/>
    </xf>
    <xf numFmtId="0" fontId="11" fillId="6" borderId="1" xfId="0" applyNumberFormat="1" applyFont="1" applyFill="1" applyBorder="1" applyAlignment="1" applyProtection="1">
      <alignment vertical="center"/>
      <protection locked="0"/>
    </xf>
  </cellXfs>
  <cellStyles count="8">
    <cellStyle name="Currency" xfId="1" xr:uid="{00000000-0005-0000-0000-000000000000}"/>
    <cellStyle name="Hipervínculo" xfId="7" builtinId="8"/>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141">
    <dxf>
      <fill>
        <patternFill patternType="solid">
          <fgColor rgb="FFF4B084"/>
          <bgColor rgb="FF000000"/>
        </patternFill>
      </fill>
    </dxf>
    <dxf>
      <fill>
        <patternFill patternType="solid">
          <fgColor rgb="FFF4B084"/>
          <bgColor rgb="FF000000"/>
        </patternFill>
      </fill>
    </dxf>
    <dxf>
      <numFmt numFmtId="164" formatCode="_-* #,##0_-;\-* #,##0_-;_-* &quot;-&quot;??_-;_-@_-"/>
    </dxf>
    <dxf>
      <numFmt numFmtId="164" formatCode="_-* #,##0_-;\-* #,##0_-;_-* &quot;-&quot;??_-;_-@_-"/>
    </dxf>
    <dxf>
      <numFmt numFmtId="164" formatCode="_-* #,##0_-;\-* #,##0_-;_-* &quot;-&quot;??_-;_-@_-"/>
    </dxf>
    <dxf>
      <numFmt numFmtId="164" formatCode="_-* #,##0_-;\-* #,##0_-;_-* &quot;-&quot;??_-;_-@_-"/>
    </dxf>
    <dxf>
      <font>
        <color rgb="FFFF0000"/>
      </font>
    </dxf>
    <dxf>
      <font>
        <color rgb="FFFF0000"/>
      </font>
    </dxf>
    <dxf>
      <font>
        <color rgb="FFFF0000"/>
      </font>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font>
        <color rgb="FFFF0000"/>
      </font>
    </dxf>
    <dxf>
      <font>
        <color rgb="FFFF0000"/>
      </font>
    </dxf>
    <dxf>
      <font>
        <color rgb="FFFF0000"/>
      </font>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font>
        <color rgb="FFFF0000"/>
      </font>
    </dxf>
    <dxf>
      <font>
        <color rgb="FFFF0000"/>
      </font>
    </dxf>
    <dxf>
      <font>
        <color rgb="FFFF0000"/>
      </font>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font>
        <color rgb="FFFF0000"/>
      </font>
    </dxf>
    <dxf>
      <font>
        <color rgb="FFFF0000"/>
      </font>
    </dxf>
    <dxf>
      <font>
        <color rgb="FFFF0000"/>
      </font>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font>
        <color rgb="FFFF0000"/>
      </font>
    </dxf>
    <dxf>
      <font>
        <color rgb="FFFF0000"/>
      </font>
    </dxf>
    <dxf>
      <font>
        <color rgb="FFFF0000"/>
      </font>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font>
        <color rgb="FFFF0000"/>
      </font>
    </dxf>
    <dxf>
      <font>
        <color rgb="FFFF0000"/>
      </font>
    </dxf>
    <dxf>
      <font>
        <color rgb="FFFF0000"/>
      </font>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font>
        <color rgb="FFFF0000"/>
      </font>
    </dxf>
    <dxf>
      <font>
        <color rgb="FFFF0000"/>
      </font>
    </dxf>
    <dxf>
      <font>
        <color rgb="FFFF0000"/>
      </font>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font>
        <color rgb="FFFF0000"/>
      </font>
    </dxf>
    <dxf>
      <font>
        <color rgb="FFFF0000"/>
      </font>
    </dxf>
    <dxf>
      <font>
        <color rgb="FFFF0000"/>
      </font>
    </dxf>
    <dxf>
      <numFmt numFmtId="164" formatCode="_-* #,##0_-;\-* #,##0_-;_-* &quot;-&quot;??_-;_-@_-"/>
    </dxf>
    <dxf>
      <numFmt numFmtId="164" formatCode="_-* #,##0_-;\-* #,##0_-;_-* &quot;-&quot;??_-;_-@_-"/>
    </dxf>
    <dxf>
      <numFmt numFmtId="164" formatCode="_-* #,##0_-;\-* #,##0_-;_-* &quot;-&quot;??_-;_-@_-"/>
    </dxf>
    <dxf>
      <numFmt numFmtId="164" formatCode="_-* #,##0_-;\-* #,##0_-;_-* &quot;-&quot;??_-;_-@_-"/>
    </dxf>
    <dxf>
      <font>
        <color rgb="FFFF0000"/>
      </font>
    </dxf>
    <dxf>
      <font>
        <color rgb="FFFF0000"/>
      </font>
    </dxf>
    <dxf>
      <font>
        <color rgb="FFFF0000"/>
      </font>
    </dxf>
    <dxf>
      <font>
        <color rgb="FF9C0006"/>
      </font>
      <fill>
        <patternFill>
          <bgColor rgb="FFFFC7CE"/>
        </patternFill>
      </fill>
    </dxf>
    <dxf>
      <font>
        <strike val="0"/>
        <outline val="0"/>
        <shadow val="0"/>
        <u val="none"/>
        <vertAlign val="baseline"/>
        <sz val="11"/>
        <name val="Tahoma"/>
        <family val="2"/>
        <scheme val="none"/>
      </font>
      <numFmt numFmtId="0" formatCode="General"/>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6" formatCode="_-[$$-240A]\ * #,##0_-;\-[$$-240A]\ * #,##0_-;_-[$$-240A]\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64"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Tahoma"/>
        <family val="2"/>
        <scheme val="none"/>
      </font>
      <fill>
        <patternFill patternType="none">
          <fgColor indexed="64"/>
          <bgColor auto="1"/>
        </patternFill>
      </fill>
    </dxf>
    <dxf>
      <border outline="0">
        <bottom style="thin">
          <color indexed="64"/>
        </bottom>
      </border>
    </dxf>
    <dxf>
      <font>
        <strike val="0"/>
        <outline val="0"/>
        <shadow val="0"/>
        <u val="none"/>
        <vertAlign val="baseline"/>
        <sz val="11"/>
        <name val="Tahoma"/>
        <family val="2"/>
        <scheme val="none"/>
      </font>
      <fill>
        <patternFill patternType="solid">
          <fgColor indexed="64"/>
          <bgColor theme="4" tint="0.79998168889431442"/>
        </patternFill>
      </fill>
      <border diagonalUp="0" diagonalDown="0" outline="0">
        <left style="thin">
          <color indexed="64"/>
        </left>
        <right style="thin">
          <color indexed="64"/>
        </right>
        <top/>
        <bottom/>
      </border>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
      <numFmt numFmtId="164" formatCode="_-* #,##0_-;\-* #,##0_-;_-* &quot;-&quot;??_-;_-@_-"/>
    </dxf>
  </dxfs>
  <tableStyles count="0" defaultTableStyle="TableStyleMedium2" defaultPivotStyle="PivotStyleLight16"/>
  <colors>
    <mruColors>
      <color rgb="FF66FFCC"/>
      <color rgb="FFFF8181"/>
      <color rgb="FF66FF66"/>
      <color rgb="FF99CCFF"/>
      <color rgb="FFFFCCFF"/>
      <color rgb="FFCCFF99"/>
      <color rgb="FFC3B6E2"/>
      <color rgb="FF00FF00"/>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594633</xdr:colOff>
      <xdr:row>1</xdr:row>
      <xdr:rowOff>84859</xdr:rowOff>
    </xdr:from>
    <xdr:to>
      <xdr:col>3</xdr:col>
      <xdr:colOff>108856</xdr:colOff>
      <xdr:row>7</xdr:row>
      <xdr:rowOff>25563</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594633" y="266288"/>
          <a:ext cx="5456009" cy="115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044.826881250003" createdVersion="8" refreshedVersion="8" minRefreshableVersion="3" recordCount="646" xr:uid="{2AB926A4-6DFB-4D1A-A8A5-8B6706533493}">
  <cacheSource type="worksheet">
    <worksheetSource name="PAA"/>
  </cacheSource>
  <cacheFields count="34">
    <cacheField name="Id Interno" numFmtId="0">
      <sharedItems containsSemiMixedTypes="0" containsString="0" containsNumber="1" containsInteger="1" minValue="20260001" maxValue="20260651"/>
    </cacheField>
    <cacheField name="Objeto de la contratación" numFmtId="0">
      <sharedItems longText="1"/>
    </cacheField>
    <cacheField name="Modalidad de Selección" numFmtId="0">
      <sharedItems/>
    </cacheField>
    <cacheField name="tipo de Contrato (TH talento humano - B/S bienes y/o servicios)" numFmtId="0">
      <sharedItems/>
    </cacheField>
    <cacheField name="Tipo de Contratación" numFmtId="0">
      <sharedItems/>
    </cacheField>
    <cacheField name="Mes estimado de inicio de ejecución" numFmtId="0">
      <sharedItems/>
    </cacheField>
    <cacheField name="plazo ejec Meses" numFmtId="1">
      <sharedItems containsSemiMixedTypes="0" containsString="0" containsNumber="1" containsInteger="1" minValue="0" maxValue="18"/>
    </cacheField>
    <cacheField name="mas plazo ejec Días (si aplica)" numFmtId="1">
      <sharedItems containsSemiMixedTypes="0" containsString="0" containsNumber="1" containsInteger="1" minValue="0" maxValue="365"/>
    </cacheField>
    <cacheField name="Valor apropiacion vigencia actual" numFmtId="164">
      <sharedItems containsString="0" containsBlank="1" containsNumber="1" containsInteger="1" minValue="0" maxValue="6914369000"/>
    </cacheField>
    <cacheField name="¿vigencia futuras?" numFmtId="166">
      <sharedItems/>
    </cacheField>
    <cacheField name="Dependencia Solicitante" numFmtId="0">
      <sharedItems containsBlank="1" count="14">
        <s v="Dirección Tic"/>
        <s v="Oficina Asesora de Planeación"/>
        <s v="Oficina de Control Disciplinario Interno"/>
        <s v="Oficina de Control Interno"/>
        <s v="Oficina Juridica"/>
        <s v="Sub. Gestión Humana"/>
        <s v="Sub. Logística"/>
        <s v="Sub. Operativa"/>
        <s v="Sub. Gestión Riesgos"/>
        <s v="Sub. Gestión Corporativa"/>
        <s v="Dirección"/>
        <s v="Dirección comunicaciones y Prensa"/>
        <m u="1"/>
        <s v="Uaecob" u="1"/>
      </sharedItems>
    </cacheField>
    <cacheField name="Responsable del Proceso" numFmtId="0">
      <sharedItems/>
    </cacheField>
    <cacheField name="Proyecto y nombre Asociado" numFmtId="0">
      <sharedItems containsBlank="1" count="4">
        <s v="8126-Fortalecimiento institucional de la UAECOB para un gobierno confiable Bogotá D.C."/>
        <s v="131- Funcionamiento"/>
        <s v="8173-Modernización de las capacidades del Cuerpo Oficial de Bomberos Bogotá D.C."/>
        <m u="1"/>
      </sharedItems>
    </cacheField>
    <cacheField name="Gerente del Proyecto Asociado" numFmtId="0">
      <sharedItems/>
    </cacheField>
    <cacheField name="Fuente de Recursos" numFmtId="0">
      <sharedItems/>
    </cacheField>
    <cacheField name="Código UNSPSC (cada código separado por ;)" numFmtId="1">
      <sharedItems containsMixedTypes="1" containsNumber="1" containsInteger="1" minValue="14111500" maxValue="90121800" longText="1"/>
    </cacheField>
    <cacheField name="Meta Proyecto de Inversión" numFmtId="0">
      <sharedItems longText="1"/>
    </cacheField>
    <cacheField name="meta objeto" numFmtId="0">
      <sharedItems/>
    </cacheField>
    <cacheField name="meta objeto2" numFmtId="0">
      <sharedItems/>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ontainsMixedTypes="1" containsNumber="1" containsInteger="1" minValue="14" maxValue="16"/>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ount="17">
        <s v="O23011745992024020711007"/>
        <s v="NANANAN/AN/A"/>
        <s v="O23011745992024020713031"/>
        <s v="O23011745992024020713023"/>
        <s v="O23011745992024020708016"/>
        <s v="O23011745032024025507002"/>
        <s v="O23011745032024025509004"/>
        <s v="O23011745032024025512004"/>
        <s v="O23011745032024025504004"/>
        <s v="O23011745032024025510004"/>
        <s v="O23011745032024025505035"/>
        <s v="O23011745032024025506035"/>
        <s v="O23011745032024025516018"/>
        <s v="O23011745032024025514014"/>
        <s v="O23011745032024025514015"/>
        <s v="O23011745032024025508031_"/>
        <s v="O23011745992024020713019"/>
      </sharedItems>
    </cacheField>
    <cacheField name="codigo PEP" numFmtId="0">
      <sharedItems/>
    </cacheField>
    <cacheField name="POSPRE" numFmtId="164">
      <sharedItems containsBlank="1" count="34">
        <s v="O232020200991191 Servicios administrativos relacionados con los trabajadores estatales"/>
        <s v="O232020200883132 Servicios de soporte en tecnologías de la información (TI)"/>
        <s v="O232020200883159 Otros servicios de alojamiento y suministro de infraestructura en tecnología de la información (TI)"/>
        <s v="O21202020080383141 Servicios de diseño y desarrollo de aplicaciones en tecnologías de la información (TI)"/>
        <s v="O21202020080484290 Otros servicios de telecomunicaciones vía Internet"/>
        <s v="O21202020080787130 Servicios de mantenimiento y reparación de computa"/>
        <s v="No Aplica"/>
        <s v="O232020200772252 Servicios de arrendamiento de bienes inmuebles no residenciales (vivienda) a comisión o por contrato"/>
        <s v="O2320202010 Viáticos de los funcionarios en comisión"/>
        <s v="O2320202005040554590 Otros servicios especializados de la construcción"/>
        <s v="O23201010030202 Máquinas herramientas y sus partes, piezas y accesorios"/>
        <s v="O232020200992913 Servicios de educación para la formación y el trabajo"/>
        <s v="O2320201003023229906 Libros publicados en fascículos, folletos, hojas sueltas e impresos similares"/>
        <s v="O23202020088714102 Servicio de mantenimiento y reparación de vehículos automóviles"/>
        <s v="O2320201003063611101 Llantas de caucho para automóviles"/>
        <s v="O2320201003053543003 Aditivos para gasolina, aceites minerales y combustible en general"/>
        <s v="O23201010030208 Otra maquinaria para usos especiales y sus partes y piezas"/>
        <s v="O232020200883590 Otros servicios veterinarios"/>
        <s v="O2320201002092929012 Partes y accesorios para artículos de protección personal"/>
        <s v="O232020200663393 Otros servicios de comidas contratadas"/>
        <s v="O23202020088715602 Servicio de mantenimiento y reparación de equipos de fuerza hidráulica y de potencia neumática, bombas, compresores y válvulas"/>
        <s v="O2120201002082823609    Uniformes de trabajo"/>
        <s v="O232020200667230 Servicio de almacenamiento para mercancías voluminosas"/>
        <s v="O232020200888215 Servicios de confección de artículos con materiales textiles"/>
        <s v="O232020200991121 Servicios de la administración pública relacionados con la educación"/>
        <s v="O23202010033899920 Artículos varios de publicidad y propaganda"/>
        <s v="O232020200885250 Servicios de protección (guardas de seguridad)"/>
        <s v="O232020200885330 Servicios de limpieza general"/>
        <s v="O2320101004010102 Muebles del tipo utilizado en la oficina"/>
        <s v="O232020200887151 Servicios de mantenimiento y reparación de electrodomésticos"/>
        <s v="O23201010030401 Motores, generadores y transformadores eléctricos y sus partes y piezas"/>
        <s v="O2320202005040654612 Servicios de instalación de alarmas contra incendios"/>
        <s v="O232020200885961 Servicios de organización y asistencia de convenciones"/>
        <m u="1"/>
      </sharedItems>
    </cacheField>
    <cacheField name="Si Secop / No Secop" numFmtId="0">
      <sharedItems/>
    </cacheField>
    <cacheField name="Objeto de contratacion CDP"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6">
  <r>
    <n v="20260001"/>
    <s v="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s v="09 - contratación directa"/>
    <s v="TH"/>
    <s v="25 - contrato de prestacion de servicios profesionales"/>
    <s v="ENERO"/>
    <n v="12"/>
    <n v="0"/>
    <n v="120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
  </r>
  <r>
    <n v="20260002"/>
    <s v="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s v="09 - contratación directa"/>
    <s v="TH"/>
    <s v="25 - contrato de prestacion de servicios profesionales"/>
    <s v="ENERO"/>
    <n v="6"/>
    <n v="0"/>
    <n v="45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
  </r>
  <r>
    <n v="20260003"/>
    <s v="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s v="09 - contratación directa"/>
    <s v="TH"/>
    <s v="25 - contrato de prestacion de servicios profesionales"/>
    <s v="ENERO"/>
    <n v="6"/>
    <n v="0"/>
    <n v="330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
  </r>
  <r>
    <n v="20260004"/>
    <s v="Prestar los servicios profesionales para realizar las actividades tendientes a soportar el Sistema Integrado de Administración de Personal - SIAP  a cargo del área de Tecnologías de la Información y las Comunicaciones de la U.A.E. Cuerpo Oficial de Bomberos Bogotá"/>
    <s v="09 - contratación directa"/>
    <s v="TH"/>
    <s v="25 - contrato de prestacion de servicios profesionales"/>
    <s v="ENERO"/>
    <n v="6"/>
    <n v="0"/>
    <n v="570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
  </r>
  <r>
    <n v="20260005"/>
    <s v="Prestar servicios profesionales apoyando los lineamientos tecnológicos necesarios  para la administración y gestión de los servicios desarrollados por el  área de Tecnologías de la Información y las Comunicaciones de la U.A.E. Cuerpo Oficial de Bomberos Bogotá."/>
    <s v="09 - contratación directa"/>
    <s v="TH"/>
    <s v="25 - contrato de prestacion de servicios profesionales"/>
    <s v="ENERO"/>
    <n v="12"/>
    <n v="0"/>
    <n v="936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5-TH-8126-5-Prestar servicios profesionales apoyando los lineamientos tecnológicos necesarios  para la administración y gestión de los servicios desarrollados por el  área de Tecnologías de la Información y las Comunicaciones de la U.A.E. Cuerpo Oficial de Bomberos Bogotá."/>
  </r>
  <r>
    <n v="20260006"/>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0"/>
    <n v="0"/>
    <n v="78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07"/>
    <s v="Prestar servicios profesionales orientados al fortalecimiento, administración y soporte de los sistemas, plataformas, infraestructura tecnológica y servicios informáticos a cargo de la Dirección de Tics de la U.A.E Cuerpo Oficial de Bomberos de Bogotá D.C"/>
    <s v="09 - contratación directa"/>
    <s v="TH"/>
    <s v="25 - contrato de prestacion de servicios profesionales"/>
    <s v="ENERO"/>
    <n v="12"/>
    <n v="0"/>
    <n v="605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7-TH-8126-5-Prestar servicios profesionales orientados al fortalecimiento, administración y soporte de los sistemas, plataformas, infraestructura tecnológica y servicios informáticos a cargo de la Dirección de Tics de la U.A.E Cuerpo Oficial de Bomberos de Bogotá D.C"/>
  </r>
  <r>
    <n v="20260008"/>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FEBRERO"/>
    <n v="10"/>
    <n v="0"/>
    <n v="40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8-TH-8126-5-Prestar los servicios de apoyo a la gestión para desarrollar actividades de soporte técnico nivel (1 y 2) que requiera el área de Tecnologías de la Información y las Comunicaciones de la U.A.E. Cuerpo Oficial de Bomberos Bogotá"/>
  </r>
  <r>
    <n v="20260009"/>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ENERO"/>
    <n v="6"/>
    <n v="0"/>
    <n v="24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09-TH-8126-5-Prestar los servicios de apoyo a la gestión para desarrollar actividades de soporte técnico nivel (1 y 2) que requiera el área de Tecnologías de la Información y las Comunicaciones de la U.A.E. Cuerpo Oficial de Bomberos Bogotá"/>
  </r>
  <r>
    <n v="20260010"/>
    <s v="Prestar servicios profesionales para apoyar el seguimiento, control y gestión de los servicios  tecnológicos asociados a  la herramienta de mesa de ayuda, directorio activo y herramientas de gestión que le sean asignados por la UAE Cuerpo Oficial de Bomberos de Bogotá - TIC."/>
    <s v="09 - contratación directa"/>
    <s v="TH"/>
    <s v="25 - contrato de prestacion de servicios profesionales"/>
    <s v="ENERO"/>
    <n v="12"/>
    <n v="0"/>
    <n v="840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
  </r>
  <r>
    <n v="20260011"/>
    <s v="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s v="09 - contratación directa"/>
    <s v="TH"/>
    <s v="25 - contrato de prestacion de servicios profesionales"/>
    <s v="FEBRERO"/>
    <n v="10"/>
    <n v="0"/>
    <n v="78000000"/>
    <s v="NO"/>
    <x v="0"/>
    <s v="Paula Ximena Henao Escobar"/>
    <x v="0"/>
    <s v="Subdirector@ de Gestión Corporativa"/>
    <s v="1-100-I087 VA-Sobretasa Bomberil"/>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
  </r>
  <r>
    <n v="20260012"/>
    <s v="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s v="09 - contratación directa"/>
    <s v="TH"/>
    <s v="25 - contrato de prestacion de servicios profesionales"/>
    <s v="ENERO"/>
    <n v="12"/>
    <n v="0"/>
    <n v="66000000"/>
    <s v="NO"/>
    <x v="0"/>
    <s v="Paula Ximena Henao Escobar"/>
    <x v="0"/>
    <s v="Subdirector@ de Gestión Corporativa"/>
    <s v="1-100-I087 VA-Sobretasa Bomberil"/>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
  </r>
  <r>
    <n v="20260013"/>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s v="TH"/>
    <s v="25 - contrato de prestacion de servicios profesionales"/>
    <s v="FEBRERO"/>
    <n v="6"/>
    <n v="0"/>
    <n v="420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14"/>
    <s v="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s v="09 - contratación directa"/>
    <s v="TH"/>
    <s v="26 - contrato de prestacion de servicios de apoyo a la gestion"/>
    <s v="ENERO"/>
    <n v="6"/>
    <n v="0"/>
    <n v="282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
  </r>
  <r>
    <n v="20260015"/>
    <s v="Prestar los servicios de apoyo a la gestión para desarrollar actividades de soporte técnico nivel (1 y 2) que requiera el área de Tecnologías de la Información y las Comunicaciones de la U.A.E. Cuerpo Oficial de Bomberos Bogotá"/>
    <s v="09 - contratación directa"/>
    <s v="TH"/>
    <s v="26 - contrato de prestacion de servicios de apoyo a la gestion"/>
    <s v="ENERO"/>
    <n v="11"/>
    <n v="0"/>
    <n v="44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5-TH-8126-5-Prestar los servicios de apoyo a la gestión para desarrollar actividades de soporte técnico nivel (1 y 2) que requiera el área de Tecnologías de la Información y las Comunicaciones de la U.A.E. Cuerpo Oficial de Bomberos Bogotá"/>
  </r>
  <r>
    <n v="20260016"/>
    <s v="Prestar servicios de apoyo a la gestión en el desarrollo de actividades asistenciales administrativas, asociadas a los procesos y procedimientos  a cargo del área de Tecnologías de la Información y las Comunicaciones de la U.A.E. Cuerpo Oficial de Bomberos Bogotá."/>
    <s v="09 - contratación directa"/>
    <s v="TH"/>
    <s v="26 - contrato de prestacion de servicios de apoyo a la gestion"/>
    <s v="ENERO"/>
    <n v="11"/>
    <n v="0"/>
    <n v="44000000"/>
    <s v="NO"/>
    <x v="0"/>
    <s v="Paula Ximena Henao Escobar"/>
    <x v="0"/>
    <s v="Subdirector@ de Gestión Corporativa"/>
    <s v="1-100-I087 VA-Sobretasa Bomberil"/>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
  </r>
  <r>
    <n v="20260017"/>
    <s v="Prestar servicios profesionales para apoyar la implementación, seguimiento y fortalecimiento del Sistema de Gestión de Seguridad de la Información (SGSI) y de la política de Gobierno Digital de la UAE Cuerpo Oficial de Bomberos de Bogotá"/>
    <s v="09 - contratación directa"/>
    <s v="TH"/>
    <s v="25 - contrato de prestacion de servicios profesionales"/>
    <s v="ENERO"/>
    <n v="10"/>
    <n v="0"/>
    <n v="78000000"/>
    <s v="NO"/>
    <x v="0"/>
    <s v="Paula Ximena Henao Escobar"/>
    <x v="0"/>
    <s v="Subdirector@ de Gestión Corporativa"/>
    <s v="1-100-I087 VA-Sobretasa Bomberil"/>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7-TH-8126-6-Prestar servicios profesionales para apoyar la implementación, seguimiento y fortalecimiento del Sistema de Gestión de Seguridad de la Información (SGSI) y de la política de Gobierno Digital de la UAE Cuerpo Oficial de Bomberos de Bogotá"/>
  </r>
  <r>
    <n v="20260018"/>
    <s v="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s v="09 - contratación directa"/>
    <s v="TH"/>
    <s v="25 - contrato de prestacion de servicios profesionales"/>
    <s v="ENERO"/>
    <n v="10"/>
    <n v="0"/>
    <n v="75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
  </r>
  <r>
    <n v="20260019"/>
    <s v="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s v="09 - contratación directa"/>
    <s v="TH"/>
    <s v="25 - contrato de prestacion de servicios profesionales"/>
    <s v="FEBRERO"/>
    <n v="6"/>
    <n v="0"/>
    <n v="420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
  </r>
  <r>
    <n v="20260020"/>
    <s v="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s v="09 - contratación directa"/>
    <s v="TH"/>
    <s v="25 - contrato de prestacion de servicios profesionales"/>
    <s v="FEBRERO"/>
    <n v="10"/>
    <n v="0"/>
    <n v="78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
  </r>
  <r>
    <n v="20260021"/>
    <s v="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s v="09 - contratación directa"/>
    <s v="TH"/>
    <s v="25 - contrato de prestacion de servicios profesionales"/>
    <s v="FEBRERO"/>
    <n v="11"/>
    <n v="0"/>
    <n v="55000000"/>
    <s v="NO"/>
    <x v="0"/>
    <s v="Paula Ximena Henao Escobar"/>
    <x v="0"/>
    <s v="Subdirector@ de Gestión Corporativa"/>
    <s v="1-100-I087 VA-Sobretasa Bomberil"/>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
  </r>
  <r>
    <n v="20260022"/>
    <s v="Prestar los servicios profesionales en apoyo a la estructuración e implementación, de las herramientas misionales, creadas como soporte a los procesos y procedimientos de la U.A.E. Cuerpo Oficial de Bomberos de Bogotá."/>
    <s v="09 - contratación directa"/>
    <s v="TH"/>
    <s v="25 - contrato de prestacion de servicios profesionales"/>
    <s v="FEBRERO"/>
    <n v="6"/>
    <n v="0"/>
    <n v="300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2-TH-8126-4-Prestar los servicios profesionales en apoyo a la estructuración e implementación, de las herramientas misionales, creadas como soporte a los procesos y procedimientos de la U.A.E. Cuerpo Oficial de Bomberos de Bogotá."/>
  </r>
  <r>
    <n v="20260023"/>
    <s v="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s v="09 - contratación directa"/>
    <s v="TH"/>
    <s v="26 - contrato de prestacion de servicios de apoyo a la gestion"/>
    <s v="ENERO"/>
    <n v="10"/>
    <n v="0"/>
    <n v="40000000"/>
    <s v="NO"/>
    <x v="0"/>
    <s v="Paula Ximena Henao Escobar"/>
    <x v="0"/>
    <s v="Subdirector@ de Gestión Corporativa"/>
    <s v="1-100-I087 VA-Sobretasa Bomberil"/>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
  </r>
  <r>
    <n v="20260024"/>
    <s v="Prestar los servicios profesionales en la implementación, de las herramientas misionales, creadas como soporte a los procesos y procedimientos de la U.A.E. Cuerpo Oficial de Bomberos de Bogotá."/>
    <s v="09 - contratación directa"/>
    <s v="TH"/>
    <s v="25 - contrato de prestacion de servicios profesionales"/>
    <s v="FEBRERO"/>
    <n v="6"/>
    <n v="0"/>
    <n v="600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4-TH-8126-4-Prestar los servicios profesionales en la implementación, de las herramientas misionales, creadas como soporte a los procesos y procedimientos de la U.A.E. Cuerpo Oficial de Bomberos de Bogotá."/>
  </r>
  <r>
    <n v="20260025"/>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0"/>
    <n v="0"/>
    <n v="78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6"/>
    <s v="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s v="09 - contratación directa"/>
    <s v="TH"/>
    <s v="25 - contrato de prestacion de servicios profesionales"/>
    <s v="ENERO"/>
    <n v="10"/>
    <n v="0"/>
    <n v="745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
  </r>
  <r>
    <n v="20260027"/>
    <s v="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s v="09 - contratación directa"/>
    <s v="TH"/>
    <s v="25 - contrato de prestacion de servicios profesionales"/>
    <s v="ENERO"/>
    <n v="11"/>
    <n v="0"/>
    <n v="924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
  </r>
  <r>
    <n v="20260028"/>
    <s v="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s v="09 - contratación directa"/>
    <s v="TH"/>
    <s v="25 - contrato de prestacion de servicios profesionales"/>
    <s v="ENERO"/>
    <n v="11"/>
    <n v="0"/>
    <n v="858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
  </r>
  <r>
    <n v="20260029"/>
    <s v="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s v="09 - contratación directa"/>
    <s v="TH"/>
    <s v="25 - contrato de prestacion de servicios profesionales"/>
    <s v="ENERO"/>
    <n v="10"/>
    <n v="0"/>
    <n v="78000000"/>
    <s v="NO"/>
    <x v="0"/>
    <s v="Paula Ximena Henao Escobar"/>
    <x v="0"/>
    <s v="Subdirector@ de Gestión Corporativa"/>
    <s v="1-100-I087 VA-Sobretasa Bomberil"/>
    <n v="8011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
  </r>
  <r>
    <n v="20260030"/>
    <s v="Prestar servicios profesionales, en el levantamiento de requerimientos, análisis y mejora de soluciones digitales a cargo de la Dirección de Tecnologías de la Información y las Comunicaciones de la U.A.E Cuerpo Oficial de Bomberos de Bogotá D.C."/>
    <s v="09 - contratación directa"/>
    <s v="TH"/>
    <s v="25 - contrato de prestacion de servicios profesionales"/>
    <s v="ENERO"/>
    <n v="10"/>
    <n v="0"/>
    <n v="55000000"/>
    <s v="NO"/>
    <x v="0"/>
    <s v="Paula Ximena Henao Escobar"/>
    <x v="0"/>
    <s v="Subdirector@ de Gestión Corporativa"/>
    <s v="1-100-I087 VA-Sobretasa Bomberil"/>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30-TH-8126-6-Prestar servicios profesionales, en el levantamiento de requerimientos, análisis y mejora de soluciones digitales a cargo de la Dirección de Tecnologías de la Información y las Comunicaciones de la U.A.E Cuerpo Oficial de Bomberos de Bogotá D.C."/>
  </r>
  <r>
    <n v="20260031"/>
    <s v="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s v="09 - contratación directa"/>
    <s v="TH"/>
    <s v="25 - contrato de prestacion de servicios profesionales"/>
    <s v="ENERO"/>
    <n v="10"/>
    <n v="0"/>
    <n v="75000000"/>
    <s v="NO"/>
    <x v="0"/>
    <s v="Paula Ximena Henao Escobar"/>
    <x v="0"/>
    <s v="Subdirector@ de Gestión Corporativa"/>
    <s v="1-100-I087 VA-Sobretasa Bomberil"/>
    <n v="80111600"/>
    <s v="8126 6-Formular e Implementar 1 Plan Estratégico de Tecnologías de la Información y Transformación Digital de la UAECOB."/>
    <s v="8126"/>
    <s v="6"/>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
  </r>
  <r>
    <n v="20260032"/>
    <s v="Contratar la prestación del servicio de monitoreo, control y seguimiento satelital a los vehículos de propiedad de la U.A.E. Cuerpo Oficial de Bomberos de Bogotá - TIC"/>
    <s v="17 - acuerdo marco de precios"/>
    <s v="BS"/>
    <s v="03 - contrato de prestacion de servicios"/>
    <s v="FEBRERO"/>
    <n v="12"/>
    <n v="0"/>
    <n v="103000000"/>
    <s v="NO"/>
    <x v="0"/>
    <s v="Paula Ximena Henao Escobar"/>
    <x v="0"/>
    <s v="Subdirector@ de Gestión Corporativa"/>
    <s v="1-100-I087 VA-Sobretasa Bomberil"/>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32-BS-8126-4-Contratar la prestación del servicio de monitoreo, control y seguimiento satelital a los vehículos de propiedad de la U.A.E. Cuerpo Oficial de Bomberos de Bogotá - TIC"/>
  </r>
  <r>
    <n v="20260033"/>
    <s v="Adquisición, actualización y configuración de la plataforma de comunicaciones de Voz IP compatible con la solución actual con la que cuenta la entidad."/>
    <s v="02 - selec. abrev. menor cuantía"/>
    <s v="BS"/>
    <s v="03 - contrato de prestacion de servicios"/>
    <s v="OCTUBRE"/>
    <n v="6"/>
    <n v="0"/>
    <n v="64173914"/>
    <s v="NO"/>
    <x v="0"/>
    <s v="Paula Ximena Henao Escobar"/>
    <x v="0"/>
    <s v="Subdirector@ de Gestión Corporativa"/>
    <s v="1-100-I087 VA-Sobretasa Bomberil"/>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33-BS-8126-5-Adquisición, actualización y configuración de la plataforma de comunicaciones de Voz IP compatible con la solución actual con la que cuenta la entidad."/>
  </r>
  <r>
    <n v="20260034"/>
    <s v="Adquisición de un certificado digital servidor seguro SSL para múltiples subdominios y aplicaciones para los sistemas misionales de la UAE cuerpo oficial de bomberos de Bogotá"/>
    <s v="04 - contratación mínima cuantía"/>
    <s v="BS"/>
    <s v="06 - contrato de compraventa"/>
    <s v="OCTUBRE"/>
    <n v="12"/>
    <n v="0"/>
    <n v="10000000"/>
    <s v="NO"/>
    <x v="0"/>
    <s v="Paula Ximena Henao Escobar"/>
    <x v="0"/>
    <s v="Subdirector@ de Gestión Corporativa"/>
    <s v="1-100-I087 VA-Sobretasa Bomberil"/>
    <s v="43191500_x000a_43221500_x000a_43222800_x000a_81161700_x000a_721516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34-BS-8126-4-Adquisición de un certificado digital servidor seguro SSL para múltiples subdominios y aplicaciones para los sistemas misionales de la UAE cuerpo oficial de bomberos de Bogotá"/>
  </r>
  <r>
    <n v="20260035"/>
    <s v="Contratar la renovación del licenciamiento y soporte de las plataformas de seguridad perimetral Fortinet, firewalls y WAF del edificio comando y estaciones para la U.A.E. Cuerpo Oficial de Bomberos de Bogotá - TIC"/>
    <s v="04 - contratación mínima cuantía"/>
    <s v="BS"/>
    <s v="22 - contrato de adquisicion de bienes"/>
    <s v="JUNIO"/>
    <n v="12"/>
    <n v="0"/>
    <n v="300000000"/>
    <s v="NO"/>
    <x v="0"/>
    <s v="Paula Ximena Henao Escobar"/>
    <x v="0"/>
    <s v="Subdirector@ de Gestión Corporativa"/>
    <s v="1-100-I087 VA-Sobretasa Bomberil"/>
    <s v="43233200;432225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35-BS-8126-7-Contratar la renovación del licenciamiento y soporte de las plataformas de seguridad perimetral Fortinet, firewalls y WAF del edificio comando y estaciones para la U.A.E. Cuerpo Oficial de Bomberos de Bogotá - TIC"/>
  </r>
  <r>
    <n v="20260036"/>
    <s v="Contratar el alquiler de equipos tecnológicos, periféricos y servicios complementarios para la U.A.E. Cuerpo Oficial de Bomberos de Bogotá. - TIC"/>
    <s v="04 - contratación mínima cuantía"/>
    <s v="BS"/>
    <s v="23 - contrato de alquiler"/>
    <s v="FEBRERO"/>
    <n v="12"/>
    <n v="0"/>
    <n v="30000000"/>
    <s v="NO"/>
    <x v="0"/>
    <s v="Paula Ximena Henao Escobar"/>
    <x v="0"/>
    <s v="Subdirector@ de Gestión Corporativa"/>
    <s v="1-100-I087 VA-Sobretasa Bomberil"/>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36-BS-8126-5-Contratar el alquiler de equipos tecnológicos, periféricos y servicios complementarios para la U.A.E. Cuerpo Oficial de Bomberos de Bogotá. - TIC"/>
  </r>
  <r>
    <n v="20260037"/>
    <s v="Contratar la adquisición de dispositivos para el fortalecimiento y modernización de la infraestructura tecnológica de la U.A.E. Cuerpo Oficial de Bomberos de Bogotá."/>
    <s v="17 - acuerdo marco de precios"/>
    <s v="BS"/>
    <s v="24 - contrato de servicio"/>
    <s v="MAYO"/>
    <n v="12"/>
    <n v="0"/>
    <n v="200000000"/>
    <s v="NO"/>
    <x v="0"/>
    <s v="Paula Ximena Henao Escobar"/>
    <x v="0"/>
    <s v="Subdirector@ de Gestión Corporativa"/>
    <s v="1-100-I087 VA-Sobretasa Bomberil"/>
    <s v="43211500, 43211503, 43211507, 43211509, 43211619"/>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37-BS-8126-5-Contratar la adquisición de dispositivos para el fortalecimiento y modernización de la infraestructura tecnológica de la U.A.E. Cuerpo Oficial de Bomberos de Bogotá."/>
  </r>
  <r>
    <n v="20260038"/>
    <s v="Adición y prorróga al contrato No. 245 de 2025 cuyo objeto es  &quot;Contratar el servicio de mantenimiento preventivo y correctivo de los radios portátiles y móviles marca Motorola propiedad de la U.A.E. Cuerpo Oficial de Bomberos de Bogotá – TIC&quot;"/>
    <s v="09 - contratación directa"/>
    <s v="BS"/>
    <s v="03 - contrato de prestacion de servicios"/>
    <s v="MARZO"/>
    <n v="12"/>
    <n v="0"/>
    <n v="100000000"/>
    <s v="NO"/>
    <x v="0"/>
    <s v="Paula Ximena Henao Escobar"/>
    <x v="0"/>
    <s v="Subdirector@ de Gestión Corporativa"/>
    <s v="1-100-I087 VA-Sobretasa Bomberil"/>
    <s v="72151607;72103302"/>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No Secop"/>
    <s v="20260038-BS-8126-5-Adición y prorróga al contrato No. 245 de 2025 cuyo objeto es  &quot;Contratar el servicio de mantenimiento preventivo y correctivo de los radios portátiles y móviles marca Motorola propiedad de la U.A.E. Cuerpo Oficial de Bomberos de Bogotá – TIC&quot;"/>
  </r>
  <r>
    <n v="20260039"/>
    <s v="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s v="03 - selec. abrev. subasta inversa"/>
    <s v="BS"/>
    <s v="03 - contrato de prestacion de servicios"/>
    <s v="MARZO"/>
    <n v="12"/>
    <n v="0"/>
    <n v="100000000"/>
    <s v="NO"/>
    <x v="0"/>
    <s v="Paula Ximena Henao Escobar"/>
    <x v="0"/>
    <s v="Subdirector@ de Gestión Corporativa"/>
    <s v="1-100-I087 VA-Sobretasa Bomberil"/>
    <s v="72151500; 72101500; 731521000; 39121600; 39121000; 72151500; 72101500; 731521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No Secop"/>
    <s v="20260039-BS-8126-5-Adición y prorróga al contrato No. 493 de 2025 cuyo objeto es &quot;Contratar la adquisicion, modernizacion y mantenimiento preventivo y correctivo de UPS,  aires acondicionados con suministro de repuestos, para todas las sedes de la U.A.E. Cuerpo Oficial de Bomberos de Bogotá - TIC.&quot;"/>
  </r>
  <r>
    <n v="20260040"/>
    <s v="Contratar el servicio de actualización y soporte de licenciamiento ArcGIS para la U.A.E. Cuerpo Oficial de Bomberos de Bogotá.- TIC"/>
    <s v="09 - contratación directa"/>
    <s v="BS"/>
    <s v="19 - contrato de renovacion de licencias"/>
    <s v="NOVIEMBRE"/>
    <n v="12"/>
    <n v="0"/>
    <n v="100000000"/>
    <s v="NO"/>
    <x v="0"/>
    <s v="Paula Ximena Henao Escobar"/>
    <x v="0"/>
    <s v="Subdirector@ de Gestión Corporativa"/>
    <s v="1-100-I087 VA-Sobretasa Bomberil"/>
    <n v="81112217"/>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0-BS-8126-4-Contratar el servicio de actualización y soporte de licenciamiento ArcGIS para la U.A.E. Cuerpo Oficial de Bomberos de Bogotá.- TIC"/>
  </r>
  <r>
    <n v="20260041"/>
    <s v="Contratar la adquisición de tarjetas de comunicación satelital de voz, para la U.A.E. Cuerpo Oficial de Bomberos de Bogotá. "/>
    <s v="04 - contratación mínima cuantía"/>
    <s v="BS"/>
    <s v="03 - contrato de prestacion de servicios"/>
    <s v="AGOSTO"/>
    <n v="12"/>
    <n v="0"/>
    <n v="15000000"/>
    <s v="NO"/>
    <x v="0"/>
    <s v="Paula Ximena Henao Escobar"/>
    <x v="0"/>
    <s v="Subdirector@ de Gestión Corporativa"/>
    <s v="1-100-I087 VA-Sobretasa Bomberil"/>
    <s v="83121700;83111600;432217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1-BS-8126-5-Contratar la adquisición de tarjetas de comunicación satelital de voz, para la U.A.E. Cuerpo Oficial de Bomberos de Bogotá. "/>
  </r>
  <r>
    <n v="20260042"/>
    <s v="Contratar la renovación de garantía y soporte de fabrica de los equipos activos que hacen parte de la infraestructura tecnológica de la U.A.E. Cuerpo Oficial de Bomberos de Bogotá."/>
    <s v="03 - selec. abrev. subasta inversa"/>
    <s v="BS"/>
    <s v="19 - contrato de renovacion de licencias"/>
    <s v="OCTUBRE"/>
    <n v="12"/>
    <n v="0"/>
    <n v="100000000"/>
    <s v="NO"/>
    <x v="0"/>
    <s v="Paula Ximena Henao Escobar"/>
    <x v="0"/>
    <s v="Subdirector@ de Gestión Corporativa"/>
    <s v="1-100-I087 VA-Sobretasa Bomberil"/>
    <n v="43222635"/>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2-BS-8126-5-Contratar la renovación de garantía y soporte de fabrica de los equipos activos que hacen parte de la infraestructura tecnológica de la U.A.E. Cuerpo Oficial de Bomberos de Bogotá."/>
  </r>
  <r>
    <n v="20260043"/>
    <s v="Actualización y renovación para ASMS( Aranda service manangment suite), soporte y mantenimiento del licenciamiento Software Aranda para la U.A.E. Cuerpo Oficial de Bomberos Bogota - TIC"/>
    <s v="09 - contratación directa"/>
    <s v="BS"/>
    <s v="19 - contrato de renovacion de licencias"/>
    <s v="ABRIL"/>
    <n v="12"/>
    <n v="0"/>
    <n v="30000000"/>
    <s v="NO"/>
    <x v="0"/>
    <s v="Paula Ximena Henao Escobar"/>
    <x v="0"/>
    <s v="Subdirector@ de Gestión Corporativa"/>
    <s v="1-100-I087 VA-Sobretasa Bomberil"/>
    <s v="81112222_x000a_81111811_x000a_43231501_x000a_43231513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3-BS-8126-4-Actualización y renovación para ASMS( Aranda service manangment suite), soporte y mantenimiento del licenciamiento Software Aranda para la U.A.E. Cuerpo Oficial de Bomberos Bogota - TIC"/>
  </r>
  <r>
    <n v="20260044"/>
    <s v="Contratar el servicio de mantenimiento, soporte técnico y actualización del aplicativo PCT, utilizado por la UAE Cuerpo Oficial de Bomberos de Bogota - TIC"/>
    <s v="09 - contratación directa"/>
    <s v="BS"/>
    <s v="24 - contrato de servicio"/>
    <s v="ENERO"/>
    <n v="12"/>
    <n v="0"/>
    <n v="25000000"/>
    <s v="NO"/>
    <x v="0"/>
    <s v="Paula Ximena Henao Escobar"/>
    <x v="0"/>
    <s v="Subdirector@ de Gestión Corporativa"/>
    <s v="1-100-I087 VA-Sobretasa Bomberil"/>
    <s v="81112200;811122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4-BS-8126-4-Contratar el servicio de mantenimiento, soporte técnico y actualización del aplicativo PCT, utilizado por la UAE Cuerpo Oficial de Bomberos de Bogota - TIC"/>
  </r>
  <r>
    <n v="20260045"/>
    <s v="Contratar la renovación , servicio de actualización y soporte de licenciamiento Oracle para Base de Datos,  y Web Logic para la U.A.E. Cuerpo Oficial de Bomberos de Bogotá - TIC"/>
    <s v="09 - contratación directa"/>
    <s v="BS"/>
    <s v="19 - contrato de renovacion de licencias"/>
    <s v="JUNIO"/>
    <n v="12"/>
    <n v="0"/>
    <n v="200000000"/>
    <s v="NO"/>
    <x v="0"/>
    <s v="Paula Ximena Henao Escobar"/>
    <x v="0"/>
    <s v="Subdirector@ de Gestión Corporativa"/>
    <s v="1-100-I087 VA-Sobretasa Bomberil"/>
    <s v="81112204;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5-BS-8126-4-Contratar la renovación , servicio de actualización y soporte de licenciamiento Oracle para Base de Datos,  y Web Logic para la U.A.E. Cuerpo Oficial de Bomberos de Bogotá - TIC"/>
  </r>
  <r>
    <n v="20260046"/>
    <s v="Modernización y mantenimiento de la solución de control de acceso con reconocimiento facial para la U.A.E. Cuerpo Oficial Bomberos de Bogotá"/>
    <s v="03 - selec. abrev. subasta inversa"/>
    <s v="BS"/>
    <s v="03 - contrato de prestacion de servicios"/>
    <s v="FEBRERO"/>
    <n v="12"/>
    <n v="0"/>
    <n v="50000000"/>
    <s v="NO"/>
    <x v="0"/>
    <s v="Paula Ximena Henao Escobar"/>
    <x v="0"/>
    <s v="Subdirector@ de Gestión Corporativa"/>
    <s v="1-100-I087 VA-Sobretasa Bomberil"/>
    <s v="46171619, 81111805 ,81112208 "/>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6-BS-8126-5-Modernización y mantenimiento de la solución de control de acceso con reconocimiento facial para la U.A.E. Cuerpo Oficial Bomberos de Bogotá"/>
  </r>
  <r>
    <n v="20260047"/>
    <s v="Contratar el servicios de mantenimiento para el sistema de atención de turnos de la U.A.E. Cuerpo Ofical de Bomberos de Bogotá - TIC"/>
    <s v="03 - selec. abrev. subasta inversa"/>
    <s v="BS"/>
    <s v="27 - contrato de prestacion de servicios de mantenimiento"/>
    <s v="JUNIO"/>
    <n v="12"/>
    <n v="0"/>
    <n v="10000000"/>
    <s v="NO"/>
    <x v="0"/>
    <s v="Paula Ximena Henao Escobar"/>
    <x v="0"/>
    <s v="Subdirector@ de Gestión Corporativa"/>
    <s v="1-100-I087 VA-Sobretasa Bomberil"/>
    <s v="32131023;39121011;43232300"/>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Si Secop "/>
    <s v="20260047-BS-8126-4-Contratar el servicios de mantenimiento para el sistema de atención de turnos de la U.A.E. Cuerpo Ofical de Bomberos de Bogotá - TIC"/>
  </r>
  <r>
    <n v="20260048"/>
    <s v="Modernizacion y soporte sala de auditorio sede Principal "/>
    <s v="01 - licitación pública"/>
    <s v="BS"/>
    <s v="03 - contrato de prestacion de servicios"/>
    <s v="MARZO"/>
    <n v="12"/>
    <n v="0"/>
    <n v="307000000"/>
    <s v="NO"/>
    <x v="0"/>
    <s v="Paula Ximena Henao Escobar"/>
    <x v="0"/>
    <s v="Subdirector@ de Gestión Corporativa"/>
    <s v="1-100-I087 VA-Sobretasa Bomberil"/>
    <s v="43222600_x000a_45111700_x000a_45111800_x000a_521615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48-BS-8126-5-Modernizacion y soporte sala de auditorio sede Principal "/>
  </r>
  <r>
    <n v="20260049"/>
    <s v="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s v="02 - selec. abrev. menor cuantía"/>
    <s v="BS"/>
    <s v="06 - contrato de compraventa"/>
    <s v="OCTUBRE"/>
    <n v="6"/>
    <n v="0"/>
    <n v="198089314"/>
    <s v="NO"/>
    <x v="0"/>
    <s v="Paula Ximena Henao Escobar"/>
    <x v="0"/>
    <s v="Subdirector@ de Gestión Corporativa"/>
    <s v="1-100-I087 VA-Sobretasa Bomberil"/>
    <s v="43232309; 43233416_x000a_43232915; 43233203_x000a_43233204; 43233405_x000a_43233403; 43233415; 81112201; 81112203; 43233205; 43231500; 43231501; 81111802; 81111808; 81111812; 43233400; 43232907"/>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49-BS-8126-5-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r>
  <r>
    <n v="20260050"/>
    <s v="Contratar la renovación tecnologica y fortalecimiento para la infraestructura de seguridad perimetral del edificio comando y estaciones para la U.A.E. Cuerpo Oficial de Bomberos de Bogotá - TIC"/>
    <s v="03 - selec. abrev. subasta inversa"/>
    <s v="BS"/>
    <s v="06 - contrato de compraventa"/>
    <s v="MARZO"/>
    <n v="12"/>
    <n v="0"/>
    <n v="300000000"/>
    <s v="NO"/>
    <x v="0"/>
    <s v="Paula Ximena Henao Escobar"/>
    <x v="0"/>
    <s v="Subdirector@ de Gestión Corporativa"/>
    <s v="1-100-I087 VA-Sobretasa Bomberil"/>
    <s v="43232309; 43233416_x000a_43232915; 43233203_x000a_43233204; 43233405_x000a_43233403; 43233415; 81112201; 81112203; 43233205; 43231500; 43231501; 81111802; 81111808; 81111812; 43233400; 43232907"/>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50-BS-8126-5-Contratar la renovación tecnologica y fortalecimiento para la infraestructura de seguridad perimetral del edificio comando y estaciones para la U.A.E. Cuerpo Oficial de Bomberos de Bogotá - TIC"/>
  </r>
  <r>
    <n v="20260051"/>
    <s v="Contratar la adquisición, renovación y  suscripciones de licencia Microsoft y modulos de seguridad y vulnerabilidad para la U.A.E. Cuerpo Oficial de Bomberos de Bogotá - TIC"/>
    <s v="17 - acuerdo marco de precios"/>
    <s v="BS"/>
    <s v="03 - contrato de prestacion de servicios"/>
    <s v="MAYO"/>
    <n v="12"/>
    <n v="0"/>
    <n v="920050000"/>
    <s v="NO"/>
    <x v="0"/>
    <s v="Paula Ximena Henao Escobar"/>
    <x v="0"/>
    <s v="Subdirector@ de Gestión Corporativa"/>
    <s v="1-100-I087 VA-Sobretasa Bomberil"/>
    <s v="43231512;81112501"/>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Si Secop "/>
    <s v="20260051-BS-8126-4-Contratar la adquisición, renovación y  suscripciones de licencia Microsoft y modulos de seguridad y vulnerabilidad para la U.A.E. Cuerpo Oficial de Bomberos de Bogotá - TIC"/>
  </r>
  <r>
    <n v="20260052"/>
    <s v="Contratar  la suscripción de licencias Suite Adobe para la UAE Cuerpo Oficial de Bomberos de Bogotá-TIC"/>
    <s v="17 - acuerdo marco de precios"/>
    <s v="BS"/>
    <s v="19 - contrato de renovacion de licencias"/>
    <s v="SEPTIEMBRE"/>
    <n v="12"/>
    <n v="0"/>
    <n v="50000000"/>
    <s v="NO"/>
    <x v="0"/>
    <s v="Paula Ximena Henao Escobar"/>
    <x v="1"/>
    <s v="Subdirector@ de Gestión Corporativa"/>
    <s v="1-100-F001 VA-Recursos distrito"/>
    <s v="81112501;43232102;43232103;43231512"/>
    <s v="No aplica"/>
    <s v="No a"/>
    <s v="l"/>
    <s v="NA"/>
    <s v="NA"/>
    <s v="NA"/>
    <s v="N/A"/>
    <s v="N/A"/>
    <s v="N/A-N/A"/>
    <s v="N/A"/>
    <s v="N/A"/>
    <s v="N/A_N/A"/>
    <s v="N/A-N/A N/A_N/A"/>
    <x v="1"/>
    <s v="N/A"/>
    <x v="3"/>
    <s v="Si Secop "/>
    <s v="20260052-BS-No a-l-Contratar  la suscripción de licencias Suite Adobe para la UAE Cuerpo Oficial de Bomberos de Bogotá-TIC"/>
  </r>
  <r>
    <n v="20260053"/>
    <s v="Contratar los servicios de canales de datos dedicados para la UAE Cuerpo Oficial de Bomberos de Bogotá-TIC"/>
    <s v="17 - acuerdo marco de precios"/>
    <s v="BS"/>
    <s v="24 - contrato de servicio"/>
    <s v="ABRIL"/>
    <n v="12"/>
    <n v="0"/>
    <n v="508870000"/>
    <s v="NO"/>
    <x v="0"/>
    <s v="Paula Ximena Henao Escobar"/>
    <x v="1"/>
    <s v="Subdirector@ de Gestión Corporativa"/>
    <s v="1-100-F001 VA-Recursos distrito"/>
    <n v="81112100"/>
    <s v="No aplica"/>
    <s v="No a"/>
    <s v="l"/>
    <s v="NA"/>
    <s v="NA"/>
    <s v="NA"/>
    <s v="N/A"/>
    <s v="N/A"/>
    <s v="N/A-N/A"/>
    <s v="N/A"/>
    <s v="N/A"/>
    <s v="N/A_N/A"/>
    <s v="N/A-N/A N/A_N/A"/>
    <x v="1"/>
    <s v="N/A"/>
    <x v="4"/>
    <s v="Si Secop "/>
    <s v="20260053-BS-No a-l-Contratar los servicios de canales de datos dedicados para la UAE Cuerpo Oficial de Bomberos de Bogotá-TIC"/>
  </r>
  <r>
    <n v="20260054"/>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03 - selec. abrev. subasta inversa"/>
    <s v="BS"/>
    <s v="27 - contrato de prestacion de servicios de mantenimiento"/>
    <s v="ABRIL"/>
    <n v="12"/>
    <n v="0"/>
    <n v="100000000"/>
    <s v="NO"/>
    <x v="0"/>
    <s v="Paula Ximena Henao Escobar"/>
    <x v="1"/>
    <s v="Subdirector@ de Gestión Corporativa"/>
    <s v="1-100-F001 VA-Recursos distrito"/>
    <s v="81111811;72151600; 43223300;_x000a_39131700"/>
    <s v="No aplica"/>
    <s v="No a"/>
    <s v="l"/>
    <s v="NA"/>
    <s v="NA"/>
    <s v="NA"/>
    <s v="N/A"/>
    <s v="N/A"/>
    <s v="N/A-N/A"/>
    <s v="N/A"/>
    <s v="N/A"/>
    <s v="N/A_N/A"/>
    <s v="N/A-N/A N/A_N/A"/>
    <x v="1"/>
    <s v="N/A"/>
    <x v="5"/>
    <s v="No Secop"/>
    <s v="20260054-BS-No a-l-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r>
  <r>
    <n v="20260055"/>
    <s v="Contratar la modernización integral  tecnológica, soporte y mantenimiento preventivo y correctivo con repuestos, para los sistemas de video vigilancia de la U.A.E. Cuerpo Oficial de Bomberos de Bogotá - TIC."/>
    <s v="03 - selec. abrev. subasta inversa"/>
    <s v="BS"/>
    <s v="24 - contrato de servicio"/>
    <s v="JUNIO"/>
    <n v="12"/>
    <n v="0"/>
    <n v="100000000"/>
    <s v="NO"/>
    <x v="0"/>
    <s v="Paula Ximena Henao Escobar"/>
    <x v="1"/>
    <s v="Subdirector@ de Gestión Corporativa"/>
    <s v="1-100-F001 VA-Recursos distrito"/>
    <s v="43233200; 72151700;  43233200; 81112200; 72151700; 45121600"/>
    <s v="No aplica"/>
    <s v="No a"/>
    <s v="l"/>
    <s v="NA"/>
    <s v="NA"/>
    <s v="NA"/>
    <s v="N/A"/>
    <s v="N/A"/>
    <s v="N/A-N/A"/>
    <s v="N/A"/>
    <s v="N/A"/>
    <s v="N/A_N/A"/>
    <s v="N/A-N/A N/A_N/A"/>
    <x v="1"/>
    <s v="N/A"/>
    <x v="6"/>
    <s v="Si Secop "/>
    <s v="20260055-BS-No a-l-Contratar la modernización integral  tecnológica, soporte y mantenimiento preventivo y correctivo con repuestos, para los sistemas de video vigilancia de la U.A.E. Cuerpo Oficial de Bomberos de Bogotá - TIC."/>
  </r>
  <r>
    <n v="20260056"/>
    <s v="Contratar la adquisición de firma digital (token) para la U.A.E. Cuerpo Oficial de Bomberos de Bogotá - TIC"/>
    <s v="04 - contratación mínima cuantía"/>
    <s v="BS"/>
    <s v="19 - contrato de renovacion de licencias"/>
    <s v="MARZO"/>
    <n v="12"/>
    <n v="0"/>
    <n v="27600000"/>
    <s v="NO"/>
    <x v="0"/>
    <s v="Paula Ximena Henao Escobar"/>
    <x v="1"/>
    <s v="Subdirector@ de Gestión Corporativa"/>
    <s v="1-100-F001 VA-Recursos distrito"/>
    <n v="43233205"/>
    <s v="No aplica"/>
    <s v="No a"/>
    <s v="l"/>
    <s v="NA"/>
    <s v="NA"/>
    <s v="NA"/>
    <s v="N/A"/>
    <s v="N/A"/>
    <s v="N/A-N/A"/>
    <s v="N/A"/>
    <s v="N/A"/>
    <s v="N/A_N/A"/>
    <s v="N/A-N/A N/A_N/A"/>
    <x v="1"/>
    <s v="N/A"/>
    <x v="6"/>
    <s v="Si Secop "/>
    <s v="20260056-BS-No a-l-Contratar la adquisición de firma digital (token) para la U.A.E. Cuerpo Oficial de Bomberos de Bogotá - TIC"/>
  </r>
  <r>
    <n v="20260057"/>
    <s v="Prestar servicios de apoyo a la gestión como conductor para atender los requerimientos que se presenten en la Oficina Asesora de Planeación, así como los incidentes que puedan surgir en la Unidad Administrativa Especial Cuerpo Oficial de Bomberos de Bogotá."/>
    <s v="09 - contratación directa"/>
    <s v="TH"/>
    <s v="26 - contrato de prestacion de servicios de apoyo a la gestion"/>
    <s v="ENERO"/>
    <n v="12"/>
    <n v="0"/>
    <n v="45042216"/>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57-TH-8126-1-Prestar servicios de apoyo a la gestión como conductor para atender los requerimientos que se presenten en la Oficina Asesora de Planeación, así como los incidentes que puedan surgir en la Unidad Administrativa Especial Cuerpo Oficial de Bomberos de Bogotá."/>
  </r>
  <r>
    <n v="20260058"/>
    <s v="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s v="09 - contratación directa"/>
    <s v="TH"/>
    <s v="25 - contrato de prestacion de servicios profesionales"/>
    <s v="ENERO"/>
    <n v="6"/>
    <n v="0"/>
    <n v="39000000"/>
    <s v="NO"/>
    <x v="1"/>
    <s v="Manuel Eduardo Castillo Guzman"/>
    <x v="0"/>
    <s v="Subdirector@ de Gestión Corporativa"/>
    <s v="1-100-I087 VA-Sobretasa Bomberil"/>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
  </r>
  <r>
    <n v="20260059"/>
    <s v="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s v="09 - contratación directa"/>
    <s v="TH"/>
    <s v="26 - contrato de prestacion de servicios de apoyo a la gestion"/>
    <s v="ENERO"/>
    <n v="12"/>
    <n v="0"/>
    <n v="53889792"/>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
  </r>
  <r>
    <n v="20260060"/>
    <s v="Prestar servicios profesionales para la gestión, formulación, actualización y seguimiento de los proyectos de inversión asignados, en el marco de la política de Gestión Presupuestal y Eficiencia del Gasto Público del Modelo Integrado de Planeación y Gestión - MIPG."/>
    <s v="09 - contratación directa"/>
    <s v="TH"/>
    <s v="25 - contrato de prestacion de servicios profesionales"/>
    <s v="ENERO"/>
    <n v="11"/>
    <n v="0"/>
    <n v="110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
  </r>
  <r>
    <n v="20260061"/>
    <s v="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s v="09 - contratación directa"/>
    <s v="TH"/>
    <s v="25 - contrato de prestacion de servicios profesionales"/>
    <s v="ENERO"/>
    <n v="6"/>
    <n v="0"/>
    <n v="42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
  </r>
  <r>
    <n v="20260062"/>
    <s v="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s v="09 - contratación directa"/>
    <s v="TH"/>
    <s v="25 - contrato de prestacion de servicios profesionales"/>
    <s v="ENERO"/>
    <n v="12"/>
    <n v="0"/>
    <n v="96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
  </r>
  <r>
    <n v="20260063"/>
    <s v="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s v="09 - contratación directa"/>
    <s v="TH"/>
    <s v="25 - contrato de prestacion de servicios profesionales"/>
    <s v="ENERO"/>
    <n v="12"/>
    <n v="0"/>
    <n v="108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Si Secop "/>
    <s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
  </r>
  <r>
    <n v="20260064"/>
    <s v="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s v="09 - contratación directa"/>
    <s v="TH"/>
    <s v="25 - contrato de prestacion de servicios profesionales"/>
    <s v="ENERO"/>
    <n v="12"/>
    <n v="0"/>
    <n v="90000000"/>
    <s v="NO"/>
    <x v="1"/>
    <s v="Manuel Eduardo Castillo Guzman"/>
    <x v="0"/>
    <s v="Subdirector@ de Gestión Corporativa"/>
    <s v="1-100-I087 VA-Sobretasa Bomberil"/>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Si Secop "/>
    <s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
  </r>
  <r>
    <n v="20260065"/>
    <s v="Prestar servicios de apoyo a la gestión administrativa para la ejecución de actividades asistenciales, logísticas y de gestión documental, requeridas para la implementación del Sistema de Gestión de la Calidad en el marco del Modelo Integrado de Planeación y Gestión - MIPG."/>
    <s v="09 - contratación directa"/>
    <s v="TH"/>
    <s v="25 - contrato de prestacion de servicios profesionales"/>
    <s v="ENERO"/>
    <n v="8"/>
    <n v="0"/>
    <n v="336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
  </r>
  <r>
    <n v="20260066"/>
    <s v="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s v="09 - contratación directa"/>
    <s v="TH"/>
    <s v="25 - contrato de prestacion de servicios profesionales"/>
    <s v="ENERO"/>
    <n v="11"/>
    <n v="0"/>
    <n v="99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
  </r>
  <r>
    <n v="20260067"/>
    <s v="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s v="09 - contratación directa"/>
    <s v="TH"/>
    <s v="25 - contrato de prestacion de servicios profesionales"/>
    <s v="ENERO"/>
    <n v="11"/>
    <n v="0"/>
    <n v="88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
  </r>
  <r>
    <n v="20260068"/>
    <s v="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s v="09 - contratación directa"/>
    <s v="TH"/>
    <s v="25 - contrato de prestacion de servicios profesionales"/>
    <s v="ENERO"/>
    <n v="6"/>
    <n v="0"/>
    <n v="42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
  </r>
  <r>
    <n v="20260069"/>
    <s v="Prestar servicios profesionales a la Oficina Asesora de Planeación en los temas estratégicos y transversales relacionados con el Mejoramiento Continuo y la Gestión de la Calidad, en el marco del Modelo Integrado de Planeación y Gestión (MIPG)."/>
    <s v="09 - contratación directa"/>
    <s v="TH"/>
    <s v="25 - contrato de prestacion de servicios profesionales"/>
    <s v="ENERO"/>
    <n v="12"/>
    <n v="0"/>
    <n v="126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69-TH-8126-1-Prestar servicios profesionales a la Oficina Asesora de Planeación en los temas estratégicos y transversales relacionados con el Mejoramiento Continuo y la Gestión de la Calidad, en el marco del Modelo Integrado de Planeación y Gestión (MIPG)."/>
  </r>
  <r>
    <n v="20260070"/>
    <s v="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s v="09 - contratación directa"/>
    <s v="TH"/>
    <s v="25 - contrato de prestacion de servicios profesionales"/>
    <s v="ENERO"/>
    <n v="6"/>
    <n v="0"/>
    <n v="42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
  </r>
  <r>
    <n v="20260071"/>
    <s v="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s v="09 - contratación directa"/>
    <s v="TH"/>
    <s v="25 - contrato de prestacion de servicios profesionales"/>
    <s v="ENERO"/>
    <n v="11"/>
    <n v="0"/>
    <n v="101200000"/>
    <s v="NO"/>
    <x v="1"/>
    <s v="Manuel Eduardo Castillo Guzman"/>
    <x v="0"/>
    <s v="Subdirector@ de Gestión Corporativa"/>
    <s v="1-100-I087 VA-Sobretasa Bomberil"/>
    <n v="80111600"/>
    <s v="8126 3-Implementar el 100% de los sistemas y modelos de gestión que defina la UAECOB en el marco del MIPG"/>
    <s v="8126"/>
    <s v="3"/>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
  </r>
  <r>
    <n v="20260072"/>
    <s v="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s v="09 - contratación directa"/>
    <s v="TH"/>
    <s v="25 - contrato de prestacion de servicios profesionales"/>
    <s v="ENERO"/>
    <n v="8"/>
    <n v="0"/>
    <n v="52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
  </r>
  <r>
    <n v="20260073"/>
    <s v="Prestar servicios profesionales para el desarrollo de actividades orientadas a la implementación de las políticas establecidas en el marco del Modelo Integrado de Planeación y Gestión - MIPG, liderado por la Oficina Asesora de Planeación."/>
    <s v="09 - contratación directa"/>
    <s v="TH"/>
    <s v="25 - contrato de prestacion de servicios profesionales"/>
    <s v="ENERO"/>
    <n v="6"/>
    <n v="0"/>
    <n v="39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3-TH-8126-1-Prestar servicios profesionales para el desarrollo de actividades orientadas a la implementación de las políticas establecidas en el marco del Modelo Integrado de Planeación y Gestión - MIPG, liderado por la Oficina Asesora de Planeación."/>
  </r>
  <r>
    <n v="20260074"/>
    <s v="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s v="09 - contratación directa"/>
    <s v="TH"/>
    <s v="25 - contrato de prestacion de servicios profesionales"/>
    <s v="ENERO"/>
    <n v="6"/>
    <n v="0"/>
    <n v="60000000"/>
    <s v="NO"/>
    <x v="1"/>
    <s v="Manuel Eduardo Castillo Guzman"/>
    <x v="0"/>
    <s v="Subdirector@ de Gestión Corporativa"/>
    <s v="1-100-I087 VA-Sobretasa Bomberil"/>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Si Secop "/>
    <s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
  </r>
  <r>
    <n v="20260075"/>
    <s v="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s v="09 - contratación directa"/>
    <s v="TH"/>
    <s v="25 - contrato de prestacion de servicios profesionales"/>
    <s v="ENERO"/>
    <n v="6"/>
    <n v="0"/>
    <n v="40200000"/>
    <s v="NO"/>
    <x v="1"/>
    <s v="Manuel Eduardo Castillo Guzman"/>
    <x v="0"/>
    <s v="Subdirector@ de Gestión Corporativa"/>
    <s v="1-100-I087 VA-Sobretasa Bomberil"/>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Si Secop "/>
    <s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
  </r>
  <r>
    <n v="20260076"/>
    <s v="Prestar servicios profesionales para brindar apoyo jurídico en la gestión contractual y administrativa de la Oficina Asesora de Planeación, de acuerdo con los lineamientos internos y en el marco del Modelo Integrado de Planeación y Gestión - MIPG."/>
    <s v="09 - contratación directa"/>
    <s v="TH"/>
    <s v="25 - contrato de prestacion de servicios profesionales"/>
    <s v="ENERO"/>
    <n v="6"/>
    <n v="0"/>
    <n v="39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6-TH-8126-1-Prestar servicios profesionales para brindar apoyo jurídico en la gestión contractual y administrativa de la Oficina Asesora de Planeación, de acuerdo con los lineamientos internos y en el marco del Modelo Integrado de Planeación y Gestión - MIPG."/>
  </r>
  <r>
    <n v="20260077"/>
    <s v="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s v="09 - contratación directa"/>
    <s v="TH"/>
    <s v="26 - contrato de prestacion de servicios de apoyo a la gestion"/>
    <s v="ENERO"/>
    <n v="8"/>
    <n v="0"/>
    <n v="35926528"/>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Si Secop "/>
    <s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
  </r>
  <r>
    <n v="20260078"/>
    <s v="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s v="09 - contratación directa"/>
    <s v="TH"/>
    <s v="25 - contrato de prestacion de servicios profesionales"/>
    <s v="ENERO"/>
    <n v="8"/>
    <n v="0"/>
    <n v="56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
  </r>
  <r>
    <n v="20260079"/>
    <s v="Prestar servicios profesionales para apoyar al Jefe de la Oficina de Planeación en asuntos estratégicos de la gestión administrativa"/>
    <s v="09 - contratación directa"/>
    <s v="TH"/>
    <s v="26 - contrato de prestacion de servicios de apoyo a la gestion"/>
    <s v="ENERO"/>
    <n v="7"/>
    <n v="0"/>
    <n v="49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No Secop"/>
    <s v="20260079-TH-8126-1-Prestar servicios profesionales para apoyar al Jefe de la Oficina de Planeación en asuntos estratégicos de la gestión administrativa"/>
  </r>
  <r>
    <n v="20260080"/>
    <s v="Prestar servicios profesionales a la Oficina Asesora de Planeación en los asuntos concernientes que se le asignen para la implementación del Modelo Integrado de Planeación y Gestión MIPG."/>
    <s v="09 - contratación directa"/>
    <s v="TH"/>
    <s v="25 - contrato de prestacion de servicios profesionales"/>
    <s v="ENERO"/>
    <n v="7"/>
    <n v="0"/>
    <n v="49000000"/>
    <s v="NO"/>
    <x v="1"/>
    <s v="Manuel Eduardo Castillo Guzman"/>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Si Secop "/>
    <s v="20260080-TH-8126-1-Prestar servicios profesionales a la Oficina Asesora de Planeación en los asuntos concernientes que se le asignen para la implementación del Modelo Integrado de Planeación y Gestión MIPG."/>
  </r>
  <r>
    <n v="20260081"/>
    <s v="Prestar servicios profesionales jurídicos especializados en la Oficina de Control Disciplinario Interno para orientar, revisar y apoyar los documentos que se elaboren en el desarrollo del proceso disciplinario en etapa de instrucción."/>
    <s v="09 - contratación directa"/>
    <s v="TH"/>
    <s v="25 - contrato de prestacion de servicios profesionales"/>
    <s v="FEBRERO"/>
    <n v="10"/>
    <n v="0"/>
    <n v="78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1-TH-8126-9-Prestar servicios profesionales jurídicos especializados en la Oficina de Control Disciplinario Interno para orientar, revisar y apoyar los documentos que se elaboren en el desarrollo del proceso disciplinario en etapa de instrucción."/>
  </r>
  <r>
    <n v="20260082"/>
    <s v="Prestar los servicios profesionales jurídicos especializados en la Oficina de Control Disciplinario Interno de la entidad estableciendo pautas de liderazgo en las actuaciones procesales que se deban tramitar en esa dependencia en etapa de instrucción"/>
    <s v="09 - contratación directa"/>
    <s v="TH"/>
    <s v="25 - contrato de prestacion de servicios profesionales"/>
    <s v="FEBRERO"/>
    <n v="10"/>
    <n v="0"/>
    <n v="85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2-TH-8126-9-Prestar los servicios profesionales jurídicos especializados en la Oficina de Control Disciplinario Interno de la entidad estableciendo pautas de liderazgo en las actuaciones procesales que se deban tramitar en esa dependencia en etapa de instrucción"/>
  </r>
  <r>
    <n v="20260083"/>
    <s v="Prestar servicios profesionales jurídicos en la Oficina de Control Disciplinario Interno de la entidad para apoyar la gestión, logística y operación de los procesos contractuales y administrativos a cargo de esta dependencia."/>
    <s v="09 - contratación directa"/>
    <s v="TH"/>
    <s v="25 - contrato de prestacion de servicios profesionales"/>
    <s v="FEBRERO"/>
    <n v="10"/>
    <n v="0"/>
    <n v="80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3-TH-8126-9-Prestar servicios profesionales jurídicos en la Oficina de Control Disciplinario Interno de la entidad para apoyar la gestión, logística y operación de los procesos contractuales y administrativos a cargo de esta dependencia."/>
  </r>
  <r>
    <n v="20260084"/>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4-TH-8126-9-Prestar servicios profesionales jurídicos para apoyar la instrucción y demás actuaciones que deban surtirse en los procesos disciplinarios adelantados por la Oficina de Control Disciplinario Interno."/>
  </r>
  <r>
    <n v="20260085"/>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5-TH-8126-9-Prestar servicios profesionales jurídicos para apoyar la instrucción y demás actuaciones que deban surtirse en los procesos disciplinarios adelantados por la Oficina de Control Disciplinario Interno."/>
  </r>
  <r>
    <n v="20260086"/>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6-TH-8126-9-Prestar servicios profesionales jurídicos para apoyar la instrucción y demás actuaciones que deban surtirse en los procesos disciplinarios adelantados por la Oficina de Control Disciplinario Interno."/>
  </r>
  <r>
    <n v="20260087"/>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7-TH-8126-9-Prestar servicios profesionales jurídicos para apoyar la instrucción y demás actuaciones que deban surtirse en los procesos disciplinarios adelantados por la Oficina de Control Disciplinario Interno."/>
  </r>
  <r>
    <n v="20260088"/>
    <s v="Prestar servicios profesionales jurídicos para apoyar la instrucción y demás actuaciones que deban surtirse en los procesos disciplinarios adelantados por la Oficina de Control Disciplinario Interno."/>
    <s v="09 - contratación directa"/>
    <s v="TH"/>
    <s v="25 - contrato de prestacion de servicios profesionales"/>
    <s v="FEBRERO"/>
    <n v="10"/>
    <n v="0"/>
    <n v="70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8-TH-8126-9-Prestar servicios profesionales jurídicos para apoyar la instrucción y demás actuaciones que deban surtirse en los procesos disciplinarios adelantados por la Oficina de Control Disciplinario Interno."/>
  </r>
  <r>
    <n v="20260089"/>
    <s v="Prestar servicios profesionales para ejercer las labores de secretaría común y actividades jurídicas que requieren las actuaciones disciplinarias en etapa de instrucción adelantadas por la Oficina de Control Disciplinario Interno._x0009_"/>
    <s v="09 - contratación directa"/>
    <s v="TH"/>
    <s v="25 - contrato de prestacion de servicios profesionales"/>
    <s v="FEBRERO"/>
    <n v="10"/>
    <n v="0"/>
    <n v="55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89-TH-8126-9-Prestar servicios profesionales para ejercer las labores de secretaría común y actividades jurídicas que requieren las actuaciones disciplinarias en etapa de instrucción adelantadas por la Oficina de Control Disciplinario Interno._x0009_"/>
  </r>
  <r>
    <n v="20260090"/>
    <s v="Prestación de servicios de apoyo técnico a la Oficina de Control Disciplinario Interno de la UAECOB para la gestión y cumplimiento de las funciones administrativas asignadas."/>
    <s v="09 - contratación directa"/>
    <s v="TH"/>
    <s v="26 - contrato de prestacion de servicios de apoyo a la gestion"/>
    <s v="FEBRERO"/>
    <n v="10"/>
    <n v="0"/>
    <n v="36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0-TH-8126-9-Prestación de servicios de apoyo técnico a la Oficina de Control Disciplinario Interno de la UAECOB para la gestión y cumplimiento de las funciones administrativas asignadas."/>
  </r>
  <r>
    <n v="20260091"/>
    <s v="Prestación de servicios de apoyo administrativo y de gestión documental a la Oficina de Control Disciplinario Interno de la UAECOB, en el manejo y organización de la documentación propia de los expedientes disciplinarios y las actividades de archivo que se requieran."/>
    <s v="09 - contratación directa"/>
    <s v="TH"/>
    <s v="26 - contrato de prestacion de servicios de apoyo a la gestion"/>
    <s v="FEBRERO"/>
    <n v="10"/>
    <n v="0"/>
    <n v="26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
  </r>
  <r>
    <n v="20260092"/>
    <s v="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s v="09 - contratación directa"/>
    <s v="TH"/>
    <s v="25 - contrato de prestacion de servicios profesionales"/>
    <s v="FEBRERO"/>
    <n v="10"/>
    <n v="0"/>
    <n v="60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
  </r>
  <r>
    <n v="20260093"/>
    <s v="Prestar los servicios profesionales como abogado en la Oficina de Control Interno para el desarrollo del Plan Anual de Auditorías."/>
    <s v="09 - contratación directa"/>
    <s v="TH"/>
    <s v="25 - contrato de prestacion de servicios profesionales"/>
    <s v="ENERO"/>
    <n v="11"/>
    <n v="0"/>
    <n v="85158000"/>
    <s v="NO"/>
    <x v="3"/>
    <s v="Carlos Andres Vargas Puert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3-TH-8126-9-Prestar los servicios profesionales como abogado en la Oficina de Control Interno para el desarrollo del Plan Anual de Auditorías."/>
  </r>
  <r>
    <n v="20260094"/>
    <s v="Prestar los servicios profesionales como contador público en la Oficina de Control Interno para el desarrollo del Plan Anual de Auditorías."/>
    <s v="09 - contratación directa"/>
    <s v="TH"/>
    <s v="25 - contrato de prestacion de servicios profesionales"/>
    <s v="ENERO"/>
    <n v="11"/>
    <n v="0"/>
    <n v="85158000"/>
    <s v="NO"/>
    <x v="3"/>
    <s v="Carlos Andres Vargas Puert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4-TH-8126-9-Prestar los servicios profesionales como contador público en la Oficina de Control Interno para el desarrollo del Plan Anual de Auditorías."/>
  </r>
  <r>
    <n v="20260095"/>
    <s v="Prestar los servicios profesionales en la Oficina de Control Interno para el desarrollo del Plan Anual de Auditorías."/>
    <s v="09 - contratación directa"/>
    <s v="TH"/>
    <s v="25 - contrato de prestacion de servicios profesionales"/>
    <s v="ENERO"/>
    <n v="11"/>
    <n v="0"/>
    <n v="85158000"/>
    <s v="NO"/>
    <x v="3"/>
    <s v="Carlos Andres Vargas Puert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5-TH-8126-9-Prestar los servicios profesionales en la Oficina de Control Interno para el desarrollo del Plan Anual de Auditorías."/>
  </r>
  <r>
    <n v="20260096"/>
    <s v="Prestar los servicios profesionales en la Oficina de Control Interno para el desarrollo del Plan Anual de Auditorías."/>
    <s v="09 - contratación directa"/>
    <s v="TH"/>
    <s v="25 - contrato de prestacion de servicios profesionales"/>
    <s v="ENERO"/>
    <n v="11"/>
    <n v="0"/>
    <n v="51424000"/>
    <s v="NO"/>
    <x v="3"/>
    <s v="Carlos Andres Vargas Puert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6-TH-8126-9-Prestar los servicios profesionales en la Oficina de Control Interno para el desarrollo del Plan Anual de Auditorías."/>
  </r>
  <r>
    <n v="20260097"/>
    <s v="Prestar servicios de apoyo a la gestión como técnico en la Oficina de Control Interno para ejecutar procesos y procedimientos administrativos y asistenciales teniendo en cuenta el Plan Anual de Auditorías."/>
    <s v="09 - contratación directa"/>
    <s v="TH"/>
    <s v="26 - contrato de prestacion de servicios de apoyo a la gestion"/>
    <s v="ENERO"/>
    <n v="11"/>
    <n v="0"/>
    <n v="43102000"/>
    <s v="NO"/>
    <x v="3"/>
    <s v="Carlos Andres Vargas Puert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7-TH-8126-9-Prestar servicios de apoyo a la gestión como técnico en la Oficina de Control Interno para ejecutar procesos y procedimientos administrativos y asistenciales teniendo en cuenta el Plan Anual de Auditorías."/>
  </r>
  <r>
    <n v="20260098"/>
    <s v="Prestar los servicios profesionales jurídicos especializados para orientar y apoyar los procesos de contratación en sus diferentes etapas adelantados por la Oficina Jurídica, tendientes a garantizar las necesidades propias de la UAECOB"/>
    <s v="09 - contratación directa"/>
    <s v="TH"/>
    <s v="25 - contrato de prestacion de servicios profesionales"/>
    <s v="FEBRERO"/>
    <n v="9"/>
    <n v="0"/>
    <n v="90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8-TH-8126-9-Prestar los servicios profesionales jurídicos especializados para orientar y apoyar los procesos de contratación en sus diferentes etapas adelantados por la Oficina Jurídica, tendientes a garantizar las necesidades propias de la UAECOB"/>
  </r>
  <r>
    <n v="20260099"/>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09 - contratación directa"/>
    <s v="TH"/>
    <s v="25 - contrato de prestacion de servicios profesionales"/>
    <s v="FEBRERO"/>
    <n v="8"/>
    <n v="0"/>
    <n v="72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r>
  <r>
    <n v="20260100"/>
    <s v="Prestar el servicio de apoyo técnico y operativo a la gestión de los procesos disciplinarios en la etapa de juzgamiento, mediante la ejecución de tareas administrativas, logísticas y de soporte documental en la Oficina Jurídica"/>
    <s v="09 - contratación directa"/>
    <s v="TH"/>
    <s v="25 - contrato de prestacion de servicios profesionales"/>
    <s v="FEBRERO"/>
    <n v="8"/>
    <n v="0"/>
    <n v="296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0-TH-8126-9-Prestar el servicio de apoyo técnico y operativo a la gestión de los procesos disciplinarios en la etapa de juzgamiento, mediante la ejecución de tareas administrativas, logísticas y de soporte documental en la Oficina Jurídica"/>
  </r>
  <r>
    <n v="20260101"/>
    <s v="Prestar servicios profesionales jurídicos para apoyar las actividades de defensa Judicial y de procesos penales que adelante la UAE Cuerpo Oficial de Bomberos de Bogotá"/>
    <s v="09 - contratación directa"/>
    <s v="TH"/>
    <s v="25 - contrato de prestacion de servicios profesionales"/>
    <s v="FEBRERO"/>
    <n v="8"/>
    <n v="0"/>
    <n v="52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1-TH-8126-9-Prestar servicios profesionales jurídicos para apoyar las actividades de defensa Judicial y de procesos penales que adelante la UAE Cuerpo Oficial de Bomberos de Bogotá"/>
  </r>
  <r>
    <n v="20260102"/>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675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03"/>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8"/>
    <n v="0"/>
    <n v="536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3-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4"/>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4"/>
    <n v="0"/>
    <n v="248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4-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5 - contrato de prestacion de servicios profesionales"/>
    <s v="FEBRERO"/>
    <n v="8"/>
    <n v="0"/>
    <n v="536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06"/>
    <s v="Prestar los servicios profesionales jurídicos especializados en la Oficina Jurídica que garantice la verificación de la legalidad, en apoyo a cada una de las actuaciones a cargo de esta Oficina."/>
    <s v="09 - contratación directa"/>
    <s v="TH"/>
    <s v="25 - contrato de prestacion de servicios profesionales"/>
    <s v="FEBRERO"/>
    <n v="9"/>
    <n v="0"/>
    <n v="945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6-TH-8126-9-Prestar los servicios profesionales jurídicos especializados en la Oficina Jurídica que garantice la verificación de la legalidad, en apoyo a cada una de las actuaciones a cargo de esta Oficina."/>
  </r>
  <r>
    <n v="20260107"/>
    <s v="Prestar servicios profesionales para apoyar en la estructuración de las acciones de mejora, seguimiento  a la gestión contractual de la Entidad y demás procedimientos, en el marco de las funciones de la Oficina Jurídica"/>
    <s v="09 - contratación directa"/>
    <s v="TH"/>
    <s v="25 - contrato de prestacion de servicios profesionales"/>
    <s v="FEBRERO"/>
    <n v="8"/>
    <n v="0"/>
    <n v="772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7-TH-8126-9-Prestar servicios profesionales para apoyar en la estructuración de las acciones de mejora, seguimiento  a la gestión contractual de la Entidad y demás procedimientos, en el marco de las funciones de la Oficina Jurídica"/>
  </r>
  <r>
    <n v="20260108"/>
    <s v="Prestar servicios profesionales para apoyar en la estructuración de las acciones de mejora, elaboración de informes y soporte de las funciones administrativas y de mejora"/>
    <s v="09 - contratación directa"/>
    <s v="TH"/>
    <s v="25 - contrato de prestacion de servicios profesionales"/>
    <s v="FEBRERO"/>
    <n v="8"/>
    <n v="0"/>
    <n v="52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8-TH-8126-9-Prestar servicios profesionales para apoyar en la estructuración de las acciones de mejora, elaboración de informes y soporte de las funciones administrativas y de mejora"/>
  </r>
  <r>
    <n v="20260109"/>
    <s v="Prestar los servicios profesionales jurídicos especializados para apoyar el desarrollo de las funciones de la Oficina Jurídica"/>
    <s v="09 - contratación directa"/>
    <s v="TH"/>
    <s v="25 - contrato de prestacion de servicios profesionales"/>
    <s v="FEBRERO"/>
    <n v="6"/>
    <n v="0"/>
    <n v="66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09-TH-8126-9-Prestar los servicios profesionales jurídicos especializados para apoyar el desarrollo de las funciones de la Oficina Jurídica"/>
  </r>
  <r>
    <n v="20260110"/>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1"/>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2"/>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09 - contratación directa"/>
    <s v="TH"/>
    <s v="25 - contrato de prestacion de servicios profesionales"/>
    <s v="FEBRERO"/>
    <n v="9"/>
    <n v="0"/>
    <n v="765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
  </r>
  <r>
    <n v="20260113"/>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65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4"/>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09 - contratación directa"/>
    <s v="TH"/>
    <s v="25 - contrato de prestacion de servicios profesionales"/>
    <s v="FEBRERO"/>
    <n v="9"/>
    <n v="0"/>
    <n v="72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r>
  <r>
    <n v="20260115"/>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6 - contrato de prestacion de servicios de apoyo a la gestion"/>
    <s v="FEBRERO"/>
    <n v="9"/>
    <n v="0"/>
    <n v="603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5-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6"/>
    <s v="Prestar los servicios profesionales para apoyar las actividades propias de la gestión contractual a cargo de la Oficina Jurídica, en función de las necesidades identificadas por la entidad y con el propósito de garantizar el cumplimiento de su misionalidad."/>
    <s v="09 - contratación directa"/>
    <s v="TH"/>
    <s v="26 - contrato de prestacion de servicios de apoyo a la gestion"/>
    <s v="FEBRERO"/>
    <n v="8"/>
    <n v="0"/>
    <n v="464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6-TH-8126-9-Prestar los servicios profesionales para apoyar las actividades propias de la gestión contractual a cargo de la Oficina Jurídica, en función de las necesidades identificadas por la entidad y con el propósito de garantizar el cumplimiento de su misionalidad."/>
  </r>
  <r>
    <n v="20260117"/>
    <s v="Prestar los servicios profesionales para realizar el acompañamiento administrativo y financiero en temas de liquidación y cierre de expedientes, como demás actuaciones administrativas requeridas de los procesos contractuales"/>
    <s v="09 - contratación directa"/>
    <s v="TH"/>
    <s v="25 - contrato de prestacion de servicios profesionales"/>
    <s v="FEBRERO"/>
    <n v="8"/>
    <n v="0"/>
    <n v="72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7-TH-8126-9-Prestar los servicios profesionales para realizar el acompañamiento administrativo y financiero en temas de liquidación y cierre de expedientes, como demás actuaciones administrativas requeridas de los procesos contractuales"/>
  </r>
  <r>
    <n v="20260118"/>
    <s v="Prestar los servicios profesionales especializados para la representación judicial  de la Entidad y la prevención del daño antijurídico."/>
    <s v="09 - contratación directa"/>
    <s v="TH"/>
    <s v="25 - contrato de prestacion de servicios profesionales"/>
    <s v="FEBRERO"/>
    <n v="11"/>
    <n v="0"/>
    <n v="374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8-TH-8126-9-Prestar los servicios profesionales especializados para la representación judicial  de la Entidad y la prevención del daño antijurídico."/>
  </r>
  <r>
    <n v="20260119"/>
    <s v="Prestar los servicios de apoyo para las gestiones administrativas requeridas en la Oficina Jurídica."/>
    <s v="09 - contratación directa"/>
    <s v="TH"/>
    <s v="26 - contrato de prestacion de servicios de apoyo a la gestion"/>
    <s v="FEBRERO"/>
    <n v="8"/>
    <n v="0"/>
    <n v="288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19-TH-8126-9-Prestar los servicios de apoyo para las gestiones administrativas requeridas en la Oficina Jurídica."/>
  </r>
  <r>
    <n v="20260120"/>
    <s v="Prestar los servicios de apoyo para las gestiones documentales y administrativas requerida por la Oficina  Jurídica."/>
    <s v="09 - contratación directa"/>
    <s v="TH"/>
    <s v="26 - contrato de prestacion de servicios de apoyo a la gestion"/>
    <s v="FEBRERO"/>
    <n v="8"/>
    <n v="0"/>
    <n v="288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0-TH-8126-9-Prestar los servicios de apoyo para las gestiones documentales y administrativas requerida por la Oficina  Jurídica."/>
  </r>
  <r>
    <n v="20260121"/>
    <s v="Prestar los servicios de apoyo para las gestiones documentales y administrativas requerida por la Oficina  Jurídica."/>
    <s v="09 - contratación directa"/>
    <s v="TH"/>
    <s v="26 - contrato de prestacion de servicios de apoyo a la gestion"/>
    <s v="FEBRERO"/>
    <n v="8"/>
    <n v="0"/>
    <n v="288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1-TH-8126-9-Prestar los servicios de apoyo para las gestiones documentales y administrativas requerida por la Oficina  Jurídica."/>
  </r>
  <r>
    <n v="20260122"/>
    <s v="Prestar los servicios profesionales para apoyar la gestión de la información y presupuestal y elaborar los informes reglamentarios que la Oficina Jurídica debe presentar a los entes de control, respuestas a la ciudadanía y otros informes que den cuanta de su gestión."/>
    <s v="09 - contratación directa"/>
    <s v="TH"/>
    <s v="25 - contrato de prestacion de servicios profesionales"/>
    <s v="FEBRERO"/>
    <n v="8"/>
    <n v="0"/>
    <n v="64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
  </r>
  <r>
    <n v="20260123"/>
    <s v="Prestar servicios profesionales para realizar la gestión de tramites y actividades que se requieran en los diferentes procesos disciplinarios propios de la etapa de juzgamiento de la Oficina Jurídica en la UAECOB"/>
    <s v="09 - contratación directa"/>
    <s v="TH"/>
    <s v="25 - contrato de prestacion de servicios profesionales"/>
    <s v="FEBRERO"/>
    <n v="8"/>
    <n v="0"/>
    <n v="461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3-TH-8126-9-Prestar servicios profesionales para realizar la gestión de tramites y actividades que se requieran en los diferentes procesos disciplinarios propios de la etapa de juzgamiento de la Oficina Jurídica en la UAECOB"/>
  </r>
  <r>
    <n v="20260124"/>
    <s v="Prestar los servicios profesionales para apoyar la depuración de la cartera de cobro coactivo, así como actividades propias de la defensa judicial de la Entidad y demas actiuaciones relacionadas que requiera la Oficina Jurídica"/>
    <s v="09 - contratación directa"/>
    <s v="TH"/>
    <s v="25 - contrato de prestacion de servicios profesionales"/>
    <s v="FEBRERO"/>
    <n v="8"/>
    <n v="0"/>
    <n v="60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4-TH-8126-9-Prestar los servicios profesionales para apoyar la depuración de la cartera de cobro coactivo, así como actividades propias de la defensa judicial de la Entidad y demas actiuaciones relacionadas que requiera la Oficina Jurídica"/>
  </r>
  <r>
    <n v="20260125"/>
    <s v="Prestación de servicios profesionales jurídicos para orientar y apoyar el trámite y la gestión de los procesos disciplinarios que se adelanten en la Oficina Jurídica de la Unidad Administrativa Especial Cuerpo Oficial de Bomberos Bogotá"/>
    <s v="09 - contratación directa"/>
    <s v="TH"/>
    <s v="25 - contrato de prestacion de servicios profesionales"/>
    <s v="FEBRERO"/>
    <n v="8"/>
    <n v="0"/>
    <n v="64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5-TH-8126-9-Prestación de servicios profesionales jurídicos para orientar y apoyar el trámite y la gestión de los procesos disciplinarios que se adelanten en la Oficina Jurídica de la Unidad Administrativa Especial Cuerpo Oficial de Bomberos Bogotá"/>
  </r>
  <r>
    <n v="20260126"/>
    <s v="Prestar servicios profesionales de carácter jurídico para apoyar y fortalecer de manera integral las actividades propias de la Oficina Jurídica"/>
    <s v="09 - contratación directa"/>
    <s v="TH"/>
    <s v="25 - contrato de prestacion de servicios profesionales"/>
    <s v="FEBRERO"/>
    <n v="8"/>
    <n v="0"/>
    <n v="64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6-TH-8126-9-Prestar servicios profesionales de carácter jurídico para apoyar y fortalecer de manera integral las actividades propias de la Oficina Jurídica"/>
  </r>
  <r>
    <n v="20260127"/>
    <s v="Prestar los servicios profesionales jurídicos para apoyar las actuaciones procesales y procedimentales de la Oficina Jurídica"/>
    <s v="09 - contratación directa"/>
    <s v="TH"/>
    <s v="25 - contrato de prestacion de servicios profesionales"/>
    <s v="FEBRERO"/>
    <n v="8"/>
    <n v="0"/>
    <n v="52000000"/>
    <s v="NO"/>
    <x v="4"/>
    <s v="Mónica María Pérez Barragán"/>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7-TH-8126-9-Prestar los servicios profesionales jurídicos para apoyar las actuaciones procesales y procedimentales de la Oficina Jurídica"/>
  </r>
  <r>
    <n v="20260128"/>
    <s v="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s v="09 - contratación directa"/>
    <s v="TH"/>
    <s v="25 - contrato de prestacion de servicios profesionales"/>
    <s v="ENERO"/>
    <n v="8"/>
    <n v="0"/>
    <n v="640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
  </r>
  <r>
    <n v="20260129"/>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7"/>
    <n v="0"/>
    <n v="266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0"/>
    <s v="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s v="09 - contratación directa"/>
    <s v="TH"/>
    <s v="26 - contrato de prestacion de servicios de apoyo a la gestion"/>
    <s v="ENERO"/>
    <n v="11"/>
    <n v="0"/>
    <n v="462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
  </r>
  <r>
    <n v="20260131"/>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7"/>
    <n v="0"/>
    <n v="266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2"/>
    <s v="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s v="09 - contratación directa"/>
    <s v="TH"/>
    <s v="26 - contrato de prestacion de servicios de apoyo a la gestion"/>
    <s v="ENERO"/>
    <n v="11"/>
    <n v="0"/>
    <n v="418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
  </r>
  <r>
    <n v="20260133"/>
    <s v="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s v="09 - contratación directa"/>
    <s v="TH"/>
    <s v="26 - contrato de prestacion de servicios de apoyo a la gestion"/>
    <s v="ENERO"/>
    <n v="7"/>
    <n v="0"/>
    <n v="287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
  </r>
  <r>
    <n v="20260134"/>
    <s v="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s v="09 - contratación directa"/>
    <s v="TH"/>
    <s v="25 - contrato de prestacion de servicios profesionales"/>
    <s v="ENERO"/>
    <n v="3"/>
    <n v="15"/>
    <n v="29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
  </r>
  <r>
    <n v="20260135"/>
    <s v="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s v="09 - contratación directa"/>
    <s v="TH"/>
    <s v="25 - contrato de prestacion de servicios profesionales"/>
    <s v="ENERO"/>
    <n v="5"/>
    <n v="0"/>
    <n v="295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
  </r>
  <r>
    <n v="20260136"/>
    <s v="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s v="09 - contratación directa"/>
    <s v="TH"/>
    <s v="25 - contrato de prestacion de servicios profesionales"/>
    <s v="ENERO"/>
    <n v="10"/>
    <n v="0"/>
    <n v="67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
  </r>
  <r>
    <n v="20260137"/>
    <s v="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s v="09 - contratación directa"/>
    <s v="TH"/>
    <s v="26 - contrato de prestacion de servicios de apoyo a la gestion"/>
    <s v="ENERO"/>
    <n v="10"/>
    <n v="0"/>
    <n v="36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
  </r>
  <r>
    <n v="20260138"/>
    <s v="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s v="09 - contratación directa"/>
    <s v="TH"/>
    <s v="25 - contrato de prestacion de servicios profesionales"/>
    <s v="ENERO"/>
    <n v="7"/>
    <n v="0"/>
    <n v="50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
  </r>
  <r>
    <n v="20260139"/>
    <s v="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s v="09 - contratación directa"/>
    <s v="TH"/>
    <s v="25 - contrato de prestacion de servicios profesionales"/>
    <s v="ENERO"/>
    <n v="7"/>
    <n v="0"/>
    <n v="50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39-TH-8126-9-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
  </r>
  <r>
    <n v="20260140"/>
    <s v="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s v="09 - contratación directa"/>
    <s v="TH"/>
    <s v="25 - contrato de prestacion de servicios profesionales"/>
    <s v="ENERO"/>
    <n v="7"/>
    <n v="0"/>
    <n v="385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
  </r>
  <r>
    <n v="20260141"/>
    <s v="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s v="09 - contratación directa"/>
    <s v="TH"/>
    <s v="25 - contrato de prestacion de servicios profesionales"/>
    <s v="ENERO"/>
    <n v="10"/>
    <n v="0"/>
    <n v="69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
  </r>
  <r>
    <n v="20260142"/>
    <s v="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s v="09 - contratación directa"/>
    <s v="TH"/>
    <s v="26 - contrato de prestacion de servicios de apoyo a la gestion"/>
    <s v="ENERO"/>
    <n v="7"/>
    <n v="0"/>
    <n v="287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
  </r>
  <r>
    <n v="20260143"/>
    <s v="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s v="09 - contratación directa"/>
    <s v="TH"/>
    <s v="25 - contrato de prestacion de servicios profesionales"/>
    <s v="ENERO"/>
    <n v="7"/>
    <n v="0"/>
    <n v="4508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
  </r>
  <r>
    <n v="20260144"/>
    <s v="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s v="09 - contratación directa"/>
    <s v="TH"/>
    <s v="25 - contrato de prestacion de servicios profesionales"/>
    <s v="ENERO"/>
    <n v="11"/>
    <n v="0"/>
    <n v="539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
  </r>
  <r>
    <n v="20260145"/>
    <s v="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s v="09 - contratación directa"/>
    <s v="TH"/>
    <s v="26 - contrato de prestacion de servicios de apoyo a la gestion"/>
    <s v="ENERO"/>
    <n v="8"/>
    <n v="0"/>
    <n v="32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
  </r>
  <r>
    <n v="20260146"/>
    <s v="SGH - Prestar servicios profesionales en la Subdirección de Gestión Humana de la UAE Cuerpo Oficial de Bomberos de Bogotá, para apoyar las actividades relacionadas con la administración de personal, en el marco de la normatividad y lineamientos institucionales vigentes."/>
    <s v="09 - contratación directa"/>
    <s v="TH"/>
    <s v="25 - contrato de prestacion de servicios profesionales"/>
    <s v="ENERO"/>
    <n v="7"/>
    <n v="0"/>
    <n v="406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
  </r>
  <r>
    <n v="20260147"/>
    <s v="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s v="09 - contratación directa"/>
    <s v="TH"/>
    <s v="25 - contrato de prestacion de servicios profesionales"/>
    <s v="ENERO"/>
    <n v="11"/>
    <n v="0"/>
    <n v="671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
  </r>
  <r>
    <n v="20260148"/>
    <s v="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s v="09 - contratación directa"/>
    <s v="TH"/>
    <s v="26 - contrato de prestacion de servicios de apoyo a la gestion"/>
    <s v="ENERO"/>
    <n v="7"/>
    <n v="0"/>
    <n v="28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
  </r>
  <r>
    <n v="20260149"/>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0"/>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1"/>
    <s v="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s v="09 - contratación directa"/>
    <s v="TH"/>
    <s v="25 - contrato de prestacion de servicios profesionales"/>
    <s v="ENERO"/>
    <n v="7"/>
    <n v="0"/>
    <n v="427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
  </r>
  <r>
    <n v="20260152"/>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s v="09 - contratación directa"/>
    <s v="TH"/>
    <s v="25 - contrato de prestacion de servicios profesionales"/>
    <s v="ENERO"/>
    <n v="7"/>
    <n v="0"/>
    <n v="343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
  </r>
  <r>
    <n v="20260153"/>
    <s v="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s v="09 - contratación directa"/>
    <s v="TH"/>
    <s v="25 - contrato de prestacion de servicios profesionales"/>
    <s v="ENERO"/>
    <n v="7"/>
    <n v="0"/>
    <n v="36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
  </r>
  <r>
    <n v="20260154"/>
    <s v="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s v="09 - contratación directa"/>
    <s v="TH"/>
    <s v="25 - contrato de prestacion de servicios profesionales"/>
    <s v="ENERO"/>
    <n v="11"/>
    <n v="0"/>
    <n v="77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
  </r>
  <r>
    <n v="20260155"/>
    <s v="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s v="09 - contratación directa"/>
    <s v="TH"/>
    <s v="25 - contrato de prestacion de servicios profesionales"/>
    <s v="ENERO"/>
    <n v="10"/>
    <n v="0"/>
    <n v="64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
  </r>
  <r>
    <n v="20260156"/>
    <s v="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s v="09 - contratación directa"/>
    <s v="TH"/>
    <s v="25 - contrato de prestacion de servicios profesionales"/>
    <s v="ENERO"/>
    <n v="11"/>
    <n v="0"/>
    <n v="77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
  </r>
  <r>
    <n v="20260157"/>
    <s v="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s v="09 - contratación directa"/>
    <s v="TH"/>
    <s v="25 - contrato de prestacion de servicios profesionales"/>
    <s v="ENERO"/>
    <n v="10"/>
    <n v="0"/>
    <n v="65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
  </r>
  <r>
    <n v="20260158"/>
    <s v="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s v="09 - contratación directa"/>
    <s v="TH"/>
    <s v="25 - contrato de prestacion de servicios profesionales"/>
    <s v="ENERO"/>
    <n v="7"/>
    <n v="0"/>
    <n v="518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
  </r>
  <r>
    <n v="20260159"/>
    <s v="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s v="09 - contratación directa"/>
    <s v="TH"/>
    <s v="25 - contrato de prestacion de servicios profesionales"/>
    <s v="ENERO"/>
    <n v="7"/>
    <n v="0"/>
    <n v="64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
  </r>
  <r>
    <n v="20260160"/>
    <s v="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s v="09 - contratación directa"/>
    <s v="TH"/>
    <s v="26 - contrato de prestacion de servicios de apoyo a la gestion"/>
    <s v="ENERO"/>
    <n v="7"/>
    <n v="0"/>
    <n v="252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
  </r>
  <r>
    <n v="20260161"/>
    <s v="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s v="09 - contratación directa"/>
    <s v="TH"/>
    <s v="25 - contrato de prestacion de servicios profesionales"/>
    <s v="ENERO"/>
    <n v="7"/>
    <n v="0"/>
    <n v="413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
  </r>
  <r>
    <n v="20260162"/>
    <s v="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s v="09 - contratación directa"/>
    <s v="TH"/>
    <s v="25 - contrato de prestacion de servicios profesionales"/>
    <s v="ENERO"/>
    <n v="8"/>
    <n v="0"/>
    <n v="576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
  </r>
  <r>
    <n v="20260163"/>
    <s v="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09 - contratación directa"/>
    <s v="TH"/>
    <s v="25 - contrato de prestacion de servicios profesionales"/>
    <s v="ENERO"/>
    <n v="5"/>
    <n v="0"/>
    <n v="46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r>
  <r>
    <n v="20260164"/>
    <s v="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s v="09 - contratación directa"/>
    <s v="TH"/>
    <s v="25 - contrato de prestacion de servicios profesionales"/>
    <s v="ENERO"/>
    <n v="7"/>
    <n v="0"/>
    <n v="50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
  </r>
  <r>
    <n v="20260165"/>
    <s v="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s v="09 - contratación directa"/>
    <s v="TH"/>
    <s v="25 - contrato de prestacion de servicios profesionales"/>
    <s v="ENERO"/>
    <n v="7"/>
    <n v="0"/>
    <n v="609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
  </r>
  <r>
    <n v="20260166"/>
    <s v="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s v="09 - contratación directa"/>
    <s v="TH"/>
    <s v="25 - contrato de prestacion de servicios profesionales"/>
    <s v="ENERO"/>
    <n v="7"/>
    <n v="0"/>
    <n v="623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
  </r>
  <r>
    <n v="20260167"/>
    <s v="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s v="09 - contratación directa"/>
    <s v="TH"/>
    <s v="25 - contrato de prestacion de servicios profesionales"/>
    <s v="ENERO"/>
    <n v="10"/>
    <n v="0"/>
    <n v="83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
  </r>
  <r>
    <n v="20260168"/>
    <s v="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s v="09 - contratación directa"/>
    <s v="TH"/>
    <s v="25 - contrato de prestacion de servicios profesionales"/>
    <s v="ENERO"/>
    <n v="11"/>
    <n v="0"/>
    <n v="92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
  </r>
  <r>
    <n v="20260169"/>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09 - contratación directa"/>
    <s v="TH"/>
    <s v="25 - contrato de prestacion de servicios profesionales"/>
    <s v="ENERO"/>
    <n v="8"/>
    <n v="0"/>
    <n v="66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r>
  <r>
    <n v="20260170"/>
    <s v="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s v="09 - contratación directa"/>
    <s v="TH"/>
    <s v="25 - contrato de prestacion de servicios profesionales"/>
    <s v="ENERO"/>
    <n v="11"/>
    <n v="0"/>
    <n v="605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
  </r>
  <r>
    <n v="20260171"/>
    <s v="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s v="09 - contratación directa"/>
    <s v="TH"/>
    <s v="25 - contrato de prestacion de servicios profesionales"/>
    <s v="ENERO"/>
    <n v="7"/>
    <n v="0"/>
    <n v="378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
  </r>
  <r>
    <n v="20260172"/>
    <s v="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s v="09 - contratación directa"/>
    <s v="TH"/>
    <s v="25 - contrato de prestacion de servicios profesionales"/>
    <s v="ENERO"/>
    <n v="7"/>
    <n v="0"/>
    <n v="378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
  </r>
  <r>
    <n v="20260173"/>
    <s v="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s v="09 - contratación directa"/>
    <s v="TH"/>
    <s v="25 - contrato de prestacion de servicios profesionales"/>
    <s v="ENERO"/>
    <n v="10"/>
    <n v="0"/>
    <n v="820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
  </r>
  <r>
    <n v="20260174"/>
    <s v="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s v="09 - contratación directa"/>
    <s v="TH"/>
    <s v="25 - contrato de prestacion de servicios profesionales"/>
    <s v="ENERO"/>
    <n v="11"/>
    <n v="0"/>
    <n v="572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
  </r>
  <r>
    <n v="20260175"/>
    <s v="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s v="09 - contratación directa"/>
    <s v="TH"/>
    <s v="25 - contrato de prestacion de servicios profesionales"/>
    <s v="ENERO"/>
    <n v="10"/>
    <n v="0"/>
    <n v="720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r>
  <r>
    <n v="20260176"/>
    <s v="SGH - Prestar servicios de apoyo a la Academia de la UAE Cuerpo Oficial de Bomberos de Bogotá D.C., para el desarrollo logístico y administrativo, contribuyendo al fortalecimiento de la formación, capacitación y gestión institucional."/>
    <s v="09 - contratación directa"/>
    <s v="TH"/>
    <s v="26 - contrato de prestacion de servicios de apoyo a la gestion"/>
    <s v="ENERO"/>
    <n v="11"/>
    <n v="0"/>
    <n v="407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6-TH-8173-9-SGH - Prestar servicios de apoyo a la Academia de la UAE Cuerpo Oficial de Bomberos de Bogotá D.C., para el desarrollo logístico y administrativo, contribuyendo al fortalecimiento de la formación, capacitación y gestión institucional."/>
  </r>
  <r>
    <n v="20260177"/>
    <s v="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s v="09 - contratación directa"/>
    <s v="TH"/>
    <s v="25 - contrato de prestacion de servicios profesionales"/>
    <s v="ENERO"/>
    <n v="11"/>
    <n v="0"/>
    <n v="814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
  </r>
  <r>
    <n v="20260178"/>
    <s v="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s v="09 - contratación directa"/>
    <s v="TH"/>
    <s v="25 - contrato de prestacion de servicios profesionales"/>
    <s v="ENERO"/>
    <n v="11"/>
    <n v="0"/>
    <n v="847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
  </r>
  <r>
    <n v="20260179"/>
    <s v="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s v="09 - contratación directa"/>
    <s v="TH"/>
    <s v="25 - contrato de prestacion de servicios profesionales"/>
    <s v="ENERO"/>
    <n v="10"/>
    <n v="0"/>
    <n v="550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
  </r>
  <r>
    <n v="20260180"/>
    <s v="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s v="09 - contratación directa"/>
    <s v="TH"/>
    <s v="26 - contrato de prestacion de servicios de apoyo a la gestion"/>
    <s v="ENERO"/>
    <n v="8"/>
    <n v="0"/>
    <n v="260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
  </r>
  <r>
    <n v="20260181"/>
    <s v="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s v="09 - contratación directa"/>
    <s v="TH"/>
    <s v="25 - contrato de prestacion de servicios profesionales"/>
    <s v="ENERO"/>
    <n v="11"/>
    <n v="0"/>
    <n v="1001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
  </r>
  <r>
    <n v="20260182"/>
    <s v="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s v="09 - contratación directa"/>
    <s v="TH"/>
    <s v="25 - contrato de prestacion de servicios profesionales"/>
    <s v="ENERO"/>
    <n v="11"/>
    <n v="0"/>
    <n v="935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
  </r>
  <r>
    <n v="20260183"/>
    <s v="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s v="09 - contratación directa"/>
    <s v="TH"/>
    <s v="25 - contrato de prestacion de servicios profesionales"/>
    <s v="ENERO"/>
    <n v="11"/>
    <n v="0"/>
    <n v="9152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
  </r>
  <r>
    <n v="20260184"/>
    <s v="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s v="09 - contratación directa"/>
    <s v="TH"/>
    <s v="25 - contrato de prestacion de servicios profesionales"/>
    <s v="ENERO"/>
    <n v="11"/>
    <n v="0"/>
    <n v="1144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
  </r>
  <r>
    <n v="20260185"/>
    <s v="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s v="09 - contratación directa"/>
    <s v="BS"/>
    <s v="07 - contrato de arrendamiento"/>
    <s v="FEBRERO"/>
    <n v="11"/>
    <n v="0"/>
    <n v="0"/>
    <s v="NO"/>
    <x v="5"/>
    <s v="Jose Andres Ponce Caicedo"/>
    <x v="2"/>
    <s v="Subdirector@ de Gestión del Riesgo"/>
    <s v="1-100-I087 VA-Sobretasa Bomberil"/>
    <s v="80131502, 80131505"/>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7"/>
    <s v="Si Secop "/>
    <s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
  </r>
  <r>
    <n v="20260186"/>
    <s v="SGH - Garantizar los recursos para movilización efectiva del personal operativo en la atención de emergencias"/>
    <s v="91 - n/a acto administrativo (resolución, decreto, acuerdo, etc.)"/>
    <s v="BS"/>
    <s v="03 - contrato de prestacion de servicios"/>
    <s v="FEBRERO"/>
    <n v="11"/>
    <n v="0"/>
    <n v="80000000"/>
    <s v="NO"/>
    <x v="5"/>
    <s v="Jose Andres Ponce Caicedo"/>
    <x v="2"/>
    <s v="Subdirector@ de Gestión del Riesgo"/>
    <s v="1-100-I087 VA-Sobretasa Bomberil"/>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8"/>
    <s v="Si Secop "/>
    <s v="20260186-BS-8173-9-SGH - Garantizar los recursos para movilización efectiva del personal operativo en la atención de emergencias"/>
  </r>
  <r>
    <n v="20260187"/>
    <s v="SGH - Garantizar los recursos para viáticos y adquisición de tiquetes, con el fin de permitir el desplazamiento del personal en desarrollo de actividades misionales, operativas o de capacitación  "/>
    <s v="91 - n/a acto administrativo (resolución, decreto, acuerdo, etc.)"/>
    <s v="BS"/>
    <s v="03 - contrato de prestacion de servicios"/>
    <s v="FEBRERO"/>
    <n v="11"/>
    <n v="0"/>
    <n v="180000000"/>
    <s v="NO"/>
    <x v="5"/>
    <s v="Jose Andres Ponce Caicedo"/>
    <x v="2"/>
    <s v="Subdirector@ de Gestión del Riesgo"/>
    <s v="1-100-I087 VA-Sobretasa Bomberil"/>
    <n v="901218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8"/>
    <s v="Si Secop "/>
    <s v="20260187-BS-8173-9-SGH - Garantizar los recursos para viáticos y adquisición de tiquetes, con el fin de permitir el desplazamiento del personal en desarrollo de actividades misionales, operativas o de capacitación  "/>
  </r>
  <r>
    <n v="20260188"/>
    <s v="SGH - Adecuación de escenarios necesarios para el desarrollo de procesos de formación, capacitación y entrenamiento del personal operativo de la UAE Cuerpo Oficial de Bomberos de Bogotá."/>
    <s v="02 - selec. abrev. menor cuantía"/>
    <s v="BS"/>
    <s v="06 - contrato de compraventa"/>
    <s v="MARZO"/>
    <n v="4"/>
    <n v="0"/>
    <n v="300000000"/>
    <s v="NO"/>
    <x v="5"/>
    <s v="Jose Andres Ponce Caicedo"/>
    <x v="2"/>
    <s v="Subdirector@ de Gestión del Riesgo"/>
    <s v="1-100-I087 VA-Sobretasa Bomberil"/>
    <s v="72121100, 24101600, 30131500, 31371300, 30101500, 30101700, 30103600, 95121633, 30103619, 73121600, 73121500, 30101704, 30101504"/>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9"/>
    <s v="Si Secop "/>
    <s v="20260188-BS-8173-9-SGH - Adecuación de escenarios necesarios para el desarrollo de procesos de formación, capacitación y entrenamiento del personal operativo de la UAE Cuerpo Oficial de Bomberos de Bogotá."/>
  </r>
  <r>
    <n v="20260189"/>
    <s v="SGH - Adquisición de Equipos y Herramientas para los procesos de Capacitación a cargo de la Academia de la UAE Cuerpo Oficial de Bomberos de Bogotá"/>
    <s v="02 - selec. abrev. menor cuantía"/>
    <s v="BS"/>
    <s v="06 - contrato de compraventa"/>
    <s v="MARZO"/>
    <n v="6"/>
    <n v="0"/>
    <n v="200000000"/>
    <s v="NO"/>
    <x v="5"/>
    <s v="Jose Andres Ponce Caicedo"/>
    <x v="2"/>
    <s v="Subdirector@ de Gestión del Riesgo"/>
    <s v="1-100-I087 VA-Sobretasa Bomberil"/>
    <s v="46161707,46191605, 46191609, 27111604, 46191603, 30191501, 46161715,  46201001; 42172201; 42171610; 42171612; 46181504; 46181537; 46201002; 42301502, 27111801, 27112124, 27112807, 27113101, 46161701, 46161714, 46161715, 46182304, 46182306 "/>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10"/>
    <s v="Si Secop "/>
    <s v="20260189-BS-8173-9-SGH - Adquisición de Equipos y Herramientas para los procesos de Capacitación a cargo de la Academia de la UAE Cuerpo Oficial de Bomberos de Bogotá"/>
  </r>
  <r>
    <n v="20260190"/>
    <s v="SGH - Prestar los servicios  de capacitación y entrenamiento para el fortalecimiento de las capacidades de los instructores, que hacen parte de la academia de la UAE Cuerpo Oficial de Bomberos de Bogotá"/>
    <s v="02 - selec. abrev. menor cuantía"/>
    <s v="BS"/>
    <s v="03 - contrato de prestacion de servicios"/>
    <s v="MARZO"/>
    <n v="6"/>
    <n v="0"/>
    <n v="200000000"/>
    <s v="NO"/>
    <x v="5"/>
    <s v="Jose Andres Ponce Caicedo"/>
    <x v="2"/>
    <s v="Subdirector@ de Gestión del Riesgo"/>
    <s v="1-100-I087 VA-Sobretasa Bomberil"/>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11"/>
    <s v="Si Secop "/>
    <s v="20260190-BS-8173-9-SGH - Prestar los servicios  de capacitación y entrenamiento para el fortalecimiento de las capacidades de los instructores, que hacen parte de la academia de la UAE Cuerpo Oficial de Bomberos de Bogotá"/>
  </r>
  <r>
    <n v="20260191"/>
    <s v="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s v="01 - licitación pública"/>
    <s v="BS"/>
    <s v="03 - contrato de prestacion de servicios"/>
    <s v="MARZO"/>
    <n v="6"/>
    <n v="0"/>
    <n v="1219570000"/>
    <s v="NO"/>
    <x v="5"/>
    <s v="Jose Andres Ponce Caicedo"/>
    <x v="2"/>
    <s v="Subdirector@ de Gestión del Riesgo"/>
    <s v="1-100-I087 VA-Sobretasa Bomberil"/>
    <s v="86101600, 86101700, 86101800, 86111600, 86141500,  86121800, 80111500,86131800, 86101711"/>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11"/>
    <s v="Si Secop "/>
    <s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
  </r>
  <r>
    <n v="20260192"/>
    <s v="SGH- Adquisición de material bibliográfico de consulta para estudio y capacitación, que servirá como base de la biblioteca para la academia de la UAE Cuerpo Oficial de Bomberos de Bogotá"/>
    <s v="04 - contratación mínima cuantía"/>
    <s v="BS"/>
    <s v="06 - contrato de compraventa"/>
    <s v="MARZO"/>
    <n v="4"/>
    <n v="0"/>
    <n v="40000000"/>
    <s v="NO"/>
    <x v="5"/>
    <s v="Jose Andres Ponce Caicedo"/>
    <x v="2"/>
    <s v="Subdirector@ de Gestión del Riesgo"/>
    <s v="1-100-I087 VA-Sobretasa Bomberil"/>
    <n v="5510151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12"/>
    <s v="Si Secop "/>
    <s v="20260192-BS-8173-9-SGH- Adquisición de material bibliográfico de consulta para estudio y capacitación, que servirá como base de la biblioteca para la academia de la UAE Cuerpo Oficial de Bomberos de Bogotá"/>
  </r>
  <r>
    <n v="20260193"/>
    <s v="SGH -Contratar la realización de los exámenes Médicos Ocupacionales para el personal de la UAE Cuerpo Oficial de Bomberos de Bogotá"/>
    <s v="02 - selec. abrev. menor cuantía"/>
    <s v="BS"/>
    <s v="03 - contrato de prestacion de servicios"/>
    <s v="MARZO"/>
    <n v="6"/>
    <n v="0"/>
    <n v="500000000"/>
    <s v="NO"/>
    <x v="5"/>
    <s v="Jose Andres Ponce Caicedo"/>
    <x v="1"/>
    <s v="Subdirector@ de Gestión Corporativa"/>
    <s v="1-100-F001 VA-Recursos distrito"/>
    <s v="85121503;85121603;85121604;85121608;85121610;85121611;85121612;85121702;85122201"/>
    <s v="No aplica"/>
    <s v="No a"/>
    <s v="l"/>
    <s v="NA"/>
    <s v="NA"/>
    <s v="NA"/>
    <s v="N/A"/>
    <s v="N/A"/>
    <s v="N/A-N/A"/>
    <s v="N/A"/>
    <s v="N/A"/>
    <s v="N/A_N/A"/>
    <s v="N/A-N/A N/A_N/A"/>
    <x v="1"/>
    <s v="N/A"/>
    <x v="6"/>
    <s v="Si Secop "/>
    <s v="20260193-BS-No a-l-SGH -Contratar la realización de los exámenes Médicos Ocupacionales para el personal de la UAE Cuerpo Oficial de Bomberos de Bogotá"/>
  </r>
  <r>
    <n v="20260194"/>
    <s v="SGH - Contratar la Prestación de Servicios para desarrollar el Plan de Bienestar de la UAE Cuerpo Oficial de Bomberos para la Vigencia 2026"/>
    <s v="09 - contratación directa"/>
    <s v="BS"/>
    <s v="03 - contrato de prestacion de servicios"/>
    <s v="ENERO"/>
    <n v="10"/>
    <n v="0"/>
    <n v="1620000000"/>
    <s v="NO"/>
    <x v="5"/>
    <s v="Jose Andres Ponce Caicedo"/>
    <x v="1"/>
    <s v="Subdirector@ de Gestión Corporativa"/>
    <s v="1-100-F001 VA-Recursos distrito"/>
    <s v="90101600;90111600;90141700;90151700"/>
    <s v="No aplica"/>
    <s v="No a"/>
    <s v="l"/>
    <s v="NA"/>
    <s v="NA"/>
    <s v="NA"/>
    <s v="N/A"/>
    <s v="N/A"/>
    <s v="N/A-N/A"/>
    <s v="N/A"/>
    <s v="N/A"/>
    <s v="N/A_N/A"/>
    <s v="N/A-N/A N/A_N/A"/>
    <x v="1"/>
    <s v="N/A"/>
    <x v="6"/>
    <s v="Si Secop "/>
    <s v="20260194-BS-No a-l-SGH - Contratar la Prestación de Servicios para desarrollar el Plan de Bienestar de la UAE Cuerpo Oficial de Bomberos para la Vigencia 2026"/>
  </r>
  <r>
    <n v="20260195"/>
    <s v="SGH - Adquirir elementos de protección personal para prevenir la aparición de enfermedades ocupacionales en el oido, del personal operativo de la UAE Cuerpo Oficial de Bomberos de Bogotá"/>
    <s v="04 - contratación mínima cuantía"/>
    <s v="BS"/>
    <s v="06 - contrato de compraventa"/>
    <s v="MARZO"/>
    <n v="4"/>
    <n v="0"/>
    <n v="62000000"/>
    <s v="NO"/>
    <x v="5"/>
    <s v="Jose Andres Ponce Caicedo"/>
    <x v="1"/>
    <s v="Subdirector@ de Gestión Corporativa"/>
    <s v="1-100-F001 VA-Recursos distrito"/>
    <s v="46181900;46181901"/>
    <s v="No aplica"/>
    <s v="No a"/>
    <s v="l"/>
    <s v="NA"/>
    <s v="NA"/>
    <s v="NA"/>
    <s v="N/A"/>
    <s v="N/A"/>
    <s v="N/A-N/A"/>
    <s v="N/A"/>
    <s v="N/A"/>
    <s v="N/A_N/A"/>
    <s v="N/A-N/A N/A_N/A"/>
    <x v="1"/>
    <s v="N/A"/>
    <x v="6"/>
    <s v="Si Secop "/>
    <s v="20260195-BS-No a-l-SGH - Adquirir elementos de protección personal para prevenir la aparición de enfermedades ocupacionales en el oido, del personal operativo de la UAE Cuerpo Oficial de Bomberos de Bogotá"/>
  </r>
  <r>
    <n v="20260196"/>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01 - licitación pública"/>
    <s v="BS"/>
    <s v="17 - contrato de mantenimiento"/>
    <s v="ENERO"/>
    <n v="12"/>
    <n v="0"/>
    <n v="6689476699"/>
    <s v="SI"/>
    <x v="6"/>
    <s v="Omer Mauricio Rivera Ruiz"/>
    <x v="2"/>
    <s v="Subdirector@ de Gestión del Riesgo"/>
    <s v="1-100-I087 VA-Sobretasa Bomberil"/>
    <n v="78181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3"/>
    <s v="Si Secop "/>
    <s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r>
  <r>
    <n v="20260197"/>
    <s v="Suministro de llantas y  prestación del servicio de instalación, alineación, balanceo y conexos a los vehículos del parque automotor de la U.A.E. Cuerpo Oficial de Bomberos de Bogotá - SBLG"/>
    <s v="03 - selec. abrev. subasta inversa"/>
    <s v="BS"/>
    <s v="03 - contrato de prestacion de servicios"/>
    <s v="ENERO"/>
    <n v="12"/>
    <n v="0"/>
    <n v="25000000"/>
    <s v="NO"/>
    <x v="6"/>
    <s v="Omer Mauricio Rivera Ruiz"/>
    <x v="2"/>
    <s v="Subdirector@ de Gestión del Riesgo"/>
    <s v="1-100-I087 VA-Sobretasa Bomberil"/>
    <n v="251725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4"/>
    <s v="Si Secop "/>
    <s v="20260197-BS-8173-4-Suministro de llantas y  prestación del servicio de instalación, alineación, balanceo y conexos a los vehículos del parque automotor de la U.A.E. Cuerpo Oficial de Bomberos de Bogotá - SBLG"/>
  </r>
  <r>
    <n v="20260198"/>
    <s v="Prestación de servicios profesionales apoyando el control legal de los procesos y acciones, especialmente la gestión contractual para el desarrollo de las estrategías de la Subdirección Logística - SBLG"/>
    <s v="09 - contratación directa"/>
    <s v="TH"/>
    <s v="25 - contrato de prestacion de servicios profesionales"/>
    <s v="ENERO"/>
    <n v="10"/>
    <n v="0"/>
    <n v="90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198-TH-8173-4-Prestación de servicios profesionales apoyando el control legal de los procesos y acciones, especialmente la gestión contractual para el desarrollo de las estrategías de la Subdirección Logística - SBLG"/>
  </r>
  <r>
    <n v="20260199"/>
    <s v="Prestación de servicios profesionales para apoyar en la elaboración, tramite e impulso de los procesos de contratación en sus diferentes etapas para el desarrollo de las estrategías de la Subdirección Logística - SBLG."/>
    <s v="09 - contratación directa"/>
    <s v="TH"/>
    <s v="25 - contrato de prestacion de servicios profesionales"/>
    <s v="ENERO"/>
    <n v="5"/>
    <n v="0"/>
    <n v="325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199-TH-8173-4-Prestación de servicios profesionales para apoyar en la elaboración, tramite e impulso de los procesos de contratación en sus diferentes etapas para el desarrollo de las estrategías de la Subdirección Logística - SBLG."/>
  </r>
  <r>
    <n v="20260200"/>
    <s v="Prestación de servicios profesionales para apoyar en la elaboracion, seguimiento e impulso de la actuaciones procesales en cada una de las etapas para la adquisición de bienes y servicios en el desarrollo de las estrategias de la Subdirección Logística. SBLG."/>
    <s v="09 - contratación directa"/>
    <s v="TH"/>
    <s v="25 - contrato de prestacion de servicios profesionales"/>
    <s v="ENERO"/>
    <n v="8"/>
    <n v="0"/>
    <n v="64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0-TH-8173-4-Prestación de servicios profesionales para apoyar en la elaboracion, seguimiento e impulso de la actuaciones procesales en cada una de las etapas para la adquisición de bienes y servicios en el desarrollo de las estrategias de la Subdirección Logística. SBLG."/>
  </r>
  <r>
    <n v="20260201"/>
    <s v="Prestación de servicios profesionales para apoyar en la elaboración, tramite e impulso de los procesos de contratación en sus diferentes etapas para el desarrollo de las estrategías de la Subdirección Logística - SBLG."/>
    <s v="09 - contratación directa"/>
    <s v="TH"/>
    <s v="25 - contrato de prestacion de servicios profesionales"/>
    <s v="ENERO"/>
    <n v="5"/>
    <n v="0"/>
    <n v="35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1-TH-8173-4-Prestación de servicios profesionales para apoyar en la elaboración, tramite e impulso de los procesos de contratación en sus diferentes etapas para el desarrollo de las estrategías de la Subdirección Logística - SBLG."/>
  </r>
  <r>
    <n v="20260202"/>
    <s v="Prestación de servicios profesionales, para apoyar la estructuración y elaboración de los asuntos contractuales en sus diferentes etapas en la adquisicion de bienes y servicios para el desarrollo de las estrategías de la Subdirección Logística.- SBLG"/>
    <s v="09 - contratación directa"/>
    <s v="TH"/>
    <s v="25 - contrato de prestacion de servicios profesionales"/>
    <s v="ENERO"/>
    <n v="9"/>
    <n v="0"/>
    <n v="72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2-TH-8173-4-Prestación de servicios profesionales, para apoyar la estructuración y elaboración de los asuntos contractuales en sus diferentes etapas en la adquisicion de bienes y servicios para el desarrollo de las estrategías de la Subdirección Logística.- SBLG"/>
  </r>
  <r>
    <n v="20260203"/>
    <s v="Prestación de servicios profesionales de carácter jurídico para apoyar la gestión administrativa y la adquisición de bienes y servicios para el desarrollo de las estrategias de la Subdirección Logística. -SBLG"/>
    <s v="09 - contratación directa"/>
    <s v="TH"/>
    <s v="25 - contrato de prestacion de servicios profesionales"/>
    <s v="ENERO"/>
    <n v="9"/>
    <n v="0"/>
    <n v="45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3-TH-8173-4-Prestación de servicios profesionales de carácter jurídico para apoyar la gestión administrativa y la adquisición de bienes y servicios para el desarrollo de las estrategias de la Subdirección Logística. -SBLG"/>
  </r>
  <r>
    <n v="20260204"/>
    <s v="Prestar servicios profesionales para apoyar el seguimiento y garantizar la adecuada ejecución presupuestal y financiera de los diferentes planes, programas, proyectos administrativos y financieros a cargo de la Subdirección Logística- SBLG"/>
    <s v="09 - contratación directa"/>
    <s v="TH"/>
    <s v="25 - contrato de prestacion de servicios profesionales"/>
    <s v="ENERO"/>
    <n v="11"/>
    <n v="0"/>
    <n v="120917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4-TH-8173-4-Prestar servicios profesionales para apoyar el seguimiento y garantizar la adecuada ejecución presupuestal y financiera de los diferentes planes, programas, proyectos administrativos y financieros a cargo de la Subdirección Logística- SBLG"/>
  </r>
  <r>
    <n v="20260205"/>
    <s v="Prestar los servicios profesionales para la gestión, financiera de los proyectos y procesos para el fortalecimiento de las estrategías de la Subdirección Logística - SBLG."/>
    <s v="09 - contratación directa"/>
    <s v="TH"/>
    <s v="25 - contrato de prestacion de servicios profesionales"/>
    <s v="ENERO"/>
    <n v="9"/>
    <n v="0"/>
    <n v="405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5-TH-8173-4-Prestar los servicios profesionales para la gestión, financiera de los proyectos y procesos para el fortalecimiento de las estrategías de la Subdirección Logística - SBLG."/>
  </r>
  <r>
    <n v="20260206"/>
    <s v="Prestación de servicios profesionales para apoyar la gestión financiera y presupuestal de los proyectos, planes y estrategias a cargo de la Subdirección Logística - SBLG"/>
    <s v="09 - contratación directa"/>
    <s v="TH"/>
    <s v="25 - contrato de prestacion de servicios profesionales"/>
    <s v="ENERO"/>
    <n v="7"/>
    <n v="15"/>
    <n v="45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6-TH-8173-4-Prestación de servicios profesionales para apoyar la gestión financiera y presupuestal de los proyectos, planes y estrategias a cargo de la Subdirección Logística - SBLG"/>
  </r>
  <r>
    <n v="20260207"/>
    <s v="Prestar servicios de apoyo técnico en asuntos administrativos, financieros, documentales y emisión de informes para el desarrollo de las estrategías de la Subdireccion Logística-SBLG"/>
    <s v="09 - contratación directa"/>
    <s v="TH"/>
    <s v="26 - contrato de prestacion de servicios de apoyo a la gestion"/>
    <s v="ENERO"/>
    <n v="7"/>
    <n v="15"/>
    <n v="30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7-TH-8173-4-Prestar servicios de apoyo técnico en asuntos administrativos, financieros, documentales y emisión de informes para el desarrollo de las estrategías de la Subdireccion Logística-SBLG"/>
  </r>
  <r>
    <n v="20260208"/>
    <s v="Prestar servicios profesionales para realizar el seguimiento, revisión y validación de los asuntos presupuestales, financieros y administrativos necesarios para la gestión de pagos de los contratos a cargo de la subdirección logística. - SBLG"/>
    <s v="09 - contratación directa"/>
    <s v="TH"/>
    <s v="25 - contrato de prestacion de servicios profesionales"/>
    <s v="ENERO"/>
    <n v="10"/>
    <n v="0"/>
    <n v="68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08-TH-8173-4-Prestar servicios profesionales para realizar el seguimiento, revisión y validación de los asuntos presupuestales, financieros y administrativos necesarios para la gestión de pagos de los contratos a cargo de la subdirección logística. - SBLG"/>
  </r>
  <r>
    <n v="20260209"/>
    <s v="Prestación de servicios profesionales para la gestión, seguimiento y control administrativo, técnico y operativo del proceso de mantenimiento del parque automotor a cargo de la Subdirección Logística - SBLG."/>
    <s v="09 - contratación directa"/>
    <s v="TH"/>
    <s v="25 - contrato de prestacion de servicios profesionales"/>
    <s v="ENERO"/>
    <n v="10"/>
    <n v="0"/>
    <n v="93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09-TH-8173-4-Prestación de servicios profesionales para la gestión, seguimiento y control administrativo, técnico y operativo del proceso de mantenimiento del parque automotor a cargo de la Subdirección Logística - SBLG."/>
  </r>
  <r>
    <n v="20260210"/>
    <s v="Prestación de servicios profesionales para la gestión, seguimiento y control administrativo, técnico y operativo del proceso de mantenimiento del parque automotor a cargo de la Subdirección Logística - SBLG."/>
    <s v="09 - contratación directa"/>
    <s v="TH"/>
    <s v="25 - contrato de prestacion de servicios profesionales"/>
    <s v="ENERO"/>
    <n v="9"/>
    <n v="0"/>
    <n v="72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0-TH-8173-4-Prestación de servicios profesionales para la gestión, seguimiento y control administrativo, técnico y operativo del proceso de mantenimiento del parque automotor a cargo de la Subdirección Logística - SBLG."/>
  </r>
  <r>
    <n v="20260211"/>
    <s v="Prestación de servicios profesionales en la gestión, seguimiento y control administrativo, financiero, presupuestal y contractual del proceso de mantenimiento del parque automotor a cargo de la Subdirección Logística - SBLG."/>
    <s v="09 - contratación directa"/>
    <s v="TH"/>
    <s v="25 - contrato de prestacion de servicios profesionales"/>
    <s v="ENERO"/>
    <n v="7"/>
    <n v="0"/>
    <n v="525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1-TH-8173-4-Prestación de servicios profesionales en la gestión, seguimiento y control administrativo, financiero, presupuestal y contractual del proceso de mantenimiento del parque automotor a cargo de la Subdirección Logística - SBLG."/>
  </r>
  <r>
    <n v="20260212"/>
    <s v="Prestación de servicios profesionales para la gestión, seguimiento y control  técnico y operativo del proceso de mantenimiento del parque automotor a cargo de la Subdirección Logística - SBLG."/>
    <s v="09 - contratación directa"/>
    <s v="TH"/>
    <s v="25 - contrato de prestacion de servicios profesionales"/>
    <s v="ENERO"/>
    <n v="10"/>
    <n v="0"/>
    <n v="80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2-TH-8173-4-Prestación de servicios profesionales para la gestión, seguimiento y control  técnico y operativo del proceso de mantenimiento del parque automotor a cargo de la Subdirección Logística - SBLG."/>
  </r>
  <r>
    <n v="20260213"/>
    <s v="Prestar servicios profesionales en las actividades administrativas y financieras que requieran los procesos para el desarrollo de las estrategías de la Subdirección Logística- SBLG"/>
    <s v="09 - contratación directa"/>
    <s v="TH"/>
    <s v="25 - contrato de prestacion de servicios profesionales"/>
    <s v="ENERO"/>
    <n v="9"/>
    <n v="0"/>
    <n v="405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3-TH-8173-4-Prestar servicios profesionales en las actividades administrativas y financieras que requieran los procesos para el desarrollo de las estrategías de la Subdirección Logística- SBLG"/>
  </r>
  <r>
    <n v="20260214"/>
    <s v="Prestar servicios de apoyo a la gestión en el manejo de las herramientas tecnológicas en la recepción diligenciamiento y trámite asociadas a la mesa logística. – SBLG"/>
    <s v="09 - contratación directa"/>
    <s v="TH"/>
    <s v="26 - contrato de prestacion de servicios de apoyo a la gestion"/>
    <s v="ENERO"/>
    <n v="5"/>
    <n v="0"/>
    <n v="164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4-TH-8173-4-Prestar servicios de apoyo a la gestión en el manejo de las herramientas tecnológicas en la recepción diligenciamiento y trámite asociadas a la mesa logística. – SBLG"/>
  </r>
  <r>
    <n v="20260215"/>
    <s v="Prestar servicios de apoyo técnico en la gestión documental, administrando y diligenciando las bases de datos, y demás documentos para el desarrollo de las estrategias de la Subdirección logística. -SBLG"/>
    <s v="09 - contratación directa"/>
    <s v="TH"/>
    <s v="26 - contrato de prestacion de servicios de apoyo a la gestion"/>
    <s v="ENERO"/>
    <n v="8"/>
    <n v="0"/>
    <n v="288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5-TH-8173-4-Prestar servicios de apoyo técnico en la gestión documental, administrando y diligenciando las bases de datos, y demás documentos para el desarrollo de las estrategias de la Subdirección logística. -SBLG"/>
  </r>
  <r>
    <n v="20260216"/>
    <s v="Prestar servicio de apoyo a la gestión para asistir a la Subdirección Logística en el seguimiento técnico y administrativo de los mantenimientos requeridos en la Subdirección Logística - SBLG"/>
    <s v="09 - contratación directa"/>
    <s v="TH"/>
    <s v="26 - contrato de prestacion de servicios de apoyo a la gestion"/>
    <s v="ENERO"/>
    <n v="9"/>
    <n v="0"/>
    <n v="324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16-TH-8173-4-Prestar servicio de apoyo a la gestión para asistir a la Subdirección Logística en el seguimiento técnico y administrativo de los mantenimientos requeridos en la Subdirección Logística - SBLG"/>
  </r>
  <r>
    <n v="20260217"/>
    <s v="Prestar servicios profesionales en las diferentes estrategias adelantadas por la subdirección Logistica en los procesos de planeación, logísticos, administrativos y financieros que se deriven de las competencias propias del area - SBLG"/>
    <s v="09 - contratación directa"/>
    <s v="TH"/>
    <s v="25 - contrato de prestacion de servicios profesionales"/>
    <s v="ENERO"/>
    <n v="11"/>
    <n v="0"/>
    <n v="99000000"/>
    <s v="NO"/>
    <x v="6"/>
    <s v="Omer Mauricio Rivera Ruiz"/>
    <x v="2"/>
    <s v="Subdirector@ de Gestión del Riesgo"/>
    <s v="1-100-F001 VA-Recursos distrito"/>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17-TH-8173-4-Prestar servicios profesionales en las diferentes estrategias adelantadas por la subdirección Logistica en los procesos de planeación, logísticos, administrativos y financieros que se deriven de las competencias propias del area - SBLG"/>
  </r>
  <r>
    <n v="20260218"/>
    <s v="Prestar servicios de apoyo a la gestión en actividades administrativas y documentales para el desarrollo de las estrategías de la Subdirección Logística - SBLG"/>
    <s v="09 - contratación directa"/>
    <s v="TH"/>
    <s v="26 - contrato de prestacion de servicios de apoyo a la gestion"/>
    <s v="ENERO"/>
    <n v="4"/>
    <n v="0"/>
    <n v="1312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18-TH-8173-4-Prestar servicios de apoyo a la gestión en actividades administrativas y documentales para el desarrollo de las estrategías de la Subdirección Logística - SBLG"/>
  </r>
  <r>
    <n v="20260219"/>
    <s v="Prestar servicios profesionales de caracter tecnologico apoyando la estructuración, elaboración, manejo y optimización de las herramientas tecnológicas a cargo de la Subdirección Logística – SBLG."/>
    <s v="09 - contratación directa"/>
    <s v="TH"/>
    <s v="25 - contrato de prestacion de servicios profesionales"/>
    <s v="ENERO"/>
    <n v="8"/>
    <n v="0"/>
    <n v="36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19-TH-8173-4-Prestar servicios profesionales de caracter tecnologico apoyando la estructuración, elaboración, manejo y optimización de las herramientas tecnológicas a cargo de la Subdirección Logística – SBLG."/>
  </r>
  <r>
    <n v="20260220"/>
    <s v="Prestar servicios como conductor para apoyar en la gestiónes tecnicas y operativas para la Subdirección Logistica- SBLG."/>
    <s v="09 - contratación directa"/>
    <s v="TH"/>
    <s v="26 - contrato de prestacion de servicios de apoyo a la gestion"/>
    <s v="ENERO"/>
    <n v="5"/>
    <n v="0"/>
    <n v="206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0-TH-8173-4-Prestar servicios como conductor para apoyar en la gestiónes tecnicas y operativas para la Subdirección Logistica- SBLG."/>
  </r>
  <r>
    <n v="20260221"/>
    <s v="Prestar servicios como conductor para apoyar en la gestiónes tecnicas y operativas para la Subdirección Logistica- SBLG."/>
    <s v="09 - contratación directa"/>
    <s v="TH"/>
    <s v="26 - contrato de prestacion de servicios de apoyo a la gestion"/>
    <s v="ENERO"/>
    <n v="8"/>
    <n v="0"/>
    <n v="28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1-TH-8173-4-Prestar servicios como conductor para apoyar en la gestiónes tecnicas y operativas para la Subdirección Logistica- SBLG."/>
  </r>
  <r>
    <n v="20260222"/>
    <s v="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s v="09 - contratación directa"/>
    <s v="TH"/>
    <s v="25 - contrato de prestacion de servicios profesionales"/>
    <s v="ENERO"/>
    <n v="10"/>
    <n v="0"/>
    <n v="55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
  </r>
  <r>
    <n v="20260223"/>
    <s v="Prestar servicios profesionales para apoyar en las actividades administrativas y tecnicas de los elementos e inventario a cargo Subdirección Logistica  – SBLG."/>
    <s v="09 - contratación directa"/>
    <s v="TH"/>
    <s v="25 - contrato de prestacion de servicios profesionales"/>
    <s v="ENERO"/>
    <n v="6"/>
    <n v="0"/>
    <n v="33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3-TH-8173-4-Prestar servicios profesionales para apoyar en las actividades administrativas y tecnicas de los elementos e inventario a cargo Subdirección Logistica  – SBLG."/>
  </r>
  <r>
    <n v="20260224"/>
    <s v="Prestar servicios profesionales para la gestión del Plan Estratégico de Seguridad Vial (PESV), participación en el comité correspondiente y el desarrollo de programas y actividades asignadas para el desarrollo de las estrategías de la Subdirección Logística SBLG."/>
    <s v="09 - contratación directa"/>
    <s v="TH"/>
    <s v="25 - contrato de prestacion de servicios profesionales"/>
    <s v="ENERO"/>
    <n v="9"/>
    <n v="0"/>
    <n v="45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
  </r>
  <r>
    <n v="20260225"/>
    <s v="Prestar servicios de apoyo a la gestión en las actividades de soporte operacional para el desarrollo de las estrategías de la Subdirección Logística. SBLG"/>
    <s v="09 - contratación directa"/>
    <s v="TH"/>
    <s v="26 - contrato de prestacion de servicios de apoyo a la gestion"/>
    <s v="ENERO"/>
    <n v="9"/>
    <n v="0"/>
    <n v="29565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5-TH-8173-4-Prestar servicios de apoyo a la gestión en las actividades de soporte operacional para el desarrollo de las estrategías de la Subdirección Logística. SBLG"/>
  </r>
  <r>
    <n v="20260226"/>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6-TH-8173-4-Prestar servicios de apoyo a la gestión en las actividades de soporte operacional para el desarrollo de las estrategías de la Subdirección Logística. SBLG"/>
  </r>
  <r>
    <n v="20260227"/>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5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7-TH-8173-4-Prestar servicios de apoyo a la gestión en las actividades de soporte operacional para el desarrollo de las estrategías de la Subdirección Logística. SBLG"/>
  </r>
  <r>
    <n v="20260228"/>
    <s v="Prestar servicios de apoyo a la gestión en las actividades de soporte operacional para el desarrollo de las estrategías de la Subdirección Logística. SBLG"/>
    <s v="09 - contratación directa"/>
    <s v="TH"/>
    <s v="26 - contrato de prestacion de servicios de apoyo a la gestion"/>
    <s v="ENERO"/>
    <n v="10"/>
    <n v="0"/>
    <n v="328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8-TH-8173-4-Prestar servicios de apoyo a la gestión en las actividades de soporte operacional para el desarrollo de las estrategías de la Subdirección Logística. SBLG"/>
  </r>
  <r>
    <n v="20260229"/>
    <s v="Prestar servicios de apoyo a la gestión en actividades administrativas y documentales para el desarrollo de las estrategías de la Subdirección Logística - SBLG"/>
    <s v="09 - contratación directa"/>
    <s v="TH"/>
    <s v="26 - contrato de prestacion de servicios de apoyo a la gestion"/>
    <s v="ENERO"/>
    <n v="8"/>
    <n v="0"/>
    <n v="32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29-TH-8173-4-Prestar servicios de apoyo a la gestión en actividades administrativas y documentales para el desarrollo de las estrategías de la Subdirección Logística - SBLG"/>
  </r>
  <r>
    <n v="20260230"/>
    <s v="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s v="09 - contratación directa"/>
    <s v="TH"/>
    <s v="25 - contrato de prestacion de servicios profesionales"/>
    <s v="ENERO"/>
    <n v="9"/>
    <n v="0"/>
    <n v="81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
  </r>
  <r>
    <n v="20260231"/>
    <s v="Prestar servicios de apoyo a la gestión para el seguimiento y control de los suministros y consumibles  necesarios para la oportuna disponibilidad en la atención de emergencias -SBLG"/>
    <s v="09 - contratación directa"/>
    <s v="TH"/>
    <s v="26 - contrato de prestacion de servicios de apoyo a la gestion"/>
    <s v="ENERO"/>
    <n v="6"/>
    <n v="0"/>
    <n v="216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31-TH-8173-4-Prestar servicios de apoyo a la gestión para el seguimiento y control de los suministros y consumibles  necesarios para la oportuna disponibilidad en la atención de emergencias -SBLG"/>
  </r>
  <r>
    <n v="20260232"/>
    <s v="Prestar servicios profesionales para el seguimiento y control en la cadena de suministros e insumos para la atención de emergencias garantizando la entrega oportuna de los bienes y servicios de la Subdirección Logística. SBLG"/>
    <s v="09 - contratación directa"/>
    <s v="TH"/>
    <s v="25 - contrato de prestacion de servicios profesionales"/>
    <s v="ENERO"/>
    <n v="6"/>
    <n v="0"/>
    <n v="35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32-TH-8173-4-Prestar servicios profesionales para el seguimiento y control en la cadena de suministros e insumos para la atención de emergencias garantizando la entrega oportuna de los bienes y servicios de la Subdirección Logística. SBLG"/>
  </r>
  <r>
    <n v="20260233"/>
    <s v="Prestar servicios profesionales para el seguimiento administrativo, financiero y de control en la cadena de suministros e insumos en la atención de emergencias garantizando la entrega de los bienes y servicios de la Subdirección Logística. SBLG"/>
    <s v="09 - contratación directa"/>
    <s v="TH"/>
    <s v="25 - contrato de prestacion de servicios profesionales"/>
    <s v="ENERO"/>
    <n v="8"/>
    <n v="0"/>
    <n v="52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33-TH-8173-4-Prestar servicios profesionales para el seguimiento administrativo, financiero y de control en la cadena de suministros e insumos en la atención de emergencias garantizando la entrega de los bienes y servicios de la Subdirección Logística. SBLG"/>
  </r>
  <r>
    <n v="20260234"/>
    <s v="Prestación de servicios profesionales para la gestión, seguimiento y control administrativo, técnico y operativo del equipo menor a cargo de la Subdirección Logística. SBLG."/>
    <s v="09 - contratación directa"/>
    <s v="TH"/>
    <s v="25 - contrato de prestacion de servicios profesionales"/>
    <s v="ENERO"/>
    <n v="10"/>
    <n v="0"/>
    <n v="90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4-TH-8173-4-Prestación de servicios profesionales para la gestión, seguimiento y control administrativo, técnico y operativo del equipo menor a cargo de la Subdirección Logística. SBLG."/>
  </r>
  <r>
    <n v="20260235"/>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10"/>
    <n v="0"/>
    <n v="36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5-TH-8173-4-Prestar servicio de apoyo a la gestión para asistir a la Subdirección Logística en el seguimiento técnico y administrativo de los mantenimientos minimos requeridos en la Subdirección Logística - SBLG"/>
  </r>
  <r>
    <n v="20260236"/>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9"/>
    <n v="0"/>
    <n v="324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6-TH-8173-4-Prestar servicio de apoyo a la gestión para asistir a la Subdirección Logística en el seguimiento técnico y administrativo de los mantenimientos minimos requeridos en la Subdirección Logística - SBLG"/>
  </r>
  <r>
    <n v="20260237"/>
    <s v="Prestación de servicios profesionales para realizar el seguimiento y monitoreo a los diferentes procesos y procedimientos del equipo menor a cargo de la Subdirección Logística - SBLG"/>
    <s v="09 - contratación directa"/>
    <s v="TH"/>
    <s v="25 - contrato de prestacion de servicios profesionales"/>
    <s v="ENERO"/>
    <n v="6"/>
    <n v="0"/>
    <n v="42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7-TH-8173-4-Prestación de servicios profesionales para realizar el seguimiento y monitoreo a los diferentes procesos y procedimientos del equipo menor a cargo de la Subdirección Logística - SBLG"/>
  </r>
  <r>
    <n v="20260238"/>
    <s v="Prestar servicios de apoyo a la gestión en actividades administrativas y documentales en el procedimiento de equipo menor desarrollo de las estrategías de la Subdirección Logística - SBLG - SBLG"/>
    <s v="09 - contratación directa"/>
    <s v="TH"/>
    <s v="26 - contrato de prestacion de servicios de apoyo a la gestion"/>
    <s v="ENERO"/>
    <n v="9"/>
    <n v="0"/>
    <n v="324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8-TH-8173-4-Prestar servicios de apoyo a la gestión en actividades administrativas y documentales en el procedimiento de equipo menor desarrollo de las estrategías de la Subdirección Logística - SBLG - SBLG"/>
  </r>
  <r>
    <n v="20260239"/>
    <s v="Prestación de servicios profesionales para realizar el seguimiento y monitoreo a los diferentes procesos y procedimientos del equipo menor a cargo de la Subdirección Logística - SBLG"/>
    <s v="09 - contratación directa"/>
    <s v="TH"/>
    <s v="25 - contrato de prestacion de servicios profesionales"/>
    <s v="ENERO"/>
    <n v="9"/>
    <n v="0"/>
    <n v="495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39-TH-8173-4-Prestación de servicios profesionales para realizar el seguimiento y monitoreo a los diferentes procesos y procedimientos del equipo menor a cargo de la Subdirección Logística - SBLG"/>
  </r>
  <r>
    <n v="20260240"/>
    <s v="Prestar servicio de apoyo a la gestión para asistir a la Subdirección Logística en el seguimiento técnico y administrativo de los mantenimientos minimos requeridos en la Subdirección Logística - SBLG"/>
    <s v="09 - contratación directa"/>
    <s v="TH"/>
    <s v="26 - contrato de prestacion de servicios de apoyo a la gestion"/>
    <s v="ENERO"/>
    <n v="7"/>
    <n v="0"/>
    <n v="252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240-TH-8173-4-Prestar servicio de apoyo a la gestión para asistir a la Subdirección Logística en el seguimiento técnico y administrativo de los mantenimientos minimos requeridos en la Subdirección Logística - SBLG"/>
  </r>
  <r>
    <n v="20260241"/>
    <s v="Prestación de servicios profesionales para realizar el seguimiento, verificación y asignación de las solicitudes recepcionadas atraves de las herramientas tecnológicas  asociadas a la Subdirección Logística - SBLG"/>
    <s v="09 - contratación directa"/>
    <s v="TH"/>
    <s v="25 - contrato de prestacion de servicios profesionales"/>
    <s v="ENERO"/>
    <n v="7"/>
    <n v="15"/>
    <n v="60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41-TH-8173-4-Prestación de servicios profesionales para realizar el seguimiento, verificación y asignación de las solicitudes recepcionadas atraves de las herramientas tecnológicas  asociadas a la Subdirección Logística - SBLG"/>
  </r>
  <r>
    <n v="20260242"/>
    <s v="Prestar servicios profesionales para el seguimiento y gestión de las actividades establecidas en los planes de acción y estratégicos; así como, de los procesos de planeación y administrativos propios de Subdirección Logística - SBLG&quot;"/>
    <s v="09 - contratación directa"/>
    <s v="TH"/>
    <s v="25 - contrato de prestacion de servicios profesionales"/>
    <s v="ENERO"/>
    <n v="7"/>
    <n v="0"/>
    <n v="315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42-TH-8173-4-Prestar servicios profesionales para el seguimiento y gestión de las actividades establecidas en los planes de acción y estratégicos; así como, de los procesos de planeación y administrativos propios de Subdirección Logística - SBLG&quot;"/>
  </r>
  <r>
    <n v="20260243"/>
    <s v="Prestar servicios profesionales apoyando las estrategias de comunicación, capacitación y gestión administrativa que promueva el uso y apropiación de los programas desarrollados en cada una de las estrategías de la Subdirección Logística - SBLG"/>
    <s v="09 - contratación directa"/>
    <s v="TH"/>
    <s v="25 - contrato de prestacion de servicios profesionales"/>
    <s v="ENERO"/>
    <n v="8"/>
    <n v="0"/>
    <n v="480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0"/>
    <s v="Si Secop "/>
    <s v="20260243-TH-8173-4-Prestar servicios profesionales apoyando las estrategias de comunicación, capacitación y gestión administrativa que promueva el uso y apropiación de los programas desarrollados en cada una de las estrategías de la Subdirección Logística - SBLG"/>
  </r>
  <r>
    <n v="20260244"/>
    <s v="Suministrar combustible para los vehículos, y equipos especializados de la U.A.E. Cuerpo Oficial de Bomberos Bogotá dentro y fuera del perímetro del Distrito Capital - SBLG"/>
    <s v="17 - acuerdo marco de precios"/>
    <s v="BS"/>
    <s v="08 - contrato de suministro"/>
    <s v="MARZO"/>
    <n v="10"/>
    <n v="0"/>
    <n v="111000000"/>
    <s v="NO"/>
    <x v="6"/>
    <s v="Omer Mauricio Rivera Ruiz"/>
    <x v="2"/>
    <s v="Subdirector@ de Gestión del Riesgo"/>
    <s v="1-100-F001 VA-Recursos distrito"/>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5"/>
    <s v="Si Secop "/>
    <s v="20260244-BS-8173-4-Suministrar combustible para los vehículos, y equipos especializados de la U.A.E. Cuerpo Oficial de Bomberos Bogotá dentro y fuera del perímetro del Distrito Capital - SBLG"/>
  </r>
  <r>
    <n v="20260245"/>
    <s v="Mantenimiento correctivo y preventivo de los equipos menores con suministro, repuestos, accesorios e insumos de propiedad de la UAECOB. – SBLG "/>
    <s v="03 - selec. abrev. subasta inversa"/>
    <s v="BS"/>
    <s v="03 - contrato de prestacion de servicios"/>
    <s v="MARZO"/>
    <n v="10"/>
    <n v="0"/>
    <n v="25000000"/>
    <s v="NO"/>
    <x v="6"/>
    <s v="Omer Mauricio Rivera Ruiz"/>
    <x v="2"/>
    <s v="Subdirector@ de Gestión del Riesgo"/>
    <s v="1-100-I087 VA-Sobretasa Bomberil"/>
    <s v="31261500; 31161500; 31161600; 31162300; 31162800; 31171500; 31171700; 39121600; 27121600;72101509; 26101700: 26101900; 15121500; 72101517; 72151511; 72154105 72154302; 73152108; 73152112"/>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45-BS-8173-4-Mantenimiento correctivo y preventivo de los equipos menores con suministro, repuestos, accesorios e insumos de propiedad de la UAECOB. – SBLG "/>
  </r>
  <r>
    <n v="20260246"/>
    <s v="Contratar el suministro de alimentación para los caninos del cuerpo oficial y animales rescatados por la U.A.E. del Cuerpo Oficial de Bomberos de Bogotá –  SBLG"/>
    <s v="04 - contratación mínima cuantía"/>
    <s v="BS"/>
    <s v="08 - contrato de suministro"/>
    <s v="ABRIL"/>
    <n v="8"/>
    <n v="0"/>
    <n v="25000000"/>
    <s v="NO"/>
    <x v="6"/>
    <s v="Omer Mauricio Rivera Ruiz"/>
    <x v="2"/>
    <s v="Subdirector@ de Gestión del Riesgo"/>
    <s v="1-100-I087 VA-Sobretasa Bomberil"/>
    <s v="10121801; 10121802; 10121804"/>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7"/>
    <s v="Si Secop "/>
    <s v="20260246-BS-8173-4-Contratar el suministro de alimentación para los caninos del cuerpo oficial y animales rescatados por la U.A.E. del Cuerpo Oficial de Bomberos de Bogotá –  SBLG"/>
  </r>
  <r>
    <n v="20260247"/>
    <s v="Proveer el suministro de elementos de bioseguridad e insumos médicos básicos y otros para la atención de emergencias. - SBLG"/>
    <s v="04 - contratación mínima cuantía"/>
    <s v="BS"/>
    <s v="08 - contrato de suministro"/>
    <s v="MAYO"/>
    <n v="8"/>
    <n v="0"/>
    <n v="10000000"/>
    <s v="NO"/>
    <x v="6"/>
    <s v="Omer Mauricio Rivera Ruiz"/>
    <x v="2"/>
    <s v="Subdirector@ de Gestión del Riesgo"/>
    <s v="1-100-I087 VA-Sobretasa Bomberil"/>
    <s v="42141501;42141502;42141503;42142101;42142103;42142105;42142108;42172010;42172013;42172016;42172201;42281502;42291902"/>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8"/>
    <s v="Si Secop "/>
    <s v="20260247-BS-8173-4-Proveer el suministro de elementos de bioseguridad e insumos médicos básicos y otros para la atención de emergencias. - SBLG"/>
  </r>
  <r>
    <n v="20260248"/>
    <s v="Suministro de alimentación e hidratación para el cuerpo operativo en la atención de emergencias, entrenamientos, capacitaciones y actividades de prevención.-SBLG "/>
    <s v="03 - selec. abrev. subasta inversa"/>
    <s v="BS"/>
    <s v="08 - contrato de suministro"/>
    <s v="MAYO"/>
    <n v="8"/>
    <n v="0"/>
    <n v="75000000"/>
    <s v="NO"/>
    <x v="6"/>
    <s v="Omer Mauricio Rivera Ruiz"/>
    <x v="2"/>
    <s v="Subdirector@ de Gestión del Riesgo"/>
    <s v="1-100-I087 VA-Sobretasa Bomberil"/>
    <s v="90101800;90101600;50192700;50112000;50202311;50201709;50161509;50192110;93131602; 50161500; 50192100; 50181900; 501017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9"/>
    <s v="Si Secop "/>
    <s v="20260248-BS-8173-4-Suministro de alimentación e hidratación para el cuerpo operativo en la atención de emergencias, entrenamientos, capacitaciones y actividades de prevención.-SBLG "/>
  </r>
  <r>
    <n v="20260249"/>
    <s v="Prestación de servicios médicos veterinarios, con suministro de medicamentos e insumos veterinarios y otros, para los caninos de la U.A.E. Cuerpo Oficial de Bomberos de Bogotá -  SBLG"/>
    <s v="04 - contratación mínima cuantía"/>
    <s v="BS"/>
    <s v="03 - contrato de prestacion de servicios"/>
    <s v="MAYO"/>
    <n v="8"/>
    <n v="0"/>
    <n v="25000000"/>
    <s v="NO"/>
    <x v="6"/>
    <s v="Omer Mauricio Rivera Ruiz"/>
    <x v="2"/>
    <s v="Subdirector@ de Gestión del Riesgo"/>
    <s v="1-100-I087 VA-Sobretasa Bomberil"/>
    <s v="70122002; 70122005; 70122006; 70122007; 70122008; 70122009; 70122010; 10110000; 42120000;70122001."/>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7"/>
    <s v="Si Secop "/>
    <s v="20260249-BS-8173-4-Prestación de servicios médicos veterinarios, con suministro de medicamentos e insumos veterinarios y otros, para los caninos de la U.A.E. Cuerpo Oficial de Bomberos de Bogotá -  SBLG"/>
  </r>
  <r>
    <n v="20260250"/>
    <s v="Prestar el servicio de mantenimiento preventivo y correctivo de los compresores BAUER propiedad de la U.A.E. Cuerpo Oficial de Bomberos de Bogotá, incluido el suministro de repuestos, insumos y mano de obra especializada.  - SBLG"/>
    <s v="09 - contratación directa"/>
    <s v="BS"/>
    <s v="08 - contrato de suministro"/>
    <s v="MAYO"/>
    <n v="8"/>
    <n v="0"/>
    <n v="20000000"/>
    <s v="NO"/>
    <x v="6"/>
    <s v="Omer Mauricio Rivera Ruiz"/>
    <x v="2"/>
    <s v="Subdirector@ de Gestión del Riesgo"/>
    <s v="1-100-I087 VA-Sobretasa Bomberil"/>
    <s v="72101511, 40151604, 40151691, 81101800 "/>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20"/>
    <s v="Si Secop "/>
    <s v="20260250-BS-8173-4-Prestar el servicio de mantenimiento preventivo y correctivo de los compresores BAUER propiedad de la U.A.E. Cuerpo Oficial de Bomberos de Bogotá, incluido el suministro de repuestos, insumos y mano de obra especializada.  - SBLG"/>
  </r>
  <r>
    <n v="20260251"/>
    <s v="Prestar el servicio de  mantenimiento y recarga de extintores, cilindros y tanques de las maquinas extintoras de la UAECOB.  - SBLG"/>
    <s v="03 - selec. abrev. subasta inversa"/>
    <s v="BS"/>
    <s v="03 - contrato de prestacion de servicios"/>
    <s v="MAYO"/>
    <n v="8"/>
    <n v="0"/>
    <n v="3419000"/>
    <s v="NO"/>
    <x v="6"/>
    <s v="Omer Mauricio Rivera Ruiz"/>
    <x v="2"/>
    <s v="Subdirector@ de Gestión del Riesgo"/>
    <s v="1-100-F001 VA-Recursos distrito"/>
    <s v="46191506;46191601"/>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51-BS-8173-4-Prestar el servicio de  mantenimiento y recarga de extintores, cilindros y tanques de las maquinas extintoras de la UAECOB.  - SBLG"/>
  </r>
  <r>
    <n v="20260252"/>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9 - contratación directa"/>
    <s v="BS"/>
    <s v="03 - contrato de prestacion de servicios"/>
    <s v="SEPTIEMBRE"/>
    <n v="8"/>
    <n v="0"/>
    <n v="20000000"/>
    <s v="NO"/>
    <x v="6"/>
    <s v="Omer Mauricio Rivera Ruiz"/>
    <x v="2"/>
    <s v="Subdirector@ de Gestión del Riesgo"/>
    <s v="1-100-I087 VA-Sobretasa Bomberil"/>
    <s v="46161600;72101509;73152108;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20"/>
    <s v="Si Secop "/>
    <s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
  </r>
  <r>
    <n v="20260253"/>
    <s v="Suministrar los repuestos, accesorios e insumos de los equipos de rescate vehicular liviano y pesado marca LUKAS-  SBLG"/>
    <s v="09 - contratación directa"/>
    <s v="BS"/>
    <s v="08 - contrato de suministro"/>
    <s v="SEPTIEMBRE"/>
    <n v="5"/>
    <n v="0"/>
    <n v="10000000"/>
    <s v="NO"/>
    <x v="6"/>
    <s v="Omer Mauricio Rivera Ruiz"/>
    <x v="2"/>
    <s v="Subdirector@ de Gestión del Riesgo"/>
    <s v="1-100-I087 VA-Sobretasa Bomberil"/>
    <s v="23191200; 23153100; 23271800; 26121600; 27131600; 26101700; 31162800; 31163000; 31163100; 31171500; 31171700; 31191500; 31201600; 40141700; 31121700; 261117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53-BS-8173-4-Suministrar los repuestos, accesorios e insumos de los equipos de rescate vehicular liviano y pesado marca LUKAS-  SBLG"/>
  </r>
  <r>
    <n v="20260254"/>
    <s v="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s v="09 - contratación directa"/>
    <s v="BS"/>
    <s v="27 - contrato de prestacion de servicios de mantenimiento"/>
    <s v="SEPTIEMBRE"/>
    <n v="6"/>
    <n v="0"/>
    <n v="20000000"/>
    <s v="NO"/>
    <x v="6"/>
    <s v="Omer Mauricio Rivera Ruiz"/>
    <x v="2"/>
    <s v="Subdirector@ de Gestión del Riesgo"/>
    <s v="1-100-I087 VA-Sobretasa Bomberil"/>
    <s v="46182005; 46171613; 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r>
  <r>
    <n v="20260255"/>
    <s v="Prestación del servicio de mantenimiento preventivo y correctivo de los equipos de respiración autónoma interspiro propiedad de la UAECOB, incluido el suministro de repuestos, insumos y mano de obra especializada  - SBLG"/>
    <s v="09 - contratación directa"/>
    <s v="BS"/>
    <s v="03 - contrato de prestacion de servicios"/>
    <s v="OCTUBRE"/>
    <n v="4"/>
    <n v="0"/>
    <n v="21104301"/>
    <s v="NO"/>
    <x v="6"/>
    <s v="Omer Mauricio Rivera Ruiz"/>
    <x v="2"/>
    <s v="Subdirector@ de Gestión del Riesgo"/>
    <s v="1-100-I087 VA-Sobretasa Bomberil"/>
    <n v="72101509"/>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55-BS-8173-4-Prestación del servicio de mantenimiento preventivo y correctivo de los equipos de respiración autónoma interspiro propiedad de la UAECOB, incluido el suministro de repuestos, insumos y mano de obra especializada  - SBLG"/>
  </r>
  <r>
    <n v="20260256"/>
    <s v="Prestar el servicio de mantenimiento preventivo y correctivo de los Equipos de Rescate Vehicular HOLMATRO propiedad de la UAECOB, incluido el suministro de repuestos, insumos y mano de obra especializada -  SBLG"/>
    <s v="09 - contratación directa"/>
    <s v="BS"/>
    <s v="08 - contrato de suministro"/>
    <s v="OCTUBRE"/>
    <n v="5"/>
    <n v="0"/>
    <n v="20000000"/>
    <s v="NO"/>
    <x v="6"/>
    <s v="Omer Mauricio Rivera Ruiz"/>
    <x v="2"/>
    <s v="Subdirector@ de Gestión del Riesgo"/>
    <s v="1-100-I087 VA-Sobretasa Bomberil"/>
    <s v="72101509;4619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16"/>
    <s v="Si Secop "/>
    <s v="20260256-BS-8173-4-Prestar el servicio de mantenimiento preventivo y correctivo de los Equipos de Rescate Vehicular HOLMATRO propiedad de la UAECOB, incluido el suministro de repuestos, insumos y mano de obra especializada -  SBLG"/>
  </r>
  <r>
    <n v="20260257"/>
    <s v="Contratar el servicio de revision técnico mecánica y de emision de gases contaminantes para los vehiculos que forman parte del parque automotor de la Unidad Administrativa Especial Cuerpo Oficial de Bomberos de Bogotá - UAECOB-SBLG"/>
    <s v="04 - contratación mínima cuantía"/>
    <s v="BS"/>
    <s v="03 - contrato de prestacion de servicios"/>
    <s v="MARZO"/>
    <n v="12"/>
    <n v="0"/>
    <n v="49000000"/>
    <s v="NO"/>
    <x v="6"/>
    <s v="Omer Mauricio Rivera Ruiz"/>
    <x v="1"/>
    <s v="Subdirector@ de Gestión Corporativa"/>
    <s v="1-100-F001 VA-Recursos distrito"/>
    <n v="78181505"/>
    <s v="No aplica"/>
    <s v="No a"/>
    <s v="l"/>
    <s v="NA"/>
    <s v="NA"/>
    <s v="NA"/>
    <s v="N/A"/>
    <s v="N/A"/>
    <s v="N/A-N/A"/>
    <s v="N/A"/>
    <s v="N/A"/>
    <s v="N/A_N/A"/>
    <s v="N/A-N/A N/A_N/A"/>
    <x v="1"/>
    <s v="N/A"/>
    <x v="6"/>
    <s v="Si Secop "/>
    <s v="20260257-BS-No a-l-Contratar el servicio de revision técnico mecánica y de emision de gases contaminantes para los vehiculos que forman parte del parque automotor de la Unidad Administrativa Especial Cuerpo Oficial de Bomberos de Bogotá - UAECOB-SBLG"/>
  </r>
  <r>
    <n v="20260258"/>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58-TH-8173-2-Prestación de servicios de apoyo al proceso de comunicaciones en emergencias del centro de coordinación y comunicaciones (c.c.c.), para el desarrollo de los programas a cargo de la Subdirección Operativa-S.O."/>
  </r>
  <r>
    <n v="20260259"/>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59-TH-8173-2-Prestación de servicios de apoyo al proceso de comunicaciones en emergencias del centro de coordinación y comunicaciones (c.c.c.), para el desarrollo de los programas a cargo de la Subdirección Operativa-S.O."/>
  </r>
  <r>
    <n v="20260260"/>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0-TH-8173-2-Prestación de servicios de apoyo al proceso de comunicaciones en emergencias del centro de coordinación y comunicaciones (c.c.c.), para el desarrollo de los programas a cargo de la Subdirección Operativa-S.O."/>
  </r>
  <r>
    <n v="20260261"/>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1-TH-8173-2-Prestación de servicios de apoyo al proceso de comunicaciones en emergencias del centro de coordinación y comunicaciones (c.c.c.), para el desarrollo de los programas a cargo de la Subdirección Operativa-S.O."/>
  </r>
  <r>
    <n v="20260262"/>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10"/>
    <n v="0"/>
    <n v="31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2-TH-8173-2-Prestación de servicios de apoyo al proceso de comunicaciones en emergencias del centro de coordinación y comunicaciones (c.c.c.), para el desarrollo de los programas a cargo de la Subdirección Operativa-S.O."/>
  </r>
  <r>
    <n v="20260263"/>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3-TH-8173-2-Prestación de servicios para realizar la gestión administrativa requerida en la estación de bomberos asignada, para el desarrollo de los programas a cargo de la Subdirección Operativa-S.O."/>
  </r>
  <r>
    <n v="20260264"/>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4-TH-8173-2-Prestación de servicios para realizar la gestión administrativa requerida en la estación de bomberos asignada, para el desarrollo de los programas a cargo de la Subdirección Operativa-S.O."/>
  </r>
  <r>
    <n v="20260265"/>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5-TH-8173-2-Prestación de servicios para realizar la gestión administrativa requerida en la estación de bomberos asignada, para el desarrollo de los programas a cargo de la Subdirección Operativa-S.O."/>
  </r>
  <r>
    <n v="20260266"/>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6-TH-8173-2-Prestación de servicios para realizar la gestión administrativa requerida en la estación de bomberos asignada, para el desarrollo de los programas a cargo de la Subdirección Operativa-S.O."/>
  </r>
  <r>
    <n v="20260267"/>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7-TH-8173-2-Prestación de servicios para realizar la gestión administrativa requerida en la estación de bomberos asignada, para el desarrollo de los programas a cargo de la Subdirección Operativa-S.O."/>
  </r>
  <r>
    <n v="20260268"/>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8-TH-8173-2-Prestación de servicios para realizar la gestión administrativa requerida en la estación de bomberos asignada, para el desarrollo de los programas a cargo de la Subdirección Operativa-S.O."/>
  </r>
  <r>
    <n v="20260269"/>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69-TH-8173-2-Prestación de servicios para realizar la gestión administrativa requerida en la estación de bomberos asignada, para el desarrollo de los programas a cargo de la Subdirección Operativa-S.O."/>
  </r>
  <r>
    <n v="20260270"/>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0-TH-8173-2-Prestación de servicios para realizar la gestión administrativa requerida en la estación de bomberos asignada, para el desarrollo de los programas a cargo de la Subdirección Operativa-S.O."/>
  </r>
  <r>
    <n v="20260271"/>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1-TH-8173-2-Prestación de servicios para realizar la gestión administrativa requerida en la estación de bomberos asignada, para el desarrollo de los programas a cargo de la Subdirección Operativa-S.O."/>
  </r>
  <r>
    <n v="20260272"/>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2-TH-8173-2-Prestación de servicios para realizar la gestión administrativa requerida en la estación de bomberos asignada, para el desarrollo de los programas a cargo de la Subdirección Operativa-S.O."/>
  </r>
  <r>
    <n v="20260273"/>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3-TH-8173-2-Prestación de servicios para realizar la gestión administrativa requerida en la estación de bomberos asignada, para el desarrollo de los programas a cargo de la Subdirección Operativa-S.O."/>
  </r>
  <r>
    <n v="20260274"/>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4-TH-8173-2-Prestación de servicios para realizar la gestión administrativa requerida en la estación de bomberos asignada, para el desarrollo de los programas a cargo de la Subdirección Operativa-S.O."/>
  </r>
  <r>
    <n v="20260275"/>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5-TH-8173-2-Prestación de servicios para realizar la gestión administrativa requerida en la estación de bomberos asignada, para el desarrollo de los programas a cargo de la Subdirección Operativa-S.O."/>
  </r>
  <r>
    <n v="20260276"/>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6-TH-8173-2-Prestación de servicios para realizar la gestión administrativa requerida en la estación de bomberos asignada, para el desarrollo de los programas a cargo de la Subdirección Operativa-S.O."/>
  </r>
  <r>
    <n v="20260277"/>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7-TH-8173-2-Prestación de servicios para realizar la gestión administrativa requerida en la estación de bomberos asignada, para el desarrollo de los programas a cargo de la Subdirección Operativa-S.O."/>
  </r>
  <r>
    <n v="20260278"/>
    <s v="Prestación de servicios para realizar la gestión administrativa requerida en la estación de bomberos asignada, para el desarrollo de los programas a cargo de la Subdirección Operativa-S.O."/>
    <s v="09 - contratación directa"/>
    <s v="TH"/>
    <s v="26 - contrato de prestacion de servicios de apoyo a la gestion"/>
    <s v="ENERO"/>
    <n v="9"/>
    <n v="0"/>
    <n v="269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8-TH-8173-2-Prestación de servicios para realizar la gestión administrativa requerida en la estación de bomberos asignada, para el desarrollo de los programas a cargo de la Subdirección Operativa-S.O."/>
  </r>
  <r>
    <n v="20260279"/>
    <s v="Prestación de servicios para la gestión administrativa y documental realizando los reportes requeridos para el desarrollo de los programas a cargo de la Subdirección Operativa-S.O."/>
    <s v="09 - contratación directa"/>
    <s v="TH"/>
    <s v="26 - contrato de prestacion de servicios de apoyo a la gestion"/>
    <s v="ENERO"/>
    <n v="9"/>
    <n v="0"/>
    <n v="2961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79-TH-8173-2-Prestación de servicios para la gestión administrativa y documental realizando los reportes requeridos para el desarrollo de los programas a cargo de la Subdirección Operativa-S.O."/>
  </r>
  <r>
    <n v="20260280"/>
    <s v="Prestación de servicios profesionales para atender las actividades de bienestar de los caninos y los animales rescatados o recuperados que  atiende el grupo BRAE, para el desarrollo de los programas a cargo de la Subdirección Operativa-S.O."/>
    <s v="09 - contratación directa"/>
    <s v="TH"/>
    <s v="25 - contrato de prestacion de servicios profesionales"/>
    <s v="ENERO"/>
    <n v="9"/>
    <n v="0"/>
    <n v="45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0-TH-8173-2-Prestación de servicios profesionales para atender las actividades de bienestar de los caninos y los animales rescatados o recuperados que  atiende el grupo BRAE, para el desarrollo de los programas a cargo de la Subdirección Operativa-S.O."/>
  </r>
  <r>
    <n v="20260281"/>
    <s v="Prestación de servicios profesionales para atender las actividades de bienestar de los caninos y los animales rescatados o recuperados que  atiende el grupo BRAE, para el desarrollo de los programas a cargo de la Subdirección Operativa-S.O."/>
    <s v="09 - contratación directa"/>
    <s v="TH"/>
    <s v="25 - contrato de prestacion de servicios profesionales"/>
    <s v="ENERO"/>
    <n v="9"/>
    <n v="0"/>
    <n v="45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1-TH-8173-2-Prestación de servicios profesionales para atender las actividades de bienestar de los caninos y los animales rescatados o recuperados que  atiende el grupo BRAE, para el desarrollo de los programas a cargo de la Subdirección Operativa-S.O."/>
  </r>
  <r>
    <n v="20260282"/>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s v="TH"/>
    <s v="26 - contrato de prestacion de servicios de apoyo a la gestion"/>
    <s v="ENERO"/>
    <n v="9"/>
    <n v="0"/>
    <n v="333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2-TH-8173-2-Prestación de servicios de apoyo para desarrollar y mantener las condiciones básicas de bienestar de los caninos y  animales rescatados o recuperados que atiende el grupo BRAE, para la gestión de los programas a cargo de la Subdirección Operativa-S.O."/>
  </r>
  <r>
    <n v="20260283"/>
    <s v="Prestación de servicios de apoyo para desarrollar y mantener las condiciones básicas de bienestar de los caninos y  animales rescatados o recuperados que atiende el grupo BRAE, para la gestión de los programas a cargo de la Subdirección Operativa-S.O."/>
    <s v="09 - contratación directa"/>
    <s v="TH"/>
    <s v="26 - contrato de prestacion de servicios de apoyo a la gestion"/>
    <s v="ENERO"/>
    <n v="9"/>
    <n v="0"/>
    <n v="333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3-TH-8173-2-Prestación de servicios de apoyo para desarrollar y mantener las condiciones básicas de bienestar de los caninos y  animales rescatados o recuperados que atiende el grupo BRAE, para la gestión de los programas a cargo de la Subdirección Operativa-S.O."/>
  </r>
  <r>
    <n v="20260284"/>
    <s v="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s v="09 - contratación directa"/>
    <s v="TH"/>
    <s v="26 - contrato de prestacion de servicios de apoyo a la gestion"/>
    <s v="ENERO"/>
    <n v="3"/>
    <n v="15"/>
    <n v="154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84-TH-8173-2-ADICIÓN Y PRÓRROGA al contrato de prestación de servicios # 540-2025, cuyo objeto es: &quot;Prestación de servicios de apoyo a la gestión para ejecutar actividades administrativas y asistenciales, así como el diligenciamiento y seguimiento de las solicitudes en las herramientas de gestión de los procedimientos a cargo de la subdirección operativa -s.o&quot;."/>
  </r>
  <r>
    <n v="20260285"/>
    <s v="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s v="09 - contratación directa"/>
    <s v="TH"/>
    <s v="25 - contrato de prestacion de servicios profesionales"/>
    <s v="ENERO"/>
    <n v="5"/>
    <n v="15"/>
    <n v="5225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85-TH-8173-2-ADICIÓN Y PRÓRROGA al contrato de prestación de servicios # 118-2025, cuyo objeto es: &quot;prestación de servicios profesionales para generar información de valor e instrumentos de seguimiento y control a partir de los datos asociados a la ejecución de los procesos, planes y proyectos adelantados en la dependencia. s.o.&quot;"/>
  </r>
  <r>
    <n v="20260286"/>
    <s v="Prestación de servicios profesionales para el fortalecimiento de los procesos de comunicaciones y  en articulación con otras dependencias de la entidad y de los procesos y programas a cargo de la Subdirección  Operativa-S.O."/>
    <s v="09 - contratación directa"/>
    <s v="TH"/>
    <s v="25 - contrato de prestacion de servicios profesionales"/>
    <s v="ENERO"/>
    <n v="10"/>
    <n v="0"/>
    <n v="80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6-TH-8173-2-Prestación de servicios profesionales para el fortalecimiento de los procesos de comunicaciones y  en articulación con otras dependencias de la entidad y de los procesos y programas a cargo de la Subdirección  Operativa-S.O."/>
  </r>
  <r>
    <n v="20260287"/>
    <s v="Prestación de servicios profesionales para realizar seguimiento y verificación  de las actividades relacionadas con la Subdirección Logística en los procesos, procedimientos y programas a cargo de la Subdirección Operativa-S.O."/>
    <s v="09 - contratación directa"/>
    <s v="TH"/>
    <s v="25 - contrato de prestacion de servicios profesionales"/>
    <s v="ENERO"/>
    <n v="10"/>
    <n v="0"/>
    <n v="49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7-TH-8173-2-Prestación de servicios profesionales para realizar seguimiento y verificación  de las actividades relacionadas con la Subdirección Logística en los procesos, procedimientos y programas a cargo de la Subdirección Operativa-S.O."/>
  </r>
  <r>
    <n v="20260288"/>
    <s v="Prestación de servicios profesionales para apoyar en el análisis de información, reportes, documentos técnicos y demás productos relacionados con la atención de emergencias de la entidad y  de los  programas a cargo de la Subdirección  Operativa-S.O."/>
    <s v="09 - contratación directa"/>
    <s v="TH"/>
    <s v="25 - contrato de prestacion de servicios profesionales"/>
    <s v="ENERO"/>
    <n v="7"/>
    <n v="0"/>
    <n v="476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8-TH-8173-2-Prestación de servicios profesionales para apoyar en el análisis de información, reportes, documentos técnicos y demás productos relacionados con la atención de emergencias de la entidad y  de los  programas a cargo de la Subdirección  Operativa-S.O."/>
  </r>
  <r>
    <n v="20260289"/>
    <s v="Prestación de servicios profesionales para apoyar el fortalecimiento de la dependencia y la articulación con entidades externas, para el desarrollo de los programas a cargo de la Subdirección Operativa-S. O."/>
    <s v="09 - contratación directa"/>
    <s v="TH"/>
    <s v="25 - contrato de prestacion de servicios profesionales"/>
    <s v="JULIO"/>
    <n v="6"/>
    <n v="0"/>
    <n v="432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89-TH-8173-2-Prestación de servicios profesionales para apoyar el fortalecimiento de la dependencia y la articulación con entidades externas, para el desarrollo de los programas a cargo de la Subdirección Operativa-S. O."/>
  </r>
  <r>
    <n v="20260290"/>
    <s v="Prestación de servicios profesionales para brindar el apoyo administrativo de las gestiones  de la Subdirección, así como proyectar las respuestas a las solicitudes de carácter interno o externo para  el desarrollo de los programas a cargo de la Subdirección Operativa-S.O."/>
    <s v="09 - contratación directa"/>
    <s v="TH"/>
    <s v="25 - contrato de prestacion de servicios profesionales"/>
    <s v="ENERO"/>
    <n v="8"/>
    <n v="0"/>
    <n v="412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
  </r>
  <r>
    <n v="20260291"/>
    <s v="Prestación de servicios profesionales para ejecutar los aspectos jurídicos en las diferentes modalidades de contratación que requiera la Subdirección operativa para el cumplimiento de su misionalidad y de los programas a cargo-S.O."/>
    <s v="09 - contratación directa"/>
    <s v="TH"/>
    <s v="25 - contrato de prestacion de servicios profesionales"/>
    <s v="ENERO"/>
    <n v="10"/>
    <n v="0"/>
    <n v="67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1-TH-8173-2-Prestación de servicios profesionales para ejecutar los aspectos jurídicos en las diferentes modalidades de contratación que requiera la Subdirección operativa para el cumplimiento de su misionalidad y de los programas a cargo-S.O."/>
  </r>
  <r>
    <n v="20260292"/>
    <s v="Prestación de servicios profesionales para apoyar las gestiones de carácter contractual en sus diferentes etapas y las gestiones administrativas a cargo, para el desarrollo de los programas de la Subdirección operativa-S.O."/>
    <s v="09 - contratación directa"/>
    <s v="TH"/>
    <s v="25 - contrato de prestacion de servicios profesionales"/>
    <s v="ENERO"/>
    <n v="8"/>
    <n v="0"/>
    <n v="656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2-TH-8173-2-Prestación de servicios profesionales para apoyar las gestiones de carácter contractual en sus diferentes etapas y las gestiones administrativas a cargo, para el desarrollo de los programas de la Subdirección operativa-S.O."/>
  </r>
  <r>
    <n v="20260293"/>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s v="TH"/>
    <s v="25 - contrato de prestacion de servicios profesionales"/>
    <s v="ENERO"/>
    <n v="10"/>
    <n v="0"/>
    <n v="72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4"/>
    <s v="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s v="09 - contratación directa"/>
    <s v="TH"/>
    <s v="25 - contrato de prestacion de servicios profesionales"/>
    <s v="ENERO"/>
    <n v="10"/>
    <n v="0"/>
    <n v="97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
  </r>
  <r>
    <n v="20260295"/>
    <s v="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s v="09 - contratación directa"/>
    <s v="TH"/>
    <s v="25 - contrato de prestacion de servicios profesionales"/>
    <s v="ENERO"/>
    <n v="10"/>
    <n v="0"/>
    <n v="72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
  </r>
  <r>
    <n v="20260296"/>
    <s v="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09 - contratación directa"/>
    <s v="TH"/>
    <s v="25 - contrato de prestacion de servicios profesionales"/>
    <s v="ENERO"/>
    <n v="5"/>
    <n v="0"/>
    <n v="32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r>
  <r>
    <n v="20260297"/>
    <s v="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09 - contratación directa"/>
    <s v="TH"/>
    <s v="25 - contrato de prestacion de servicios profesionales"/>
    <s v="ENERO"/>
    <n v="4"/>
    <n v="15"/>
    <n v="4275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r>
  <r>
    <n v="20260298"/>
    <s v="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09 - contratación directa"/>
    <s v="TH"/>
    <s v="25 - contrato de prestacion de servicios profesionales"/>
    <s v="ENERO"/>
    <n v="4"/>
    <n v="15"/>
    <n v="4275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r>
  <r>
    <n v="20260299"/>
    <s v="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s v="09 - contratación directa"/>
    <s v="TH"/>
    <s v="25 - contrato de prestacion de servicios profesionales"/>
    <s v="ENERO"/>
    <n v="3"/>
    <n v="0"/>
    <n v="28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
  </r>
  <r>
    <n v="20260300"/>
    <s v="Prestación de servicios profesionales para apoyar jurídicamente los proyectos, procesos y procedimientos, para e desarrollo de los programas de la subdirección operativa-S.O"/>
    <s v="09 - contratación directa"/>
    <s v="TH"/>
    <s v="25 - contrato de prestacion de servicios profesionales"/>
    <s v="ENERO"/>
    <n v="8"/>
    <n v="0"/>
    <n v="72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0-TH-8173-2-Prestación de servicios profesionales para apoyar jurídicamente los proyectos, procesos y procedimientos, para e desarrollo de los programas de la subdirección operativa-S.O"/>
  </r>
  <r>
    <n v="20260301"/>
    <s v="Prestar servicios profesionales  para apoyar el fortalecimiento, articulación, seguimiento y gestión de los proyectos de inversión,  planes e indicadores de gestión, para el desarrollo de los programas de la Subdirección Operativa-S.O."/>
    <s v="09 - contratación directa"/>
    <s v="TH"/>
    <s v="25 - contrato de prestacion de servicios profesionales"/>
    <s v="ENERO"/>
    <n v="10"/>
    <n v="0"/>
    <n v="97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1-TH-8173-2-Prestar servicios profesionales  para apoyar el fortalecimiento, articulación, seguimiento y gestión de los proyectos de inversión,  planes e indicadores de gestión, para el desarrollo de los programas de la Subdirección Operativa-S.O."/>
  </r>
  <r>
    <n v="20260302"/>
    <s v="Prestación de servicios profesionales para realizar el seguimiento, verificación, control y  diligenciamiento de los requerimientos propios, en los sistemas de información de la Entidad, para el desarrollo de los programas de la Subdirección Operativa-S.O."/>
    <s v="09 - contratación directa"/>
    <s v="TH"/>
    <s v="25 - contrato de prestacion de servicios profesionales"/>
    <s v="ENERO"/>
    <n v="8"/>
    <n v="0"/>
    <n v="376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2-TH-8173-2-Prestación de servicios profesionales para realizar el seguimiento, verificación, control y  diligenciamiento de los requerimientos propios, en los sistemas de información de la Entidad, para el desarrollo de los programas de la Subdirección Operativa-S.O."/>
  </r>
  <r>
    <n v="20260303"/>
    <s v="Prestación de servicios profesionales para liderar y gestionar los temas operativos, incluyendo  el trabajo articulado con tecnología para implementar el sistema de información   de emergencias,  para el desarrollo de los programas  de la Subdirección Operativa-S.O."/>
    <s v="09 - contratación directa"/>
    <s v="TH"/>
    <s v="25 - contrato de prestacion de servicios profesionales"/>
    <s v="ENERO"/>
    <n v="10"/>
    <n v="0"/>
    <n v="97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3-TH-8173-2-Prestación de servicios profesionales para liderar y gestionar los temas operativos, incluyendo  el trabajo articulado con tecnología para implementar el sistema de información   de emergencias,  para el desarrollo de los programas  de la Subdirección Operativa-S.O."/>
  </r>
  <r>
    <n v="20260304"/>
    <s v="Prestación de servicios profesionales para la elaboración, diagramación de piezas gráficas con estilos de textos e informes requeridos frente a los procesos y procedimientos, para el desarrollo de los programas de la Subdirección Operativa-S.O."/>
    <s v="09 - contratación directa"/>
    <s v="TH"/>
    <s v="25 - contrato de prestacion de servicios profesionales"/>
    <s v="ENERO"/>
    <n v="8"/>
    <n v="0"/>
    <n v="448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4-TH-8173-2-Prestación de servicios profesionales para la elaboración, diagramación de piezas gráficas con estilos de textos e informes requeridos frente a los procesos y procedimientos, para el desarrollo de los programas de la Subdirección Operativa-S.O."/>
  </r>
  <r>
    <n v="20260305"/>
    <s v="Prestación de servicios de apoyo para ejecutar las actividades administrativas, trámite, seguimiento y verificación de solicitudes recibidas en el canal de comunicación de gestión operativa para el desarrollo de los programas de la Subdirección Operativa-S.O."/>
    <s v="09 - contratación directa"/>
    <s v="TH"/>
    <s v="25 - contrato de prestacion de servicios profesionales"/>
    <s v="ENERO"/>
    <n v="9"/>
    <n v="0"/>
    <n v="297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5-TH-8173-2-Prestación de servicios de apoyo para ejecutar las actividades administrativas, trámite, seguimiento y verificación de solicitudes recibidas en el canal de comunicación de gestión operativa para el desarrollo de los programas de la Subdirección Operativa-S.O."/>
  </r>
  <r>
    <n v="20260306"/>
    <s v="Prestación de servicios profesionales para ejecutar las actividades relacionadas con el sistema de gestión de calidad, el sistema ambiental y el sistema de control interno, para el desarrollo los programas de la Subdireccion Operativa-S.O."/>
    <s v="09 - contratación directa"/>
    <s v="TH"/>
    <s v="25 - contrato de prestacion de servicios profesionales"/>
    <s v="ENERO"/>
    <n v="10"/>
    <n v="0"/>
    <n v="67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6-TH-8173-2-Prestación de servicios profesionales para ejecutar las actividades relacionadas con el sistema de gestión de calidad, el sistema ambiental y el sistema de control interno, para el desarrollo los programas de la Subdireccion Operativa-S.O."/>
  </r>
  <r>
    <n v="20260307"/>
    <s v="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s v="09 - contratación directa"/>
    <s v="TH"/>
    <s v="25 - contrato de prestacion de servicios profesionales"/>
    <s v="ENERO"/>
    <n v="10"/>
    <n v="0"/>
    <n v="67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
  </r>
  <r>
    <n v="20260308"/>
    <s v="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09 - contratación directa"/>
    <s v="TH"/>
    <s v="25 - contrato de prestacion de servicios profesionales"/>
    <s v="ENERO"/>
    <n v="4"/>
    <n v="15"/>
    <n v="2925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r>
  <r>
    <n v="20260309"/>
    <s v="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09 - contratación directa"/>
    <s v="TH"/>
    <s v="25 - contrato de prestacion de servicios profesionales"/>
    <s v="ENERO"/>
    <n v="4"/>
    <n v="15"/>
    <n v="31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r>
  <r>
    <n v="20260310"/>
    <s v="Prestación de servicios profesionales para la elaboración de informes o documentos técnicos, infografías, reportes y consolidación de indicadores relacionados con los procesos, y procedimientos, para el desarrollo de los programas de la Subdirección Operativa-S.O."/>
    <s v="09 - contratación directa"/>
    <s v="TH"/>
    <s v="25 - contrato de prestacion de servicios profesionales"/>
    <s v="ENERO"/>
    <n v="8"/>
    <n v="0"/>
    <n v="576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
  </r>
  <r>
    <n v="20260311"/>
    <s v="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s v="09 - contratación directa"/>
    <s v="TH"/>
    <s v="25 - contrato de prestacion de servicios profesionales"/>
    <s v="ENERO"/>
    <n v="4"/>
    <n v="15"/>
    <n v="31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
  </r>
  <r>
    <n v="20260312"/>
    <s v="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s v="09 - contratación directa"/>
    <s v="TH"/>
    <s v="25 - contrato de prestacion de servicios profesionales"/>
    <s v="ENERO"/>
    <n v="5"/>
    <n v="0"/>
    <n v="40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
  </r>
  <r>
    <n v="20260313"/>
    <s v="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s v="09 - contratación directa"/>
    <s v="TH"/>
    <s v="25 - contrato de prestacion de servicios profesionales"/>
    <s v="ENERO"/>
    <n v="9"/>
    <n v="0"/>
    <n v="67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
  </r>
  <r>
    <n v="20260314"/>
    <s v="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s v="09 - contratación directa"/>
    <s v="TH"/>
    <s v="25 - contrato de prestacion de servicios profesionales"/>
    <s v="ENERO"/>
    <n v="5"/>
    <n v="0"/>
    <n v="47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
  </r>
  <r>
    <n v="20260315"/>
    <s v="ADICIÓN Y PRÓRROGA al contrato de prestación de servicios # 313-2025, cuyo objeto es: Prestación de servicios profesionales para apoyar los procesos contractuales de la Subdirección Operativa en todas sus etapas y apoyo técnico en los proyectos y procesos de la dependencia S.O."/>
    <s v="09 - contratación directa"/>
    <s v="TH"/>
    <s v="25 - contrato de prestacion de servicios profesionales"/>
    <s v="ENERO"/>
    <n v="5"/>
    <n v="0"/>
    <n v="35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
  </r>
  <r>
    <n v="20260316"/>
    <s v="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s v="09 - contratación directa"/>
    <s v="TH"/>
    <s v="25 - contrato de prestacion de servicios profesionales"/>
    <s v="ENERO"/>
    <n v="9"/>
    <n v="0"/>
    <n v="80715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
  </r>
  <r>
    <n v="20260317"/>
    <s v="Pago pasivo exigible Subdirección Operativa"/>
    <s v="91 - n/a acto administrativo (resolución, decreto, acuerdo, etc.)"/>
    <s v="BS"/>
    <s v="12 - resolucion"/>
    <s v="ENERO"/>
    <n v="12"/>
    <n v="0"/>
    <n v="6914369000"/>
    <s v="NO"/>
    <x v="7"/>
    <s v="Yenire Yohansy Lozano Ascanio"/>
    <x v="2"/>
    <s v="Subdirector@ de Gestión del Riesgo"/>
    <s v="1-601-I037 PAS-Crédito"/>
    <n v="80111600"/>
    <s v="8173 3-Desarrollar un programa de renovación de vehículos de la Unidad Administrativa Cuerpo Oficial de Bomberos de Bogotá."/>
    <s v="8173"/>
    <s v="3"/>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16"/>
    <s v="No Secop"/>
    <s v="20260317-BS-8173-3-Pago pasivo exigible Subdirección Operativa"/>
  </r>
  <r>
    <n v="20260318"/>
    <s v="Adquisición de equipos de protección personal (E.P.P.)  para el personal uniformado de la UAE Cuerpo Oficial de Bomberos de Bogota, S.O."/>
    <s v="01 - licitación pública"/>
    <s v="BS"/>
    <s v="06 - contrato de compraventa"/>
    <s v="ENERO"/>
    <n v="12"/>
    <n v="0"/>
    <n v="36889966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s v="PM/0131/0110/45030040255"/>
    <x v="18"/>
    <s v="Si Secop "/>
    <s v="20260318-BS-8173-2-Adquisición de equipos de protección personal (E.P.P.)  para el personal uniformado de la UAE Cuerpo Oficial de Bomberos de Bogota, S.O."/>
  </r>
  <r>
    <n v="20260319"/>
    <s v="Adquisición de equipos, herramientas y accesorios (E.H.A.)  para la atención de emergencias de la UAE Cuerpo Oficial de Bomberos de Bogota, S.O."/>
    <s v="01 - licitación pública"/>
    <s v="BS"/>
    <s v="06 - contrato de compraventa"/>
    <s v="ENERO"/>
    <n v="12"/>
    <n v="0"/>
    <n v="500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s v="PM/0131/0110/45030040255"/>
    <x v="16"/>
    <s v="Si Secop "/>
    <s v="20260319-BS-8173-2-Adquisición de equipos, herramientas y accesorios (E.H.A.)  para la atención de emergencias de la UAE Cuerpo Oficial de Bomberos de Bogota, S.O."/>
  </r>
  <r>
    <n v="20260320"/>
    <s v="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s v="09 - contratación directa"/>
    <s v="TH"/>
    <s v="26 - contrato de prestacion de servicios de apoyo a la gestion"/>
    <s v="JULIO"/>
    <n v="5"/>
    <n v="15"/>
    <n v="24915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
  </r>
  <r>
    <n v="20260321"/>
    <s v="Prestación de servicios profesionales liderando la elaboración de informes estadísticos a partir de los datos asociados a los incidentes atendidos en el marco de la misionalidad de la UAECOB, para el acompañamiento de los programas de la Subdirección Operativa."/>
    <s v="09 - contratación directa"/>
    <s v="TH"/>
    <s v="25 - contrato de prestacion de servicios profesionales"/>
    <s v="JULIO"/>
    <n v="5"/>
    <n v="0"/>
    <n v="48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
  </r>
  <r>
    <n v="20260322"/>
    <s v="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s v="09 - contratación directa"/>
    <s v="TH"/>
    <s v="25 - contrato de prestacion de servicios profesionales"/>
    <s v="JULIO"/>
    <n v="4"/>
    <n v="0"/>
    <n v="264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
  </r>
  <r>
    <n v="20260323"/>
    <s v="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s v="09 - contratación directa"/>
    <s v="TH"/>
    <s v="25 - contrato de prestacion de servicios profesionales"/>
    <s v="JULIO"/>
    <n v="5"/>
    <n v="0"/>
    <n v="48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
  </r>
  <r>
    <n v="20260324"/>
    <s v="Prestación de servicios profesionales jurídicos para  realizar el seguimiento y control de las actividades de gestión propias de los procesos y procedimientos, para el acompañamiento de los programas de la Subdirección Operativa-S.O."/>
    <s v="09 - contratación directa"/>
    <s v="TH"/>
    <s v="25 - contrato de prestacion de servicios profesionales"/>
    <s v="JULIO"/>
    <n v="5"/>
    <n v="0"/>
    <n v="48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4-TH-8173-2-Prestación de servicios profesionales jurídicos para  realizar el seguimiento y control de las actividades de gestión propias de los procesos y procedimientos, para el acompañamiento de los programas de la Subdirección Operativa-S.O."/>
  </r>
  <r>
    <n v="20260325"/>
    <s v="Prestación de servicios profesionales jurídicos para  realizar el seguimiento y control de las actividades de gestión propias de los procesos y procedimientos, para el acompañamiento de los programas de la subdirección operativa y de las respuestas a Entes de control-S.O."/>
    <s v="09 - contratación directa"/>
    <s v="TH"/>
    <s v="25 - contrato de prestacion de servicios profesionales"/>
    <s v="JULIO"/>
    <n v="5"/>
    <n v="0"/>
    <n v="48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
  </r>
  <r>
    <n v="20260326"/>
    <s v="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s v="09 - contratación directa"/>
    <s v="TH"/>
    <s v="25 - contrato de prestacion de servicios profesionales"/>
    <s v="JULIO"/>
    <n v="5"/>
    <n v="0"/>
    <n v="33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
  </r>
  <r>
    <n v="20260327"/>
    <s v="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s v="09 - contratación directa"/>
    <s v="TH"/>
    <s v="25 - contrato de prestacion de servicios profesionales"/>
    <s v="JULIO"/>
    <n v="5"/>
    <n v="0"/>
    <n v="36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
  </r>
  <r>
    <n v="20260328"/>
    <s v="Prestación de servicios profesionales para realizar la consolidación, seguimiento financiero, control y reporte de los planes y proyectos de inversión e indicadores, para el apoyo de los programas de la Subdirección Operativa-S.O."/>
    <s v="09 - contratación directa"/>
    <s v="TH"/>
    <s v="25 - contrato de prestacion de servicios profesionales"/>
    <s v="JULIO"/>
    <n v="5"/>
    <n v="0"/>
    <n v="42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8-TH-8173-2-Prestación de servicios profesionales para realizar la consolidación, seguimiento financiero, control y reporte de los planes y proyectos de inversión e indicadores, para el apoyo de los programas de la Subdirección Operativa-S.O."/>
  </r>
  <r>
    <n v="20260329"/>
    <s v="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s v="09 - contratación directa"/>
    <s v="TH"/>
    <s v="25 - contrato de prestacion de servicios profesionales"/>
    <s v="JULIO"/>
    <n v="5"/>
    <n v="0"/>
    <n v="485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
  </r>
  <r>
    <n v="20260330"/>
    <s v="Prestación de servicios de apoyo a la gestión en las actividades documentales, administrativas y manejo de las herramientas de gestión, para el acompañamiento de los programas de la Subdirección Operativa S.O."/>
    <s v="09 - contratación directa"/>
    <s v="TH"/>
    <s v="26 - contrato de prestacion de servicios de apoyo a la gestion"/>
    <s v="JULIO"/>
    <n v="6"/>
    <n v="0"/>
    <n v="189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30-TH-8173-2-Prestación de servicios de apoyo a la gestión en las actividades documentales, administrativas y manejo de las herramientas de gestión, para el acompañamiento de los programas de la Subdirección Operativa S.O."/>
  </r>
  <r>
    <n v="20260331"/>
    <s v="Adquisición de uniformes para el personal operativo de la UAECOB"/>
    <s v="03 - selec. abrev. subasta inversa"/>
    <s v="BS"/>
    <s v="06 - contrato de compraventa"/>
    <s v="ENERO"/>
    <n v="6"/>
    <n v="0"/>
    <n v="300000000"/>
    <s v="NO"/>
    <x v="7"/>
    <s v="Yenire Yohansy Lozano Ascanio"/>
    <x v="1"/>
    <s v="Subdirector@ de Gestión Corporativa"/>
    <s v="1-100-F001 VA-Recursos distrito"/>
    <n v="53102710"/>
    <s v="No aplica"/>
    <s v="No a"/>
    <s v="l"/>
    <s v="NA"/>
    <s v="NA"/>
    <s v="NA"/>
    <s v="N/A"/>
    <s v="N/A"/>
    <s v="N/A-N/A"/>
    <s v="N/A"/>
    <s v="N/A"/>
    <s v="N/A_N/A"/>
    <s v="N/A-N/A N/A_N/A"/>
    <x v="1"/>
    <s v="N/A"/>
    <x v="21"/>
    <s v="Si Secop "/>
    <s v="20260331-BS-No a-l-Adquisición de uniformes para el personal operativo de la UAECOB"/>
  </r>
  <r>
    <n v="20260332"/>
    <s v="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s v="09 - contratación directa"/>
    <s v="TH"/>
    <s v="25 - contrato de prestacion de servicios profesionales"/>
    <s v="JULIO"/>
    <n v="3"/>
    <n v="0"/>
    <n v="216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
  </r>
  <r>
    <n v="20260333"/>
    <s v="Prestar servicios de apoyo como conductor a las acciones misionales de la Subdirección de Gestión del Riesgo."/>
    <s v="09 - contratación directa"/>
    <s v="TH"/>
    <s v="26 - contrato de prestacion de servicios de apoyo a la gestion"/>
    <s v="ENERO"/>
    <n v="10"/>
    <n v="0"/>
    <n v="375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3-TH-8173-1-Prestar servicios de apoyo como conductor a las acciones misionales de la Subdirección de Gestión del Riesgo."/>
  </r>
  <r>
    <n v="20260334"/>
    <s v="Prestar servicios profesionales para apoyar la planeación y gestión de las  estrategias de reducción y/o conocimiento del riesgo  para la Subdirección de Gestión del Riesgo._SGR"/>
    <s v="09 - contratación directa"/>
    <s v="TH"/>
    <s v="25 - contrato de prestacion de servicios profesionales"/>
    <s v="ENERO"/>
    <n v="10"/>
    <n v="0"/>
    <n v="6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4-TH-8173-1-Prestar servicios profesionales para apoyar la planeación y gestión de las  estrategias de reducción y/o conocimiento del riesgo  para la Subdirección de Gestión del Riesgo._SGR"/>
  </r>
  <r>
    <n v="20260335"/>
    <s v="Prestar servicios profesionales en  los componentes tecnológicos e informáticos relacionados con los aspectos misionales de la Subdirección de Gestión del Riesgo._SGR"/>
    <s v="09 - contratación directa"/>
    <s v="TH"/>
    <s v="25 - contrato de prestacion de servicios profesionales"/>
    <s v="ENERO"/>
    <n v="8"/>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5-TH-8173-1-Prestar servicios profesionales en  los componentes tecnológicos e informáticos relacionados con los aspectos misionales de la Subdirección de Gestión del Riesgo._SGR"/>
  </r>
  <r>
    <n v="20260336"/>
    <s v="Prestar servicios de apoyo para el seguimiento y respuesta de requerimientos ciudadanos relacionados con la misionalidad de la Subdirección de Gestión del Riesgo_SGR"/>
    <s v="09 - contratación directa"/>
    <s v="TH"/>
    <s v="26 - contrato de prestacion de servicios de apoyo a la gestion"/>
    <s v="ENERO"/>
    <n v="8"/>
    <n v="0"/>
    <n v="32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6-TH-8173-1-Prestar servicios de apoyo para el seguimiento y respuesta de requerimientos ciudadanos relacionados con la misionalidad de la Subdirección de Gestión del Riesgo_SGR"/>
  </r>
  <r>
    <n v="20260337"/>
    <s v="Prestar servicios profesionales en la gestión misional mediante el  análisis y seguimiento financiero de la Subdirección de Gestión del Riesgo_SGR"/>
    <s v="09 - contratación directa"/>
    <s v="TH"/>
    <s v="25 - contrato de prestacion de servicios profesionales"/>
    <s v="ENERO"/>
    <n v="7"/>
    <n v="15"/>
    <n v="536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7-TH-8173-1-Prestar servicios profesionales en la gestión misional mediante el  análisis y seguimiento financiero de la Subdirección de Gestión del Riesgo_SGR"/>
  </r>
  <r>
    <n v="20260338"/>
    <s v="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ENERO"/>
    <n v="10"/>
    <n v="0"/>
    <n v="7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38-TH-8173-1-Prestar servicios profesionales para la gestión misional  mediante la estructuración y seguimiento de procesos contractuales y asuntos jurídicos de la Subdirección de Gestión del Riesgo_SGR"/>
  </r>
  <r>
    <n v="20260340"/>
    <s v="Prestar servicios profesionales para la gestión misional en sus componentes técnico, administrativo y financiero de la Subdirección de Gestión del Riesgo_SGR. "/>
    <s v="09 - contratación directa"/>
    <s v="TH"/>
    <s v="25 - contrato de prestacion de servicios profesionales"/>
    <s v="ENERO"/>
    <n v="10"/>
    <n v="0"/>
    <n v="7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40-TH-8173-1-Prestar servicios profesionales para la gestión misional en sus componentes técnico, administrativo y financiero de la Subdirección de Gestión del Riesgo_SGR. "/>
  </r>
  <r>
    <n v="20260341"/>
    <s v="Prestar servicios profesionales  liderando las actividades del proceso de inspecciones técnicas de la subdireccion de gestion del riesgo.._SGR"/>
    <s v="09 - contratación directa"/>
    <s v="TH"/>
    <s v="25 - contrato de prestacion de servicios profesionales"/>
    <s v="ENERO"/>
    <n v="8"/>
    <n v="0"/>
    <n v="728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1-TH-8173-1-Prestar servicios profesionales  liderando las actividades del proceso de inspecciones técnicas de la subdireccion de gestion del riesgo.._SGR"/>
  </r>
  <r>
    <n v="20260342"/>
    <s v="Prestar  servicios profesionales en las actividades relacionadas con la emision de conceptos a cargo de la Subdirección de Gestión del Riesgo._SGR"/>
    <s v="09 - contratación directa"/>
    <s v="TH"/>
    <s v="25 - contrato de prestacion de servicios profesionales"/>
    <s v="ENERO"/>
    <n v="10"/>
    <n v="0"/>
    <n v="5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2-TH-8173-1-Prestar  servicios profesionales en las actividades relacionadas con la emision de conceptos a cargo de la Subdirección de Gestión del Riesgo._SGR"/>
  </r>
  <r>
    <n v="20260343"/>
    <s v="Prestar  servicios profesionales en las actividades relacionadas con la emision de conceptos a cargo de la Subdirección de Gestión del Riesgo._SGR"/>
    <s v="09 - contratación directa"/>
    <s v="TH"/>
    <s v="25 - contrato de prestacion de servicios profesionales"/>
    <s v="ENERO"/>
    <n v="9"/>
    <n v="0"/>
    <n v="454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3-TH-8173-1-Prestar  servicios profesionales en las actividades relacionadas con la emision de conceptos a cargo de la Subdirección de Gestión del Riesgo._SGR"/>
  </r>
  <r>
    <n v="20260344"/>
    <s v="Prestarservicios profesionales en las actividades relacionadas con la emision de conceptos a cargo de la Subdirección de Gestión del Riesgo._SGR"/>
    <s v="09 - contratación directa"/>
    <s v="TH"/>
    <s v="25 - contrato de prestacion de servicios profesionales"/>
    <s v="ENERO"/>
    <n v="8"/>
    <n v="0"/>
    <n v="48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4-TH-8173-1-Prestarservicios profesionales en las actividades relacionadas con la emision de conceptos a cargo de la Subdirección de Gestión del Riesgo._SGR"/>
  </r>
  <r>
    <n v="20260345"/>
    <s v="Prestarservicios profesionales en las actividades relacionadas con la emision de conceptos a cargo de la Subdirección de Gestión del Riesgo._SGR"/>
    <s v="09 - contratación directa"/>
    <s v="TH"/>
    <s v="25 - contrato de prestacion de servicios profesionales"/>
    <s v="ENERO"/>
    <n v="8"/>
    <n v="0"/>
    <n v="48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5-TH-8173-1-Prestarservicios profesionales en las actividades relacionadas con la emision de conceptos a cargo de la Subdirección de Gestión del Riesgo._SGR"/>
  </r>
  <r>
    <n v="20260346"/>
    <s v="Prestarservicios profesionales en las actividades relacionadas con la emision de conceptos a cargo de la Subdirección de Gestión del Riesgo._SGR"/>
    <s v="09 - contratación directa"/>
    <s v="TH"/>
    <s v="25 - contrato de prestacion de servicios profesionales"/>
    <s v="ENERO"/>
    <n v="8"/>
    <n v="0"/>
    <n v="48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6-TH-8173-1-Prestarservicios profesionales en las actividades relacionadas con la emision de conceptos a cargo de la Subdirección de Gestión del Riesgo._SGR"/>
  </r>
  <r>
    <n v="20260347"/>
    <s v="Prestarservicios profesionales en las actividades relacionadas con la emision de conceptos a cargo de la Subdirección de Gestión del Riesgo._SGR"/>
    <s v="09 - contratación directa"/>
    <s v="TH"/>
    <s v="25 - contrato de prestacion de servicios profesionales"/>
    <s v="ENERO"/>
    <n v="10"/>
    <n v="0"/>
    <n v="7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7-TH-8173-1-Prestarservicios profesionales en las actividades relacionadas con la emision de conceptos a cargo de la Subdirección de Gestión del Riesgo._SGR"/>
  </r>
  <r>
    <n v="20260348"/>
    <s v="Prestarservicios profesionales en las actividades relacionadas con la emision de conceptos a cargo de la Subdirección de Gestión del Riesgo._SGR"/>
    <s v="09 - contratación directa"/>
    <s v="TH"/>
    <s v="25 - contrato de prestacion de servicios profesionales"/>
    <s v="ENERO"/>
    <n v="10"/>
    <n v="0"/>
    <n v="7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8-TH-8173-1-Prestarservicios profesionales en las actividades relacionadas con la emision de conceptos a cargo de la Subdirección de Gestión del Riesgo._SGR"/>
  </r>
  <r>
    <n v="20260349"/>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5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49-TH-8173-1-Prestar  servicios de apoyo tecnico para realizar las inspecciones relacionadas con la emision de conceptos a cargo de la Subdirección de Gestión del Riesgo._SGR"/>
  </r>
  <r>
    <n v="20260350"/>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0-TH-8173-1-Prestar  servicios de apoyo tecnico para realizar las inspecciones relacionadas con la emision de conceptos a cargo de la Subdirección de Gestión del Riesgo._SGR"/>
  </r>
  <r>
    <n v="20260351"/>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1-TH-8173-1-Prestar  servicios de apoyo tecnico para realizar las inspecciones relacionadas con la emision de conceptos a cargo de la Subdirección de Gestión del Riesgo._SGR"/>
  </r>
  <r>
    <n v="20260352"/>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2-TH-8173-1-Prestar  servicios de apoyo tecnico para realizar las inspecciones relacionadas con la emision de conceptos a cargo de la Subdirección de Gestión del Riesgo._SGR"/>
  </r>
  <r>
    <n v="20260353"/>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3-TH-8173-1-Prestar  servicios de apoyo tecnico para realizar las inspecciones relacionadas con la emision de conceptos a cargo de la Subdirección de Gestión del Riesgo._SGR"/>
  </r>
  <r>
    <n v="20260354"/>
    <s v="  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4-TH-8173-1-  Prestar  servicios de apoyo tecnico para realizar las inspecciones relacionadas con la emision de conceptos a cargo de la Subdirección de Gestión del Riesgo._SGR"/>
  </r>
  <r>
    <n v="20260355"/>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5-TH-8173-1-Prestar  servicios de apoyo tecnico para realizar las inspecciones relacionadas con la emision de conceptos a cargo de la Subdirección de Gestión del Riesgo._SGR"/>
  </r>
  <r>
    <n v="20260356"/>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6-TH-8173-1-Prestar  servicios de apoyo tecnico para realizar las inspecciones relacionadas con la emision de conceptos a cargo de la Subdirección de Gestión del Riesgo._SGR"/>
  </r>
  <r>
    <n v="20260357"/>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7-TH-8173-1-Prestar  servicios de apoyo tecnico para realizar las inspecciones relacionadas con la emision de conceptos a cargo de la Subdirección de Gestión del Riesgo._SGR"/>
  </r>
  <r>
    <n v="20260358"/>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8-TH-8173-1-Prestar  servicios de apoyo tecnico para realizar las inspecciones relacionadas con la emision de conceptos a cargo de la Subdirección de Gestión del Riesgo._SGR"/>
  </r>
  <r>
    <n v="20260359"/>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59-TH-8173-1-Prestar  servicios de apoyo tecnico para realizar las inspecciones relacionadas con la emision de conceptos a cargo de la Subdirección de Gestión del Riesgo._SGR"/>
  </r>
  <r>
    <n v="20260360"/>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60-TH-8173-1-Prestar  servicios de apoyo tecnico para realizar las inspecciones relacionadas con la emision de conceptos a cargo de la Subdirección de Gestión del Riesgo._SGR"/>
  </r>
  <r>
    <n v="20260361"/>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61-TH-8173-1-Prestar  servicios de apoyo tecnico para realizar las inspecciones relacionadas con la emision de conceptos a cargo de la Subdirección de Gestión del Riesgo._SGR"/>
  </r>
  <r>
    <n v="20260362"/>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62-TH-8173-1-Prestar  servicios de apoyo tecnico para realizar las inspecciones relacionadas con la emision de conceptos a cargo de la Subdirección de Gestión del Riesgo._SGR"/>
  </r>
  <r>
    <n v="20260363"/>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63-TH-8173-1-Prestar  servicios de apoyo tecnico para realizar las inspecciones relacionadas con la emision de conceptos a cargo de la Subdirección de Gestión del Riesgo._SGR"/>
  </r>
  <r>
    <n v="20260364"/>
    <s v="Prestar  servicios de apoyo tecnico para realizar las inspecciones relacionadas con la emision de conceptos a cargo de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x v="11"/>
    <s v="PM/0131/0106/45030350255"/>
    <x v="0"/>
    <s v="Si Secop "/>
    <s v="20260364-TH-8173-1-Prestar  servicios de apoyo tecnico para realizar las inspecciones relacionadas con la emision de conceptos a cargo de la Subdirección de Gestión del Riesgo._SGR"/>
  </r>
  <r>
    <n v="20260365"/>
    <s v="Prestar servicios profesionales para la gestión misional  mediante la estructuración y seguimiento de procesos contractuales y asuntos jurídicos de la Subdirección de Gestión del Riesgo_SGR"/>
    <s v="09 - contratación directa"/>
    <s v="TH"/>
    <s v="25 - contrato de prestacion de servicios profesionales"/>
    <s v="ENERO"/>
    <n v="7"/>
    <n v="0"/>
    <n v="49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65-TH-8173-1-Prestar servicios profesionales para la gestión misional  mediante la estructuración y seguimiento de procesos contractuales y asuntos jurídicos de la Subdirección de Gestión del Riesgo_SGR"/>
  </r>
  <r>
    <n v="20260366"/>
    <s v="Prestar servicios profesionales en las actividades de monitoreo del riesgo para la Subdirección de Gestión del Riesgo._SGR"/>
    <s v="09 - contratación directa"/>
    <s v="TH"/>
    <s v="25 - contrato de prestacion de servicios profesionales"/>
    <s v="ENERO"/>
    <n v="10"/>
    <n v="0"/>
    <n v="55000000"/>
    <s v="NO"/>
    <x v="8"/>
    <s v="William Tovar Segura"/>
    <x v="2"/>
    <s v="Subdirector@ de Gestión del Riesgo"/>
    <s v="1-100-I087 VA-Sobretasa Bomberil"/>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66-TH-8173-6-Prestar servicios profesionales en las actividades de monitoreo del riesgo para la Subdirección de Gestión del Riesgo._SGR"/>
  </r>
  <r>
    <n v="20260367"/>
    <s v="Prestar servicios profesionales liderando las actividades de Programas y Campañas de Prevención para la Subdirección de Gestión del Riesgo._SGR"/>
    <s v="09 - contratación directa"/>
    <s v="TH"/>
    <s v="25 - contrato de prestacion de servicios profesionales"/>
    <s v="ENERO"/>
    <n v="10"/>
    <n v="0"/>
    <n v="8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67-TH-8173-1-Prestar servicios profesionales liderando las actividades de Programas y Campañas de Prevención para la Subdirección de Gestión del Riesgo._SGR"/>
  </r>
  <r>
    <n v="20260368"/>
    <s v="Prestar servicios profesionales en las actividades de Programas y Campañas de Prevención para la Subdirección de Gestión del Riesgo._SGR"/>
    <s v="09 - contratación directa"/>
    <s v="TH"/>
    <s v="25 - contrato de prestacion de servicios profesionales"/>
    <s v="ENERO"/>
    <n v="10"/>
    <n v="0"/>
    <n v="6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68-TH-8173-1-Prestar servicios profesionales en las actividades de Programas y Campañas de Prevención para la Subdirección de Gestión del Riesgo._SGR"/>
  </r>
  <r>
    <n v="20260369"/>
    <s v="Prestar servicios profesionales en las actividades de Programas y Campañas de Prevención para la Subdirección de Gestión del Riesgo._SGR"/>
    <s v="09 - contratación directa"/>
    <s v="TH"/>
    <s v="25 - contrato de prestacion de servicios profesionales"/>
    <s v="ENERO"/>
    <n v="10"/>
    <n v="0"/>
    <n v="6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69-TH-8173-1-Prestar servicios profesionales en las actividades de Programas y Campañas de Prevención para la Subdirección de Gestión del Riesgo._SGR"/>
  </r>
  <r>
    <n v="20260370"/>
    <s v="Prestar servicios de apoyo en las actividades de Programas y Campañas de Prevención para la Subdirección de Gestión del Riesgo. _SGR"/>
    <s v="09 - contratación directa"/>
    <s v="TH"/>
    <s v="25 - contrato de prestacion de servicios profesionales"/>
    <s v="ENERO"/>
    <n v="10"/>
    <n v="0"/>
    <n v="4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70-TH-8173-1-Prestar servicios de apoyo en las actividades de Programas y Campañas de Prevención para la Subdirección de Gestión del Riesgo. _SGR"/>
  </r>
  <r>
    <n v="20260371"/>
    <s v="Prestar servicios de apoyo en las actividades de Programas y Campañas de Prevención para la Subdirección de Gestión del Riesgo. _SGR"/>
    <s v="09 - contratación directa"/>
    <s v="TH"/>
    <s v="25 - contrato de prestacion de servicios profesionales"/>
    <s v="ENERO"/>
    <n v="10"/>
    <n v="0"/>
    <n v="375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71-TH-8173-1-Prestar servicios de apoyo en las actividades de Programas y Campañas de Prevención para la Subdirección de Gestión del Riesgo. _SGR"/>
  </r>
  <r>
    <n v="20260372"/>
    <s v="Prestar servicios apoyo técnico para el desarrollo de los contenidos graficos, piezas comunicativa y de imagen institucional para la Subdirección de Gestión del riesgo._SGR"/>
    <s v="09 - contratación directa"/>
    <s v="TH"/>
    <s v="25 - contrato de prestacion de servicios profesionales"/>
    <s v="ENERO"/>
    <n v="10"/>
    <n v="0"/>
    <n v="38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72-TH-8173-1-Prestar servicios apoyo técnico para el desarrollo de los contenidos graficos, piezas comunicativa y de imagen institucional para la Subdirección de Gestión del riesgo._SGR"/>
  </r>
  <r>
    <n v="20260373"/>
    <s v="Prestar servicios profesionales  liderando los procesos de formacion y capacitacion de la subdirección de gestión del riesgo._SGR"/>
    <s v="09 - contratación directa"/>
    <s v="TH"/>
    <s v="25 - contrato de prestacion de servicios profesionales"/>
    <s v="ENERO"/>
    <n v="8"/>
    <n v="0"/>
    <n v="64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73-TH-8173-1-Prestar servicios profesionales  liderando los procesos de formacion y capacitacion de la subdirección de gestión del riesgo._SGR"/>
  </r>
  <r>
    <n v="20260374"/>
    <s v="Prestar servicios profesionales en los procesos de formacion y capacitacion de la subdirección de gestión del riesgo._SGR"/>
    <s v="09 - contratación directa"/>
    <s v="TH"/>
    <s v="25 - contrato de prestacion de servicios profesionales"/>
    <s v="ENERO"/>
    <n v="10"/>
    <n v="0"/>
    <n v="7000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374-TH-8173-1-Prestar servicios profesionales en los procesos de formacion y capacitacion de la subdirección de gestión del riesgo._SGR"/>
  </r>
  <r>
    <n v="20260375"/>
    <s v="Prestar servicios profesionales liderando las actividades de identificacion y caracterizacion  de escenarios  de riesgos a cargo de la Subdirección de Gestión del Riesgo._SGR"/>
    <s v="09 - contratación directa"/>
    <s v="TH"/>
    <s v="25 - contrato de prestacion de servicios profesionales"/>
    <s v="ENERO"/>
    <n v="10"/>
    <n v="0"/>
    <n v="70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75-TH-8173-5-Prestar servicios profesionales liderando las actividades de identificacion y caracterizacion  de escenarios  de riesgos a cargo de la Subdirección de Gestión del Riesgo._SGR"/>
  </r>
  <r>
    <n v="20260376"/>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76-TH-8173-5-Prestar servicios profesionales en las actividades de identificacion y caracterizacion  de escenarios  de riesgos a cargo de la Subdirección de Gestión del Riesgo._SGR"/>
  </r>
  <r>
    <n v="20260377"/>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77-TH-8173-5-Prestar servicios profesionales en las actividades de identificacion y caracterizacion  de escenarios  de riesgos a cargo de la Subdirección de Gestión del Riesgo._SGR"/>
  </r>
  <r>
    <n v="20260378"/>
    <s v="Prestar servicios profesionales en las actividades de identificacion y caracterizacion  de escenarios  de riesgos a cargo de la Subdirección de Gestión del Riesgo._SGR"/>
    <s v="09 - contratación directa"/>
    <s v="TH"/>
    <s v="25 - contrato de prestacion de servicios profesionales"/>
    <s v="ENERO"/>
    <n v="10"/>
    <n v="0"/>
    <n v="55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78-TH-8173-5-Prestar servicios profesionales en las actividades de identificacion y caracterizacion  de escenarios  de riesgos a cargo de la Subdirección de Gestión del Riesgo._SGR"/>
  </r>
  <r>
    <n v="20260379"/>
    <s v="prestar servicios profesionales liderando las actividades de monitoreo del riesgo de la subdirecion  de gestión del riesgo_SGR"/>
    <s v="09 - contratación directa"/>
    <s v="TH"/>
    <s v="25 - contrato de prestacion de servicios profesionales"/>
    <s v="ENERO"/>
    <n v="8"/>
    <n v="0"/>
    <n v="72800000"/>
    <s v="NO"/>
    <x v="8"/>
    <s v="William Tovar Segura"/>
    <x v="2"/>
    <s v="Subdirector@ de Gestión del Riesgo"/>
    <s v="1-100-I087 VA-Sobretasa Bomberil"/>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79-TH-8173-6-prestar servicios profesionales liderando las actividades de monitoreo del riesgo de la subdirecion  de gestión del riesgo_SGR"/>
  </r>
  <r>
    <n v="20260380"/>
    <s v="Prestar servicios profesionales en las actividades de monitoreo del riesgo para la Subdirección de Gestión del Riesgo._SGR"/>
    <s v="09 - contratación directa"/>
    <s v="TH"/>
    <s v="25 - contrato de prestacion de servicios profesionales"/>
    <s v="ENERO"/>
    <n v="10"/>
    <n v="0"/>
    <n v="55000000"/>
    <s v="NO"/>
    <x v="8"/>
    <s v="William Tovar Segura"/>
    <x v="2"/>
    <s v="Subdirector@ de Gestión del Riesgo"/>
    <s v="1-100-I087 VA-Sobretasa Bomberil"/>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0-TH-8173-6-Prestar servicios profesionales en las actividades de monitoreo del riesgo para la Subdirección de Gestión del Riesgo._SGR"/>
  </r>
  <r>
    <n v="20260381"/>
    <s v="Prestar servicios profesionales en las actividades de monitoreo del riesgo para la Subdirección de Gestión del Riesgo._SGR"/>
    <s v="09 - contratación directa"/>
    <s v="TH"/>
    <s v="25 - contrato de prestacion de servicios profesionales"/>
    <s v="ENERO"/>
    <n v="10"/>
    <n v="0"/>
    <n v="60000000"/>
    <s v="NO"/>
    <x v="8"/>
    <s v="William Tovar Segura"/>
    <x v="2"/>
    <s v="Subdirector@ de Gestión del Riesgo"/>
    <s v="1-100-I087 VA-Sobretasa Bomberil"/>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1-TH-8173-6-Prestar servicios profesionales en las actividades de monitoreo del riesgo para la Subdirección de Gestión del Riesgo._SGR"/>
  </r>
  <r>
    <n v="20260382"/>
    <s v="Prestar servicios  de apoyo en las actividades de monitoreo del riesgo para la Subdirección de Gestión del Riesgo._SGR"/>
    <s v="09 - contratación directa"/>
    <s v="TH"/>
    <s v="26 - contrato de prestacion de servicios de apoyo a la gestion"/>
    <s v="ENERO"/>
    <n v="10"/>
    <n v="0"/>
    <n v="40000000"/>
    <s v="NO"/>
    <x v="8"/>
    <s v="William Tovar Segura"/>
    <x v="2"/>
    <s v="Subdirector@ de Gestión del Riesgo"/>
    <s v="1-100-I087 VA-Sobretasa Bomberil"/>
    <n v="80111600"/>
    <s v="8173 6-Implementar un sistema de monitoreo y seguimiento a incidentes y emergencias para Bogotá, incluyendo cerros orientales"/>
    <s v="8173"/>
    <s v="6"/>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2-TH-8173-6-Prestar servicios  de apoyo en las actividades de monitoreo del riesgo para la Subdirección de Gestión del Riesgo._SGR"/>
  </r>
  <r>
    <n v="20260383"/>
    <s v="Prestar  servicios profesionales  liderando las actividades de proyeccion e innovacion para la Subdirección de Gestión del Riesgo._SGR"/>
    <s v="09 - contratación directa"/>
    <s v="TH"/>
    <s v="25 - contrato de prestacion de servicios profesionales"/>
    <s v="ENERO"/>
    <n v="8"/>
    <n v="0"/>
    <n v="728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3-TH-8173-5-Prestar  servicios profesionales  liderando las actividades de proyeccion e innovacion para la Subdirección de Gestión del Riesgo._SGR"/>
  </r>
  <r>
    <n v="20260384"/>
    <s v="Prestar  servicios profesionales  en las actividades de proyeccion e innovacion para la Subdirección de Gestión del Riesgo._SGR"/>
    <s v="09 - contratación directa"/>
    <s v="TH"/>
    <s v="25 - contrato de prestacion de servicios profesionales"/>
    <s v="ENERO"/>
    <n v="10"/>
    <n v="0"/>
    <n v="80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4-TH-8173-5-Prestar  servicios profesionales  en las actividades de proyeccion e innovacion para la Subdirección de Gestión del Riesgo._SGR"/>
  </r>
  <r>
    <n v="20260385"/>
    <s v="Prestar  servicios profesionales  en las actividades de proyeccion e innovacion para la Subdirección de Gestión del Riesgo._SGR"/>
    <s v="09 - contratación directa"/>
    <s v="TH"/>
    <s v="25 - contrato de prestacion de servicios profesionales"/>
    <s v="ENERO"/>
    <n v="8"/>
    <n v="0"/>
    <n v="48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5-TH-8173-5-Prestar  servicios profesionales  en las actividades de proyeccion e innovacion para la Subdirección de Gestión del Riesgo._SGR"/>
  </r>
  <r>
    <n v="20260386"/>
    <s v="Prestar  servicios profesionales  en las actividades de proyeccion e innovacion para la Subdirección de Gestión del Riesgo._SGR"/>
    <s v="09 - contratación directa"/>
    <s v="TH"/>
    <s v="25 - contrato de prestacion de servicios profesionales"/>
    <s v="ENERO"/>
    <n v="6"/>
    <n v="0"/>
    <n v="54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386-TH-8173-5-Prestar  servicios profesionales  en las actividades de proyeccion e innovacion para la Subdirección de Gestión del Riesgo._SGR"/>
  </r>
  <r>
    <n v="20260387"/>
    <s v="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s v="10 - licitacion publica"/>
    <s v="BS"/>
    <s v="11 - orden de prestacion de servicios"/>
    <s v="JUNIO "/>
    <n v="8"/>
    <n v="0"/>
    <n v="817611040"/>
    <s v="NO"/>
    <x v="8"/>
    <s v="William Tovar Segura"/>
    <x v="2"/>
    <s v="Subdirector@ de Gestión del Riesgo"/>
    <s v="1-100-I087 VA-Sobretasa Bomberil"/>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22"/>
    <s v="Si Secop "/>
    <s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
  </r>
  <r>
    <n v="20260388"/>
    <s v="Adquisición de suministros y elementos de identificación institucional para el fortalecimiento de los procesos misionales de la Subdirección de Gestión del Riesgo_SGR"/>
    <s v="06 - contrato de compraventa"/>
    <s v="BS"/>
    <s v="06 - contrato de compraventa"/>
    <s v="MARZO"/>
    <n v="3"/>
    <n v="0"/>
    <n v="50000000"/>
    <s v="NO"/>
    <x v="8"/>
    <s v="William Tovar Segura"/>
    <x v="2"/>
    <s v="Subdirector@ de Gestión del Riesgo"/>
    <s v="1-100-I087 VA-Sobretasa Bomberil"/>
    <s v="60121200;60121000;60121500;_x000a_6012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23"/>
    <s v="Si Secop "/>
    <s v="20260388-BS-8173-1-Adquisición de suministros y elementos de identificación institucional para el fortalecimiento de los procesos misionales de la Subdirección de Gestión del Riesgo_SGR"/>
  </r>
  <r>
    <n v="20260389"/>
    <s v="Adquisición de materiales y elementos especializados para el desarrollo de actividades de reduccion del riesgo adelantados por la Subdirección de Gestión del Riesgo_SGR"/>
    <s v="06 - contrato de compraventa"/>
    <s v="BS"/>
    <s v="06 - contrato de compraventa"/>
    <s v="MARZO"/>
    <n v="3"/>
    <n v="0"/>
    <n v="50000000"/>
    <s v="NO"/>
    <x v="8"/>
    <s v="William Tovar Segura"/>
    <x v="2"/>
    <s v="Subdirector@ de Gestión del Riesgo"/>
    <s v="1-100-I087 VA-Sobretasa Bomberil"/>
    <s v="42301500;46191500;462010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24"/>
    <s v="Si Secop "/>
    <s v="20260389-BS-8173-1-Adquisición de materiales y elementos especializados para el desarrollo de actividades de reduccion del riesgo adelantados por la Subdirección de Gestión del Riesgo_SGR"/>
  </r>
  <r>
    <n v="20260390"/>
    <s v="Adquisición de insumos y materias primas para la producción de materiales impresos en artes gráficas_ SGR."/>
    <s v="06 - contrato de compraventa"/>
    <s v="BS"/>
    <s v="08 - contrato de suministro"/>
    <s v="MARZO"/>
    <n v="3"/>
    <n v="0"/>
    <n v="50000000"/>
    <s v="NO"/>
    <x v="8"/>
    <s v="William Tovar Segura"/>
    <x v="2"/>
    <s v="Subdirector@ de Gestión del Riesgo"/>
    <s v="1-100-I087 VA-Sobretasa Bomberil"/>
    <n v="1411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25"/>
    <s v="Si Secop "/>
    <s v="20260390-BS-8173-1-Adquisición de insumos y materias primas para la producción de materiales impresos en artes gráficas_ SGR."/>
  </r>
  <r>
    <n v="20260391"/>
    <s v="Adquisición de elementos y equipos necesarios para fortalecer las capacidades técnicas y operativas de los equipos especializados de la subdirecion de gestion del riesgo_SGR."/>
    <s v="06 - contrato de compraventa"/>
    <s v="BS"/>
    <s v="06 - contrato de compraventa"/>
    <s v="MARZO"/>
    <n v="3"/>
    <n v="0"/>
    <n v="50000000"/>
    <s v="NO"/>
    <x v="8"/>
    <s v="William Tovar Segura"/>
    <x v="2"/>
    <s v="Subdirector@ de Gestión del Riesgo"/>
    <s v="1-100-I087 VA-Sobretasa Bomberil"/>
    <s v="53103100;53102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16"/>
    <s v="Si Secop "/>
    <s v="20260391-BS-8173-1-Adquisición de elementos y equipos necesarios para fortalecer las capacidades técnicas y operativas de los equipos especializados de la subdirecion de gestion del riesgo_SGR."/>
  </r>
  <r>
    <n v="20260392"/>
    <s v="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ENERO"/>
    <n v="12"/>
    <n v="0"/>
    <n v="1447882000"/>
    <s v="SI"/>
    <x v="9"/>
    <s v="Fatima Veronica Quintero Nuñez"/>
    <x v="0"/>
    <s v="Subdirector@ de Gestión Corporativa"/>
    <s v="1-100-I087 VA-Sobretasa Bomberil"/>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6"/>
    <s v="Si Secop "/>
    <s v="20260392-BS-8126-8-Prestar el servicio de vigilancia y seguridad privada en la modalidad de vigilancia fija, según especificaciones técnicas, en las instalaciones donde la UAE Especial Cuerpo Oficial de Bomberos requiera-SGC"/>
  </r>
  <r>
    <n v="20260393"/>
    <s v="Construcción de la estación de bomberos Caobos Salazar  B13 - de la UAE Cuerpo Oficial de Bomberos de Bogotá – SGC"/>
    <s v="01 - licitación pública"/>
    <s v="BS"/>
    <s v="05 - contrato de obra"/>
    <s v="ENERO"/>
    <n v="18"/>
    <n v="0"/>
    <n v="4336206000"/>
    <s v="SI"/>
    <x v="9"/>
    <s v="Fatima Veronica Quintero Nuñez"/>
    <x v="2"/>
    <s v="Subdirector@ de Gestión del Riesgo"/>
    <s v="1-100-F039-VA-Crédito"/>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393-BS-8173-7-Construcción de la estación de bomberos Caobos Salazar  B13 - de la UAE Cuerpo Oficial de Bomberos de Bogotá – SGC"/>
  </r>
  <r>
    <n v="20260394"/>
    <s v="Interventoría técnica, administrativa, financiera, contable, jurídica y ambiental para la elaboración de estudios y diseños técnicos para la construcción de la estación de bomberos Caobos Salazar  B13- de la UAE Cuerpo Oficial de Bomberos de Bogotá – SGC"/>
    <s v="06 - concurso de méritos abierto"/>
    <s v="BS"/>
    <s v="14 - contrato de interventoria"/>
    <s v="ENERO"/>
    <n v="18"/>
    <n v="0"/>
    <n v="831592000"/>
    <s v="SI"/>
    <x v="9"/>
    <s v="Fatima Veronica Quintero Nuñez"/>
    <x v="2"/>
    <s v="Subdirector@ de Gestión del Riesgo"/>
    <s v="1-100-F039-VA-Crédito"/>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394-BS-8173-7-Interventoría técnica, administrativa, financiera, contable, jurídica y ambiental para la elaboración de estudios y diseños técnicos para la construcción de la estación de bomberos Caobos Salazar  B13- de la UAE Cuerpo Oficial de Bomberos de Bogotá – SGC"/>
  </r>
  <r>
    <n v="20260395"/>
    <s v="Prestación de servicios profesionales para apoyar a la supervisión con las actividades técnicas del Área de Infraestructura de la Subdirección de Gestión Corporativa-SGC"/>
    <s v="09 - contratación directa"/>
    <s v="TH"/>
    <s v="25 - contrato de prestacion de servicios profesionales"/>
    <s v="ENERO"/>
    <n v="11"/>
    <n v="0"/>
    <n v="81104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395-TH-8173-7-Prestación de servicios profesionales para apoyar a la supervisión con las actividades técnicas del Área de Infraestructura de la Subdirección de Gestión Corporativa-SGC"/>
  </r>
  <r>
    <n v="20260396"/>
    <s v="Prestación de servicios profesionales para apoyar las actividades de estructuración de procesos contractuales del Área de Infraestructura de la Subdirección de Gestión Corporativa-SGC"/>
    <s v="09 - contratación directa"/>
    <s v="TH"/>
    <s v="25 - contrato de prestacion de servicios profesionales"/>
    <s v="ENERO"/>
    <n v="11"/>
    <n v="0"/>
    <n v="99000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396-TH-8173-7-Prestación de servicios profesionales para apoyar las actividades de estructuración de procesos contractuales del Área de Infraestructura de la Subdirección de Gestión Corporativa-SGC"/>
  </r>
  <r>
    <n v="20260397"/>
    <s v="Prestar los servicios profesionales en las actividades asociadas del área de infraestructura que contribuyan para la implementación de procesos y procedimientos para la adecuada prestación del servicio-SGC."/>
    <s v="09 - contratación directa"/>
    <s v="TH"/>
    <s v="25 - contrato de prestacion de servicios profesionales"/>
    <s v="ENERO"/>
    <n v="11"/>
    <n v="0"/>
    <n v="56772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397-TH-8126-8-Prestar los servicios profesionales en las actividades asociadas del área de infraestructura que contribuyan para la implementación de procesos y procedimientos para la adecuada prestación del servicio-SGC."/>
  </r>
  <r>
    <n v="20260398"/>
    <s v="Prestar los servicios profesionales para el acompañamiento y el seguimiento de los comodatos y demás actividades relacionadas con los procesos y procedimientos de inventarios de la Subdireccion de Gestión Corporativa-SGC"/>
    <s v="09 - contratación directa"/>
    <s v="TH"/>
    <s v="25 - contrato de prestacion de servicios profesionales"/>
    <s v="ENERO"/>
    <n v="10"/>
    <n v="0"/>
    <n v="7000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398-TH-8126-9-Prestar los servicios profesionales para el acompañamiento y el seguimiento de los comodatos y demás actividades relacionadas con los procesos y procedimientos de inventarios de la Subdireccion de Gestión Corporativa-SGC"/>
  </r>
  <r>
    <n v="20260399"/>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399-TH-8126-9-Prestación de servicios de apoyo a la gestión en la ejecución de los planes y programas de servicio al ciudadano a cargo de la Subdirección de Gestión Corporativa.-SGC"/>
  </r>
  <r>
    <n v="20260400"/>
    <s v="Prestación de servicios profesionales para articular la gestión en la ejecución de los planes y programas de servicio al ciudadano a cargo de la Subdirección de Gestión Corporativa.-SGC"/>
    <s v="09 - contratación directa"/>
    <s v="TH"/>
    <s v="25 - contrato de prestacion de servicios profesionales"/>
    <s v="ENERO"/>
    <n v="11"/>
    <n v="0"/>
    <n v="100272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0-TH-8126-9-Prestación de servicios profesionales para articular la gestión en la ejecución de los planes y programas de servicio al ciudadano a cargo de la Subdirección de Gestión Corporativa.-SGC"/>
  </r>
  <r>
    <n v="20260401"/>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1-TH-8126-9-Prestación de servicios de apoyo a la gestión en la ejecución de los planes y programas de servicio al ciudadano a cargo de la Subdirección de Gestión Corporativa.-SGC"/>
  </r>
  <r>
    <n v="20260402"/>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2-TH-8126-9-Prestación de servicios de apoyo a la gestión en la ejecución de los planes y programas de servicio al ciudadano a cargo de la Subdirección de Gestión Corporativa.-SGC"/>
  </r>
  <r>
    <n v="20260403"/>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3-TH-8126-9-Prestación de servicios de apoyo a la gestión en la ejecución de los planes y programas de servicio al ciudadano a cargo de la Subdirección de Gestión Corporativa.-SGC"/>
  </r>
  <r>
    <n v="20260404"/>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4-TH-8126-9-Prestación de servicios de apoyo a la gestión en la ejecución de los planes y programas de servicio al ciudadano a cargo de la Subdirección de Gestión Corporativa.-SGC"/>
  </r>
  <r>
    <n v="20260405"/>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5-TH-8126-9-Prestación de servicios de apoyo a la gestión en la ejecución de los planes y programas de servicio al ciudadano a cargo de la Subdirección de Gestión Corporativa.-SGC"/>
  </r>
  <r>
    <n v="20260406"/>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6-TH-8126-9-Prestación de servicios de apoyo a la gestión en la ejecución de los planes y programas de servicio al ciudadano a cargo de la Subdirección de Gestión Corporativa.-SGC"/>
  </r>
  <r>
    <n v="20260407"/>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7-TH-8126-9-Prestación de servicios de apoyo a la gestión en la ejecución de los planes y programas de servicio al ciudadano a cargo de la Subdirección de Gestión Corporativa.-SGC"/>
  </r>
  <r>
    <n v="20260408"/>
    <s v="Prestación de servicios profesionales en la Subdirección de Gestión Corporativa adelantando las actividades necesarias para la ejecución del programa y los procesos de seguros de la Entidad-SGC"/>
    <s v="09 - contratación directa"/>
    <s v="TH"/>
    <s v="25 - contrato de prestacion de servicios profesionales"/>
    <s v="ENERO"/>
    <n v="11"/>
    <n v="0"/>
    <n v="8800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8-TH-8126-9-Prestación de servicios profesionales en la Subdirección de Gestión Corporativa adelantando las actividades necesarias para la ejecución del programa y los procesos de seguros de la Entidad-SGC"/>
  </r>
  <r>
    <n v="20260409"/>
    <s v="Prestación de servicios de apoyo en la gestión de seguros de la Subdirección de Gestión Corporativa. –SGC"/>
    <s v="09 - contratación directa"/>
    <s v="TH"/>
    <s v="26 - contrato de prestacion de servicios de apoyo a la gestion"/>
    <s v="ENERO"/>
    <n v="11"/>
    <n v="0"/>
    <n v="47187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09-TH-8126-9-Prestación de servicios de apoyo en la gestión de seguros de la Subdirección de Gestión Corporativa. –SGC"/>
  </r>
  <r>
    <n v="20260410"/>
    <s v="Prestación de servicios profesionales para apoyar a la Subdirección de Gestión Corporativa aplicando los procesos y procedimientos de seguros e inventarios -SGC"/>
    <s v="09 - contratación directa"/>
    <s v="TH"/>
    <s v="25 - contrato de prestacion de servicios profesionales"/>
    <s v="ENERO"/>
    <n v="11"/>
    <n v="0"/>
    <n v="56772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0-TH-8126-9-Prestación de servicios profesionales para apoyar a la Subdirección de Gestión Corporativa aplicando los procesos y procedimientos de seguros e inventarios -SGC"/>
  </r>
  <r>
    <n v="20260411"/>
    <s v="Prestación de servicios de apoyo a la gestión de seguros de la Subdirección de Gestión Corporativa. –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1-TH-8126-9-Prestación de servicios de apoyo a la gestión de seguros de la Subdirección de Gestión Corporativa. –SGC"/>
  </r>
  <r>
    <n v="20260412"/>
    <s v="Prestación de servicios profesionales en la Subdirección de Gestión Corporativa en las actividades relacionadas con MIPG-SGC"/>
    <s v="09 - contratación directa"/>
    <s v="TH"/>
    <s v="25 - contrato de prestacion de servicios profesionales"/>
    <s v="ENERO"/>
    <n v="4"/>
    <n v="0"/>
    <n v="29491924"/>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2-TH-8126-9-Prestación de servicios profesionales en la Subdirección de Gestión Corporativa en las actividades relacionadas con MIPG-SGC"/>
  </r>
  <r>
    <n v="20260414"/>
    <s v="Prestación de servicios de apoyo a la gestión del proceso de inventarios de la Subdirección de Gestión Corporativa.-SGC"/>
    <s v="09 - contratación directa"/>
    <s v="TH"/>
    <s v="26 - contrato de prestacion de servicios de apoyo a la gestion"/>
    <s v="ENERO"/>
    <n v="11"/>
    <n v="0"/>
    <n v="30966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4-TH-8126-9-Prestación de servicios de apoyo a la gestión del proceso de inventarios de la Subdirección de Gestión Corporativa.-SGC"/>
  </r>
  <r>
    <n v="20260415"/>
    <s v="Prestación de servicios de apoyo a la gestión del proceso de inventarios de la Subdirección de Gestión Corporativa.-SGC"/>
    <s v="09 - contratación directa"/>
    <s v="TH"/>
    <s v="26 - contrato de prestacion de servicios de apoyo a la gestion"/>
    <s v="ENERO"/>
    <n v="11"/>
    <n v="0"/>
    <n v="30966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5-TH-8126-9-Prestación de servicios de apoyo a la gestión del proceso de inventarios de la Subdirección de Gestión Corporativa.-SGC"/>
  </r>
  <r>
    <n v="20260416"/>
    <s v="Prestación de servicios de apoyo a la gestión del proceso de inventarios de la Subdirección de Gestión Corporativa.-SGC"/>
    <s v="09 - contratación directa"/>
    <s v="TH"/>
    <s v="26 - contrato de prestacion de servicios de apoyo a la gestion"/>
    <s v="ENERO"/>
    <n v="11"/>
    <n v="0"/>
    <n v="30966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6-TH-8126-9-Prestación de servicios de apoyo a la gestión del proceso de inventarios de la Subdirección de Gestión Corporativa.-SGC"/>
  </r>
  <r>
    <n v="20260417"/>
    <s v="Prestar servicios profesionales en la Subdirección de Gestión Corporativa en lo relacionado con los procesos de inventarios, almacén y bajas-SGC"/>
    <s v="09 - contratación directa"/>
    <s v="TH"/>
    <s v="25 - contrato de prestacion de servicios profesionales"/>
    <s v="ENERO"/>
    <n v="11"/>
    <n v="0"/>
    <n v="102034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7-TH-8126-9-Prestar servicios profesionales en la Subdirección de Gestión Corporativa en lo relacionado con los procesos de inventarios, almacén y bajas-SGC"/>
  </r>
  <r>
    <n v="20260418"/>
    <s v="Prestar servicios profesionales para desarrollar e implementar sistemas de información, brindar soporte, mantenimiento y generar interoperabilidad con la Subdirección de Gestión Corporativa -SGC"/>
    <s v="09 - contratación directa"/>
    <s v="TH"/>
    <s v="25 - contrato de prestacion de servicios profesionales"/>
    <s v="ENERO"/>
    <n v="11"/>
    <n v="0"/>
    <n v="8239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8-TH-8126-9-Prestar servicios profesionales para desarrollar e implementar sistemas de información, brindar soporte, mantenimiento y generar interoperabilidad con la Subdirección de Gestión Corporativa -SGC"/>
  </r>
  <r>
    <n v="20260419"/>
    <s v="Prestación de servicios profesionales para la ejecución de los procesos contables que se desarrollan en el Área Financiera de la UAE Cuerpo Oficial de Bomberos asignados. -SGC"/>
    <s v="09 - contratación directa"/>
    <s v="TH"/>
    <s v="25 - contrato de prestacion de servicios profesionales"/>
    <s v="ENERO"/>
    <n v="11"/>
    <n v="0"/>
    <n v="75204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19-TH-8126-9-Prestación de servicios profesionales para la ejecución de los procesos contables que se desarrollan en el Área Financiera de la UAE Cuerpo Oficial de Bomberos asignados. -SGC"/>
  </r>
  <r>
    <n v="20260420"/>
    <s v="Prestación de servicios de apoyo a la gestión documental de la Subdirección de Gestión Corporativa de la Unidad.-SGC."/>
    <s v="09 - contratación directa"/>
    <s v="TH"/>
    <s v="26 - contrato de prestacion de servicios de apoyo a la gestion"/>
    <s v="ENERO"/>
    <n v="11"/>
    <n v="0"/>
    <n v="30966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0-TH-8126-9-Prestación de servicios de apoyo a la gestión documental de la Subdirección de Gestión Corporativa de la Unidad.-SGC."/>
  </r>
  <r>
    <n v="20260422"/>
    <s v="Prestación de servicios de apoyo a la gestión documental de la Subdirección de Gestión Corporativa de la Unidad.-SGC"/>
    <s v="09 - contratación directa"/>
    <s v="TH"/>
    <s v="26 - contrato de prestacion de servicios de apoyo a la gestion"/>
    <s v="ENERO"/>
    <n v="11"/>
    <n v="0"/>
    <n v="40551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2-TH-8126-9-Prestación de servicios de apoyo a la gestión documental de la Subdirección de Gestión Corporativa de la Unidad.-SGC"/>
  </r>
  <r>
    <n v="20260423"/>
    <s v="Prestación de servicios de apoyo a la gestión documental de la Subdirección de Gestión Corporativa de la Unidad.-SGC"/>
    <s v="09 - contratación directa"/>
    <s v="TH"/>
    <s v="26 - contrato de prestacion de servicios de apoyo a la gestion"/>
    <s v="ENERO"/>
    <n v="11"/>
    <n v="0"/>
    <n v="30966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3-TH-8126-9-Prestación de servicios de apoyo a la gestión documental de la Subdirección de Gestión Corporativa de la Unidad.-SGC"/>
  </r>
  <r>
    <n v="20260424"/>
    <s v="Prestación de servicios de apoyo a la gestión documental de la Subdirección de Gestión Corporativa de la Unidad.-SGC"/>
    <s v="09 - contratación directa"/>
    <s v="TH"/>
    <s v="26 - contrato de prestacion de servicios de apoyo a la gestion"/>
    <s v="ENERO"/>
    <n v="11"/>
    <n v="0"/>
    <n v="3410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4-TH-8126-9-Prestación de servicios de apoyo a la gestión documental de la Subdirección de Gestión Corporativa de la Unidad.-SGC"/>
  </r>
  <r>
    <n v="20260425"/>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6"/>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427"/>
    <s v="Prestar los servicios profesionales para la gestión administrativa y operativa de la Subdirección de Gestión Corporativa en el proceso de adquisición de bienes y servicios - SGC"/>
    <s v="09 - contratación directa"/>
    <s v="TH"/>
    <s v="25 - contrato de prestacion de servicios profesionales"/>
    <s v="ENERO"/>
    <n v="11"/>
    <n v="0"/>
    <n v="75204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7-TH-8126-9-Prestar los servicios profesionales para la gestión administrativa y operativa de la Subdirección de Gestión Corporativa en el proceso de adquisición de bienes y servicios - SGC"/>
  </r>
  <r>
    <n v="20260428"/>
    <s v="Prestar los servicios como conductor de la Subdirección de Gestión Corporativa -SGC"/>
    <s v="09 - contratación directa"/>
    <s v="TH"/>
    <s v="26 - contrato de prestacion de servicios de apoyo a la gestion"/>
    <s v="ENERO"/>
    <n v="11"/>
    <n v="0"/>
    <n v="3806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8-TH-8126-9-Prestar los servicios como conductor de la Subdirección de Gestión Corporativa -SGC"/>
  </r>
  <r>
    <n v="20260429"/>
    <s v="Prestar servicios profesionales en la Subdirección de Gestión Corporativa en el marco de las actividades administrativas de la Dependencia.-SGC"/>
    <s v="09 - contratación directa"/>
    <s v="TH"/>
    <s v="25 - contrato de prestacion de servicios profesionales"/>
    <s v="ENERO"/>
    <n v="11"/>
    <n v="0"/>
    <n v="75204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29-TH-8126-9-Prestar servicios profesionales en la Subdirección de Gestión Corporativa en el marco de las actividades administrativas de la Dependencia.-SGC"/>
  </r>
  <r>
    <n v="20260430"/>
    <s v="Prestación de servicios profesionales para apoyar las actividades de estructuración de procesos contractuales del Área de Infraestructura de la Subdirección de Gestión Corporativa-SGC"/>
    <s v="09 - contratación directa"/>
    <s v="TH"/>
    <s v="25 - contrato de prestacion de servicios profesionales"/>
    <s v="ENERO"/>
    <n v="11"/>
    <n v="0"/>
    <n v="99000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30-TH-8173-7-Prestación de servicios profesionales para apoyar las actividades de estructuración de procesos contractuales del Área de Infraestructura de la Subdirección de Gestión Corporativa-SGC"/>
  </r>
  <r>
    <n v="20260431"/>
    <s v="Prestar servicios profesionales para realizar acompañamiento juridico en la elaboración de los procesos contractuales adelantados por la Subdirección Gestión Corporativa -SGC"/>
    <s v="09 - contratación directa"/>
    <s v="TH"/>
    <s v="25 - contrato de prestacion de servicios profesionales"/>
    <s v="ENERO"/>
    <n v="11"/>
    <n v="0"/>
    <n v="81103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31-TH-8173-7-Prestar servicios profesionales para realizar acompañamiento juridico en la elaboración de los procesos contractuales adelantados por la Subdirección Gestión Corporativa -SGC"/>
  </r>
  <r>
    <n v="20260432"/>
    <s v="Prestación de servicios profesionales para adelantar actividades técnicas y trámites administrativos del Área de Infraestructura de la Subdirección de Gestión Corporativa-SGC"/>
    <s v="09 - contratación directa"/>
    <s v="TH"/>
    <s v="25 - contrato de prestacion de servicios profesionales"/>
    <s v="ENERO"/>
    <n v="11"/>
    <n v="0"/>
    <n v="81103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2-TH-8126-8-Prestación de servicios profesionales para adelantar actividades técnicas y trámites administrativos del Área de Infraestructura de la Subdirección de Gestión Corporativa-SGC"/>
  </r>
  <r>
    <n v="20260433"/>
    <s v="Prestación de servicios profesionales especializados para articular y revisar los procesos y procedimientos del área de infraestructura, así como en el apoyo a la supervisión de los contratos que le sean asignados-SGC"/>
    <s v="09 - contratación directa"/>
    <s v="TH"/>
    <s v="25 - contrato de prestacion de servicios profesionales"/>
    <s v="ENERO"/>
    <n v="11"/>
    <n v="0"/>
    <n v="99000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3-TH-8126-8-Prestación de servicios profesionales especializados para articular y revisar los procesos y procedimientos del área de infraestructura, así como en el apoyo a la supervisión de los contratos que le sean asignados-SGC"/>
  </r>
  <r>
    <n v="20260434"/>
    <s v="Prestación de Servicios Profesionales para la formulación, seguimiento y ejecución de procesos presupuestales y financieros a cargo del área de infraestructura de la Subdirección de Gestión Corporativa -SGC"/>
    <s v="09 - contratación directa"/>
    <s v="TH"/>
    <s v="25 - contrato de prestacion de servicios profesionales"/>
    <s v="ENERO"/>
    <n v="11"/>
    <n v="0"/>
    <n v="102035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34-TH-8173-7-Prestación de Servicios Profesionales para la formulación, seguimiento y ejecución de procesos presupuestales y financieros a cargo del área de infraestructura de la Subdirección de Gestión Corporativa -SGC"/>
  </r>
  <r>
    <n v="20260435"/>
    <s v="Prestación de servicios profesionales para atender las necesidades de mantenimiento de las instalaciones y las actividades técnicas y administrativas de competencia del Área de Infraestructura de la Subdirección de Gestión Corporativa-SGC"/>
    <s v="09 - contratación directa"/>
    <s v="TH"/>
    <s v="25 - contrato de prestacion de servicios profesionales"/>
    <s v="ENERO"/>
    <n v="11"/>
    <n v="0"/>
    <n v="75204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5-TH-8126-8-Prestación de servicios profesionales para atender las necesidades de mantenimiento de las instalaciones y las actividades técnicas y administrativas de competencia del Área de Infraestructura de la Subdirección de Gestión Corporativa-SGC"/>
  </r>
  <r>
    <n v="20260436"/>
    <s v="Prestación de Servicios Profesionales en temas financieros, administrativas y misionales para apoyar los proyectos de infraestructura de la Subdirección de Gestión Corporativa.- SGC"/>
    <s v="09 - contratación directa"/>
    <s v="TH"/>
    <s v="25 - contrato de prestacion de servicios profesionales"/>
    <s v="ENERO"/>
    <n v="11"/>
    <n v="0"/>
    <n v="75204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6-TH-8126-8-Prestación de Servicios Profesionales en temas financieros, administrativas y misionales para apoyar los proyectos de infraestructura de la Subdirección de Gestión Corporativa.- SGC"/>
  </r>
  <r>
    <n v="20260437"/>
    <s v="Prestar servicios profesionales especializados para acompañar jurídicamente los procesos y procedimientos del área de infraestructura de la Subdirección de Gestión Corporativa. SGC"/>
    <s v="09 - contratación directa"/>
    <s v="TH"/>
    <s v="25 - contrato de prestacion de servicios profesionales"/>
    <s v="ENERO"/>
    <n v="11"/>
    <n v="0"/>
    <n v="102034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7-TH-8126-8-Prestar servicios profesionales especializados para acompañar jurídicamente los procesos y procedimientos del área de infraestructura de la Subdirección de Gestión Corporativa. SGC"/>
  </r>
  <r>
    <n v="20260438"/>
    <s v="Prestación de servicios profesionales para apoyar las actividades técnicas del Área de Infraestructura de la Subdirección de Gestión Corporativa-SGC"/>
    <s v="09 - contratación directa"/>
    <s v="TH"/>
    <s v="25 - contrato de prestacion de servicios profesionales"/>
    <s v="ENERO"/>
    <n v="11"/>
    <n v="0"/>
    <n v="81103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8-TH-8126-8-Prestación de servicios profesionales para apoyar las actividades técnicas del Área de Infraestructura de la Subdirección de Gestión Corporativa-SGC"/>
  </r>
  <r>
    <n v="20260439"/>
    <s v="Prestar servicios profesionales con el fin de atender los trámites ambientales y los demás que requiera el área de Infraestructura de la Subdirección de Gestión Corporativa. SGC"/>
    <s v="09 - contratación directa"/>
    <s v="TH"/>
    <s v="25 - contrato de prestacion de servicios profesionales"/>
    <s v="ENERO"/>
    <n v="10"/>
    <n v="0"/>
    <n v="51611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39-TH-8126-8-Prestar servicios profesionales con el fin de atender los trámites ambientales y los demás que requiera el área de Infraestructura de la Subdirección de Gestión Corporativa. SGC"/>
  </r>
  <r>
    <n v="20260440"/>
    <s v="Prestar los servicios como conductor del  Area de Infraestructura a fin de atender las actividades propias asociadas al mantenimiento de las sedes de UAECOB de la Subdirección de Gestión Corporativa -SGC"/>
    <s v="09 - contratación directa"/>
    <s v="TH"/>
    <s v="26 - contrato de prestacion de servicios de apoyo a la gestion"/>
    <s v="ENERO"/>
    <n v="11"/>
    <n v="0"/>
    <n v="38060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0-TH-8126-8-Prestar los servicios como conductor del  Area de Infraestructura a fin de atender las actividades propias asociadas al mantenimiento de las sedes de UAECOB de la Subdirección de Gestión Corporativa -SGC"/>
  </r>
  <r>
    <n v="2026044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1-TH-8126-8-Prestación de servicios de apoyo a la gestión, en la Subdirección de Gestión Corporativa en temas de infraestructura para el sostenimiento y mejoramiento de los equipamientos de la Unidad Administrativa Especial Cuerpo Oficial de Bomberos de Bogotá-SGC"/>
  </r>
  <r>
    <n v="20260442"/>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2-TH-8126-8-Prestación de servicios de apoyo a la gestión, en la Subdirección de Gestión Corporativa en temas de infraestructura para el sostenimiento y mejoramiento de los equipamientos de la Unidad Administrativa Especial Cuerpo Oficial de Bomberos de Bogotá-SGC"/>
  </r>
  <r>
    <n v="2026044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3-TH-8126-8-Prestación de servicios de apoyo a la gestión, en la Subdirección de Gestión Corporativa en temas de infraestructura para el sostenimiento y mejoramiento de los equipamientos de la Unidad Administrativa Especial Cuerpo Oficial de Bomberos de Bogotá-SGC"/>
  </r>
  <r>
    <n v="2026044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4-TH-8126-8-Prestación de servicios de apoyo a la gestión, en la Subdirección de Gestión Corporativa en temas de infraestructura para el sostenimiento y mejoramiento de los equipamientos de la Unidad Administrativa Especial Cuerpo Oficial de Bomberos de Bogotá-SGC"/>
  </r>
  <r>
    <n v="20260445"/>
    <s v="Prestación de servicios profesionales al área Financiera de la Subdirección de Gestión Corporativa--SGC"/>
    <s v="09 - contratación directa"/>
    <s v="TH"/>
    <s v="25 - contrato de prestacion de servicios profesionales"/>
    <s v="ENERO"/>
    <n v="11"/>
    <n v="0"/>
    <n v="66357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5-TH-8126-9-Prestación de servicios profesionales al área Financiera de la Subdirección de Gestión Corporativa--SGC"/>
  </r>
  <r>
    <n v="20260446"/>
    <s v="Prestación de servicios profesionales al área Financiera de la Subdirección de Gestión Corporativa--SGC"/>
    <s v="09 - contratación directa"/>
    <s v="TH"/>
    <s v="25 - contrato de prestacion de servicios profesionales"/>
    <s v="ENERO"/>
    <n v="11"/>
    <n v="0"/>
    <n v="66357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6-TH-8126-9-Prestación de servicios profesionales al área Financiera de la Subdirección de Gestión Corporativa--SGC"/>
  </r>
  <r>
    <n v="20260447"/>
    <s v="Prestación de servicios de apoyo a la gestión del área Financiera de la Subdirección de Gestión Corporativa.-SGC"/>
    <s v="09 - contratación directa"/>
    <s v="TH"/>
    <s v="26 - contrato de prestacion de servicios de apoyo a la gestion"/>
    <s v="ENERO"/>
    <n v="11"/>
    <n v="0"/>
    <n v="49399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7-TH-8126-9-Prestación de servicios de apoyo a la gestión del área Financiera de la Subdirección de Gestión Corporativa.-SGC"/>
  </r>
  <r>
    <n v="20260448"/>
    <s v="Prestación de servicios profesionales para el seguimiento, ejecución de los procesos de gestión de pagos que se desarrollan en el área Financiera de la UAE Cuerpo Oficial de Bomberos asignados. -SGC"/>
    <s v="09 - contratación directa"/>
    <s v="TH"/>
    <s v="25 - contrato de prestacion de servicios profesionales"/>
    <s v="ENERO"/>
    <n v="11"/>
    <n v="0"/>
    <n v="66357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8-TH-8126-9-Prestación de servicios profesionales para el seguimiento, ejecución de los procesos de gestión de pagos que se desarrollan en el área Financiera de la UAE Cuerpo Oficial de Bomberos asignados. -SGC"/>
  </r>
  <r>
    <n v="20260449"/>
    <s v="Prestación de servicios profesionales especializados para apoyar las actividades de seguimiento técnico del Área de Infraestructura de la Subdirección de Gestión Corporativa-SGC"/>
    <s v="09 - contratación directa"/>
    <s v="TH"/>
    <s v="25 - contrato de prestacion de servicios profesionales"/>
    <s v="ENERO"/>
    <n v="11"/>
    <n v="0"/>
    <n v="102034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49-TH-8126-8-Prestación de servicios profesionales especializados para apoyar las actividades de seguimiento técnico del Área de Infraestructura de la Subdirección de Gestión Corporativa-SGC"/>
  </r>
  <r>
    <n v="2026045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0-TH-8126-8-Prestación de servicios de apoyo a la gestión, en la Subdirección de Gestión Corporativa en temas de infraestructura para el sostenimiento y mejoramiento de los equipamientos de la Unidad Administrativa Especial Cuerpo Oficial de Bomberos de Bogotá-SGC"/>
  </r>
  <r>
    <n v="20260451"/>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1-TH-8126-8-Prestación de servicios de apoyo a la gestión, en la Subdirección de Gestión Corporativa en temas de infraestructura para el sostenimiento y mejoramiento de los equipamientos de la Unidad Administrativa Especial Cuerpo Oficial de Bomberos de Bogotá-SGC"/>
  </r>
  <r>
    <n v="20260452"/>
    <s v="Prestación de servicios profesionales en la proyección y el seguimiento financiero a los proyectos del área de infraestructura de la Subdirección de Gestión Corporativa -SGC"/>
    <s v="09 - contratación directa"/>
    <s v="TH"/>
    <s v="25 - contrato de prestacion de servicios profesionales"/>
    <s v="ENERO"/>
    <n v="11"/>
    <n v="0"/>
    <n v="57200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52-TH-8173-7-Prestación de servicios profesionales en la proyección y el seguimiento financiero a los proyectos del área de infraestructura de la Subdirección de Gestión Corporativa -SGC"/>
  </r>
  <r>
    <n v="20260453"/>
    <s v="Prestación de servicios profesionales con el fin de gestionar trámites de carácter técnico, administrativo y operativamente en el desarrollo de los proyectos de inversión  de la entidad-SGC"/>
    <s v="09 - contratación directa"/>
    <s v="TH"/>
    <s v="25 - contrato de prestacion de servicios profesionales"/>
    <s v="ENERO"/>
    <n v="10"/>
    <n v="0"/>
    <n v="60324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53-TH-8173-7-Prestación de servicios profesionales con el fin de gestionar trámites de carácter técnico, administrativo y operativamente en el desarrollo de los proyectos de inversión  de la entidad-SGC"/>
  </r>
  <r>
    <n v="20260454"/>
    <s v="Prestar servicios profesionales para realizar acompañamiento juridico en la elaboración de los procesos contractuales adelantados por la Subdirección Gestión Corporativa -SGC"/>
    <s v="09 - contratación directa"/>
    <s v="TH"/>
    <s v="25 - contrato de prestacion de servicios profesionales"/>
    <s v="ENERO"/>
    <n v="11"/>
    <n v="0"/>
    <n v="81103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4-TH-8126-9-Prestar servicios profesionales para realizar acompañamiento juridico en la elaboración de los procesos contractuales adelantados por la Subdirección Gestión Corporativa -SGC"/>
  </r>
  <r>
    <n v="20260455"/>
    <s v="Prestación de servicios profesionales especializados para articular y revisar los procesos y procedimientos del área de infraestructura, así como en el apoyo a la supervisión de los contratos que le sean asignados-SGC"/>
    <s v="09 - contratación directa"/>
    <s v="TH"/>
    <s v="25 - contrato de prestacion de servicios profesionales"/>
    <s v="ENERO"/>
    <n v="11"/>
    <n v="0"/>
    <n v="99000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55-TH-8173-7-Prestación de servicios profesionales especializados para articular y revisar los procesos y procedimientos del área de infraestructura, así como en el apoyo a la supervisión de los contratos que le sean asignados-SGC"/>
  </r>
  <r>
    <n v="20260456"/>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0"/>
    <n v="0"/>
    <n v="32843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6-TH-8126-8-Prestación de servicios de apoyo a la gestión, en la Subdirección de Gestión Corporativa en temas de infraestructura para el sostenimiento y mejoramiento de los equipamientos de la Unidad Administrativa Especial Cuerpo Oficial de Bomberos de Bogotá-SGC"/>
  </r>
  <r>
    <n v="20260457"/>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7-TH-8126-8-Prestación de servicios de apoyo a la gestión, en la Subdirección de Gestión Corporativa en temas de infraestructura para el sostenimiento y mejoramiento de los equipamientos de la Unidad Administrativa Especial Cuerpo Oficial de Bomberos de Bogotá-SGC"/>
  </r>
  <r>
    <n v="20260458"/>
    <s v="Prestación de servicios profesionales especializados para articular y revisar los procesos y procedimientos de la gestión administrativa a cargo de la Subdirección de Gestión Corporativa.- SGC"/>
    <s v="09 - contratación directa"/>
    <s v="TH"/>
    <s v="25 - contrato de prestacion de servicios profesionales"/>
    <s v="ENERO"/>
    <n v="11"/>
    <n v="0"/>
    <n v="102034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8-TH-8126-9-Prestación de servicios profesionales especializados para articular y revisar los procesos y procedimientos de la gestión administrativa a cargo de la Subdirección de Gestión Corporativa.- SGC"/>
  </r>
  <r>
    <n v="20260459"/>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09 - contratación directa"/>
    <s v="TH"/>
    <s v="25 - contrato de prestacion de servicios profesionales"/>
    <s v="ENERO"/>
    <n v="10"/>
    <n v="0"/>
    <n v="7373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
  <r>
    <n v="20260460"/>
    <s v="Prestar los servicios profesionales especializados para acompañar las actividades jurídicas relacionadas con la gestión contractual en las etapas precontractual, contractual y postcontractual del área administrativa de la Subdirección de Gestión Corporativa -SGC"/>
    <s v="09 - contratación directa"/>
    <s v="TH"/>
    <s v="25 - contrato de prestacion de servicios profesionales"/>
    <s v="ENERO"/>
    <n v="11"/>
    <n v="0"/>
    <n v="102034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
  </r>
  <r>
    <n v="20260461"/>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09 - contratación directa"/>
    <s v="TH"/>
    <s v="26 - contrato de prestacion de servicios de apoyo a la gestion"/>
    <s v="ENERO"/>
    <n v="10"/>
    <n v="0"/>
    <n v="42897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r>
  <r>
    <n v="20260462"/>
    <s v="Prestación de servicios profesionales especializados para apoyar las actividades técnicas y gestión predial del Área de Infraestructura de la Subdirección de Gestión Corporativa-SGC"/>
    <s v="09 - contratación directa"/>
    <s v="TH"/>
    <s v="25 - contrato de prestacion de servicios profesionales"/>
    <s v="ENERO"/>
    <n v="11"/>
    <n v="0"/>
    <n v="100272000"/>
    <s v="NO"/>
    <x v="9"/>
    <s v="Fatima Veronica Quintero Nuñez"/>
    <x v="2"/>
    <s v="Subdirector@ de Gestión del Riesgo"/>
    <s v="1-100-I087 VA-Sobretasa Bomberil"/>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s v="PM/0131/0114/45030150255"/>
    <x v="0"/>
    <s v="Si Secop "/>
    <s v="20260462-TH-8173-8-Prestación de servicios profesionales especializados para apoyar las actividades técnicas y gestión predial del Área de Infraestructura de la Subdirección de Gestión Corporativa-SGC"/>
  </r>
  <r>
    <n v="20260463"/>
    <s v="Prestación de servicios de apoyo en las actividades asociadas a los procesos de almacén de la Subdirección de Gestión Corporativa 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3-TH-8126-9-Prestación de servicios de apoyo en las actividades asociadas a los procesos de almacén de la Subdirección de Gestión Corporativa SGC"/>
  </r>
  <r>
    <n v="20260464"/>
    <s v="Prestación de servicios profesionales para atender las actividades financieras, a cargo de la Subdirección de Gestión Corporativa-SGC"/>
    <s v="09 - contratación directa"/>
    <s v="TH"/>
    <s v="25 - contrato de prestacion de servicios profesionales"/>
    <s v="ENERO"/>
    <n v="10"/>
    <n v="0"/>
    <n v="60324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4-TH-8126-9-Prestación de servicios profesionales para atender las actividades financieras, a cargo de la Subdirección de Gestión Corporativa-SGC"/>
  </r>
  <r>
    <n v="20260465"/>
    <s v="Prestación de servicios de apoyo a la gestión de los procesos contractuales en la plataforma SECOP II a cargo de la Subdirección de Gestión Corporativa-SGC"/>
    <s v="09 - contratación directa"/>
    <s v="TH"/>
    <s v="26 - contrato de prestacion de servicios de apoyo a la gestion"/>
    <s v="ENERO"/>
    <n v="11"/>
    <n v="0"/>
    <n v="47187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5-TH-8126-9-Prestación de servicios de apoyo a la gestión de los procesos contractuales en la plataforma SECOP II a cargo de la Subdirección de Gestión Corporativa-SGC"/>
  </r>
  <r>
    <n v="20260466"/>
    <s v="Prestación de servicios profesionales en el marco de las actividades administrativas de la Subdirección de Gestión Corporativa--SGC"/>
    <s v="09 - contratación directa"/>
    <s v="TH"/>
    <s v="25 - contrato de prestacion de servicios profesionales"/>
    <s v="ENERO"/>
    <n v="10"/>
    <n v="0"/>
    <n v="7373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6-TH-8126-9-Prestación de servicios profesionales en el marco de las actividades administrativas de la Subdirección de Gestión Corporativa--SGC"/>
  </r>
  <r>
    <n v="20260467"/>
    <s v="Prestar los servicios profesionales de la gestión administrativa, así como la adquisición de bienes y servicios de la Subdirección de Gestión Corporativa  SGC"/>
    <s v="09 - contratación directa"/>
    <s v="TH"/>
    <s v="25 - contrato de prestacion de servicios profesionales"/>
    <s v="ENERO"/>
    <n v="11"/>
    <n v="0"/>
    <n v="56772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67-TH-8126-9-Prestar los servicios profesionales de la gestión administrativa, así como la adquisición de bienes y servicios de la Subdirección de Gestión Corporativa  SGC"/>
  </r>
  <r>
    <n v="20260468"/>
    <s v="Prestar servicios profesionales para realizar acompañamiento en los procesos contractuales adelantados por la Subdirección Gestión Corporativa -SGC"/>
    <s v="09 - contratación directa"/>
    <s v="TH"/>
    <s v="25 - contrato de prestacion de servicios profesionales"/>
    <s v="ENERO"/>
    <n v="11"/>
    <n v="0"/>
    <n v="75204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68-TH-8173-7-Prestar servicios profesionales para realizar acompañamiento en los procesos contractuales adelantados por la Subdirección Gestión Corporativa -SGC"/>
  </r>
  <r>
    <n v="20260469"/>
    <s v="Prestar los servicios profesionales jurídicos para apoyar las actividades propias, en procesos prediales que contribuyan al desarrollo de la infraestructura requerida por la entidad para la adecuada prestación del servicio-SGC"/>
    <s v="09 - contratación directa"/>
    <s v="TH"/>
    <s v="25 - contrato de prestacion de servicios profesionales"/>
    <s v="ENERO"/>
    <n v="11"/>
    <n v="0"/>
    <n v="75204000"/>
    <s v="NO"/>
    <x v="9"/>
    <s v="Fatima Veronica Quintero Nuñez"/>
    <x v="2"/>
    <s v="Subdirector@ de Gestión del Riesgo"/>
    <s v="1-100-I087 VA-Sobretasa Bomberil"/>
    <s v="801116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s v="PM/0131/0114/45030150255"/>
    <x v="0"/>
    <s v="Si Secop "/>
    <s v="20260469-TH-8173-8-Prestar los servicios profesionales jurídicos para apoyar las actividades propias, en procesos prediales que contribuyan al desarrollo de la infraestructura requerida por la entidad para la adecuada prestación del servicio-SGC"/>
  </r>
  <r>
    <n v="20260470"/>
    <s v="Prestar los servicios profesionales técnicos para apoyar las actividades propias que contribuyan al desarrollo de la infraestructura requerida por la entidad para la adecuada prestación del servicio-SGC"/>
    <s v="09 - contratación directa"/>
    <s v="TH"/>
    <s v="25 - contrato de prestacion de servicios profesionales"/>
    <s v="ENERO"/>
    <n v="11"/>
    <n v="0"/>
    <n v="75204000"/>
    <s v="NO"/>
    <x v="9"/>
    <s v="Fatima Veronica Quintero Nuñez"/>
    <x v="2"/>
    <s v="Subdirector@ de Gestión del Riesgo"/>
    <s v="1-100-I087 VA-Sobretasa Bomberil"/>
    <s v="80111600;"/>
    <s v="8173 10-Realizar 2 documentos de lineamientos técnicos para la construcción de estaciones de bomberos"/>
    <s v="8173"/>
    <s v="1"/>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s v="PM/0131/0108/45030310255"/>
    <x v="0"/>
    <s v="Si Secop "/>
    <s v="20260470-TH-8173-1-Prestar los servicios profesionales técnicos para apoyar las actividades propias que contribuyan al desarrollo de la infraestructura requerida por la entidad para la adecuada prestación del servicio-SGC"/>
  </r>
  <r>
    <n v="20260471"/>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s v="TH"/>
    <s v="25 - contrato de prestacion de servicios profesionales"/>
    <s v="ENERO"/>
    <n v="11"/>
    <n v="0"/>
    <n v="66357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72"/>
    <s v="Prestar servicios profesionales como ingeniero mecanico para apoyar las actividades propias que contribuyan al desarrollo de la infraestructura requerida por la entidad para la adecuada prestación del servicio-SGC"/>
    <s v="09 - contratación directa"/>
    <s v="TH"/>
    <s v="25 - contrato de prestacion de servicios profesionales"/>
    <s v="ENERO"/>
    <n v="11"/>
    <n v="0"/>
    <n v="8250000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472-TH-8173-7-Prestar servicios profesionales como ingeniero mecanico para apoyar las actividades propias que contribuyan al desarrollo de la infraestructura requerida por la entidad para la adecuada prestación del servicio-SGC"/>
  </r>
  <r>
    <n v="20260473"/>
    <s v="Prestación de servicios de apoyo a la gestión del proceso de inventarios de la Subdirección de Gestión Corporativa.-SGC"/>
    <s v="09 - contratación directa"/>
    <s v="TH"/>
    <s v="26 - contrato de prestacion de servicios de apoyo a la gestion"/>
    <s v="ENERO"/>
    <n v="11"/>
    <n v="0"/>
    <n v="30966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3-TH-8126-9-Prestación de servicios de apoyo a la gestión del proceso de inventarios de la Subdirección de Gestión Corporativa.-SGC"/>
  </r>
  <r>
    <n v="20260474"/>
    <s v="Prestación de servicios de apoyo a la gestión del proceso de inventarios de la Subdirección de Gestión Corporativa.-SGC"/>
    <s v="09 - contratación directa"/>
    <s v="TH"/>
    <s v="26 - contrato de prestacion de servicios de apoyo a la gestion"/>
    <s v="ENERO"/>
    <n v="10"/>
    <n v="0"/>
    <n v="28151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4-TH-8126-9-Prestación de servicios de apoyo a la gestión del proceso de inventarios de la Subdirección de Gestión Corporativa.-SGC"/>
  </r>
  <r>
    <n v="20260475"/>
    <s v="Prestación de servicios de apoyo a la gestión documental de la Subdirección de Gestión Corporativa de la Unidad.-SGC"/>
    <s v="09 - contratación directa"/>
    <s v="TH"/>
    <s v="26 - contrato de prestacion de servicios de apoyo a la gestion"/>
    <s v="ENERO"/>
    <n v="11"/>
    <n v="0"/>
    <n v="30966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5-TH-8126-9-Prestación de servicios de apoyo a la gestión documental de la Subdirección de Gestión Corporativa de la Unidad.-SGC"/>
  </r>
  <r>
    <n v="20260476"/>
    <s v="Prestación de servicios de apoyo a la gestión documental de la Subdirección de Gestión Corporativa de la Unidad.-SGC"/>
    <s v="09 - contratación directa"/>
    <s v="TH"/>
    <s v="26 - contrato de prestacion de servicios de apoyo a la gestion"/>
    <s v="ENERO"/>
    <n v="11"/>
    <n v="0"/>
    <n v="42026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6-TH-8126-9-Prestación de servicios de apoyo a la gestión documental de la Subdirección de Gestión Corporativa de la Unidad.-SGC"/>
  </r>
  <r>
    <n v="20260477"/>
    <s v="Prestación de servicios de apoyo en las actividades asociadas a los procesos de gestión de inventarios de la Subdirección de Gestión Corporativa.-SGC"/>
    <s v="09 - contratación directa"/>
    <s v="TH"/>
    <s v="26 - contrato de prestacion de servicios de apoyo a la gestion"/>
    <s v="ENERO"/>
    <n v="11"/>
    <n v="0"/>
    <n v="30967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7-TH-8126-9-Prestación de servicios de apoyo en las actividades asociadas a los procesos de gestión de inventarios de la Subdirección de Gestión Corporativa.-SGC"/>
  </r>
  <r>
    <n v="20260478"/>
    <s v="Prestación de servicios de apoyo técnico en la gestión documental de la Subdirección de Gestión Corporativa de la Unidad-SGC"/>
    <s v="09 - contratación directa"/>
    <s v="TH"/>
    <s v="26 - contrato de prestacion de servicios de apoyo a la gestion"/>
    <s v="ENERO"/>
    <n v="11"/>
    <n v="0"/>
    <n v="47187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8-TH-8126-9-Prestación de servicios de apoyo técnico en la gestión documental de la Subdirección de Gestión Corporativa de la Unidad-SGC"/>
  </r>
  <r>
    <n v="20260479"/>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79-TH-8126-9-Prestación de servicios de apoyo a la gestión en la ejecución de los planes y programas de servicio al ciudadano a cargo de la Subdirección de Gestión Corporativa.-SGC"/>
  </r>
  <r>
    <n v="20260480"/>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0-TH-8126-9-Prestación de servicios de apoyo a la gestión en la ejecución de los planes y programas de servicio al ciudadano a cargo de la Subdirección de Gestión Corporativa.-SGC"/>
  </r>
  <r>
    <n v="20260481"/>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1-TH-8126-9-Prestación de servicios de apoyo a la gestión en la ejecución de los planes y programas de servicio al ciudadano a cargo de la Subdirección de Gestión Corporativa.-SGC"/>
  </r>
  <r>
    <n v="20260482"/>
    <s v="Prestación de servicios de apoyo a la gestión en la ejecución de los planes y programas de servicio al ciudadano a cargo de la Subdirección de Gestión Corporativa.-SGC"/>
    <s v="09 - contratación directa"/>
    <s v="TH"/>
    <s v="26 - contrato de prestacion de servicios de apoyo a la gestion"/>
    <s v="ENERO"/>
    <n v="11"/>
    <n v="0"/>
    <n v="36128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2-TH-8126-9-Prestación de servicios de apoyo a la gestión en la ejecución de los planes y programas de servicio al ciudadano a cargo de la Subdirección de Gestión Corporativa.-SGC"/>
  </r>
  <r>
    <n v="20260483"/>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3-TH-8126-8-Prestación de servicios de apoyo a la gestión, en la Subdirección de Gestión Corporativa en temas de infraestructura para el sostenimiento y mejoramiento de los equipamientos de la Unidad Administrativa Especial Cuerpo Oficial de Bomberos de Bogotá-SGC"/>
  </r>
  <r>
    <n v="20260484"/>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4-TH-8126-8-Prestación de servicios de apoyo a la gestión, en la Subdirección de Gestión Corporativa en temas de infraestructura para el sostenimiento y mejoramiento de los equipamientos de la Unidad Administrativa Especial Cuerpo Oficial de Bomberos de Bogotá-SGC"/>
  </r>
  <r>
    <n v="20260485"/>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11"/>
    <n v="0"/>
    <n v="36128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5-TH-8126-8-Prestación de servicios de apoyo a la gestión, en la Subdirección de Gestión Corporativa en temas de infraestructura para el sostenimiento y mejoramiento de los equipamientos de la Unidad Administrativa Especial Cuerpo Oficial de Bomberos de Bogotá-SGC"/>
  </r>
  <r>
    <n v="20260486"/>
    <s v="Prestar los servicios profesionales para el acompañamiento y seguimiento de los planes y proyectos del area de inventarios de la Subdireccion de Gestión Corporativa-SGC"/>
    <s v="09 - contratación directa"/>
    <s v="TH"/>
    <s v="25 - contrato de prestacion de servicios profesionales"/>
    <s v="ENERO"/>
    <n v="11"/>
    <n v="0"/>
    <n v="100273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6-TH-8126-9-Prestar los servicios profesionales para el acompañamiento y seguimiento de los planes y proyectos del area de inventarios de la Subdireccion de Gestión Corporativa-SGC"/>
  </r>
  <r>
    <n v="20260487"/>
    <s v="Prestar los servicios profesionales en el area de inventarios de la Subdireccion de Gestión Corporativa-SGC"/>
    <s v="09 - contratación directa"/>
    <s v="TH"/>
    <s v="25 - contrato de prestacion de servicios profesionales"/>
    <s v="ENERO"/>
    <n v="11"/>
    <n v="0"/>
    <n v="56772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7-TH-8126-9-Prestar los servicios profesionales en el area de inventarios de la Subdireccion de Gestión Corporativa-SGC"/>
  </r>
  <r>
    <n v="20260488"/>
    <s v="Prestación de servicios de apoyo en las actividades asociadas a los procesos administrativo de la Subdirección de Gestión Corporativa- SGC"/>
    <s v="09 - contratación directa"/>
    <s v="TH"/>
    <s v="26 - contrato de prestacion de servicios de apoyo a la gestion"/>
    <s v="ENERO"/>
    <n v="10"/>
    <n v="0"/>
    <n v="38205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8-TH-8126-9-Prestación de servicios de apoyo en las actividades asociadas a los procesos administrativo de la Subdirección de Gestión Corporativa- SGC"/>
  </r>
  <r>
    <n v="20260489"/>
    <s v="Prestar los servicios profesionales para el acompañamiento y seguimiento de los planes y proyectos del grupo del almacén de la Subdireccion de Gestión Corporativa-SGC"/>
    <s v="09 - contratación directa"/>
    <s v="TH"/>
    <s v="25 - contrato de prestacion de servicios profesionales"/>
    <s v="ENERO"/>
    <n v="11"/>
    <n v="0"/>
    <n v="7700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89-TH-8126-9-Prestar los servicios profesionales para el acompañamiento y seguimiento de los planes y proyectos del grupo del almacén de la Subdireccion de Gestión Corporativa-SGC"/>
  </r>
  <r>
    <n v="20260490"/>
    <s v="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s v="09 - contratación directa"/>
    <s v="TH"/>
    <s v="25 - contrato de prestacion de servicios profesionales"/>
    <s v="ENERO"/>
    <n v="11"/>
    <n v="0"/>
    <n v="56772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
  </r>
  <r>
    <n v="20260491"/>
    <s v="Prestación de servicios profesionales en el acompañamiento y asistencia al proceso de gestión documental de la UAE Cuerpo oficial de Bomberos. -SGC"/>
    <s v="09 - contratación directa"/>
    <s v="TH"/>
    <s v="25 - contrato de prestacion de servicios profesionales"/>
    <s v="ENERO"/>
    <n v="6"/>
    <n v="0"/>
    <n v="42000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91-TH-8126-9-Prestación de servicios profesionales en el acompañamiento y asistencia al proceso de gestión documental de la UAE Cuerpo oficial de Bomberos. -SGC"/>
  </r>
  <r>
    <n v="20260492"/>
    <s v="Prestación de servicios profesionales especializados para desarrollar las actividades técnicas y administrativas del Área de Infraestructura de la Subdirección de Gestión Corporativa-SGC."/>
    <s v="09 - contratación directa"/>
    <s v="TH"/>
    <s v="25 - contrato de prestacion de servicios profesionales"/>
    <s v="ENERO"/>
    <n v="11"/>
    <n v="0"/>
    <n v="77000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92-TH-8126-8-Prestación de servicios profesionales especializados para desarrollar las actividades técnicas y administrativas del Área de Infraestructura de la Subdirección de Gestión Corporativa-SGC."/>
  </r>
  <r>
    <n v="20260493"/>
    <s v="Prestación de servicios profesionales especializados para desarrollar las actividades técnicas y administrativas del Área de Infraestructura de la Subdirección de Gestión Corporativa-SGC"/>
    <s v="09 - contratación directa"/>
    <s v="TH"/>
    <s v="25 - contrato de prestacion de servicios profesionales"/>
    <s v="ENERO"/>
    <n v="11"/>
    <n v="0"/>
    <n v="77000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93-TH-8126-8-Prestación de servicios profesionales especializados para desarrollar las actividades técnicas y administrativas del Área de Infraestructura de la Subdirección de Gestión Corporativa-SGC"/>
  </r>
  <r>
    <n v="20260494"/>
    <s v="Prestar servicios profesionales especializados como ingeniero electrónico para apoyar las actividades propias que contribuyan al desarrollo de la infraestructura requerida por la entidad para la adecuada prestación del servicio-SGC"/>
    <s v="09 - contratación directa"/>
    <s v="TH"/>
    <s v="25 - contrato de prestacion de servicios profesionales"/>
    <s v="ENERO"/>
    <n v="6"/>
    <n v="0"/>
    <n v="42000000"/>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494-TH-8126-8-Prestar servicios profesionales especializados como ingeniero electrónico para apoyar las actividades propias que contribuyan al desarrollo de la infraestructura requerida por la entidad para la adecuada prestación del servicio-SGC"/>
  </r>
  <r>
    <n v="20260495"/>
    <s v="Contratar la prestación del servicio de aseo y cafetería incluido insumos para la Unidad Administrativa Especial Cuerpo Oficial de Bomberos Bogotá -SGC"/>
    <s v="17 - acuerdo marco de precios"/>
    <s v="BS"/>
    <s v="03 - contrato de prestacion de servicios"/>
    <s v="FEBRERO"/>
    <n v="12"/>
    <n v="0"/>
    <n v="355000000"/>
    <s v="NO"/>
    <x v="9"/>
    <s v="Fatima Veronica Quintero Nuñez"/>
    <x v="0"/>
    <s v="Subdirector@ de Gestión Corporativa"/>
    <s v="1-100-I087 VA-Sobretasa Bomberil"/>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Si Secop "/>
    <s v="20260495-BS-8126-8-Contratar la prestación del servicio de aseo y cafetería incluido insumos para la Unidad Administrativa Especial Cuerpo Oficial de Bomberos Bogotá -SGC"/>
  </r>
  <r>
    <n v="20260496"/>
    <s v="Suministro y mantenimiento de equipos de higienización, desodorización y aromatización  para la Unidad Administrativa Especial Cuerpo Oficial de Bomberos Bogotá -SGC"/>
    <s v="04 - contratación mínima cuantía"/>
    <s v="BS"/>
    <s v="08 - contrato de suministro"/>
    <s v="MAYO"/>
    <n v="8"/>
    <n v="0"/>
    <n v="25000000"/>
    <s v="NO"/>
    <x v="9"/>
    <s v="Fatima Veronica Quintero Nuñez"/>
    <x v="0"/>
    <s v="Subdirector@ de Gestión Corporativa"/>
    <s v="1-100-I087 VA-Sobretasa Bomberil"/>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Si Secop "/>
    <s v="20260496-BS-8126-8-Suministro y mantenimiento de equipos de higienización, desodorización y aromatización  para la Unidad Administrativa Especial Cuerpo Oficial de Bomberos Bogotá -SGC"/>
  </r>
  <r>
    <n v="20260497"/>
    <s v="Mantenimiento preventivo y/o correctivo, y suministros de repuestos de los equipos gasodomésticos y solares y adecuaciones de las redes de gas natural para las Estaciones de la Unidad Administrativa Especial Cuerpo Oficial de Bomberos Bogotá -SGC"/>
    <s v="02 - selec. abrev. menor cuantía"/>
    <s v="BS"/>
    <s v="17 - contrato de mantenimiento"/>
    <s v="MAYO"/>
    <n v="8"/>
    <n v="0"/>
    <n v="50000000"/>
    <s v="NO"/>
    <x v="9"/>
    <s v="Fatima Veronica Quintero Nuñez"/>
    <x v="0"/>
    <s v="Subdirector@ de Gestión Corporativa"/>
    <s v="1-100-I087 VA-Sobretasa Bomberil"/>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6"/>
    <s v="Si Secop "/>
    <s v="20260497-BS-8126-8-Mantenimiento preventivo y/o correctivo, y suministros de repuestos de los equipos gasodomésticos y solares y adecuaciones de las redes de gas natural para las Estaciones de la Unidad Administrativa Especial Cuerpo Oficial de Bomberos Bogotá -SGC"/>
  </r>
  <r>
    <n v="20260498"/>
    <s v="Mantenimiento preventivo y/o correctivo, y suministro de repuestos de los equipos de gimnasio de las diferentes instalaciones a cargo de la Unidad Administrativa Especial Cuerpo Oficial de Bomberos Bogotá -SGC"/>
    <s v="02 - selec. abrev. menor cuantía"/>
    <s v="BS"/>
    <s v="17 - contrato de mantenimiento"/>
    <s v="MAYO"/>
    <n v="8"/>
    <n v="0"/>
    <n v="50000000"/>
    <s v="NO"/>
    <x v="9"/>
    <s v="Fatima Veronica Quintero Nuñez"/>
    <x v="0"/>
    <s v="Subdirector@ de Gestión Corporativa"/>
    <s v="1-100-I087 VA-Sobretasa Bomberil"/>
    <n v="721518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6"/>
    <s v="Si Secop "/>
    <s v="20260498-BS-8126-8-Mantenimiento preventivo y/o correctivo, y suministro de repuestos de los equipos de gimnasio de las diferentes instalaciones a cargo de la Unidad Administrativa Especial Cuerpo Oficial de Bomberos Bogotá -SGC"/>
  </r>
  <r>
    <n v="20260499"/>
    <s v="Suministro  de muebles, enseres y demàs elementos requeridos para la Unidad Administrativa Especial Cuerpo Oficial de Bomberos Bogotá -SGC"/>
    <s v="03 - selec. abrev. subasta inversa"/>
    <s v="BS"/>
    <s v="22 - contrato de adquisicion de bienes"/>
    <s v="MAYO"/>
    <n v="4"/>
    <n v="0"/>
    <n v="670000000"/>
    <s v="NO"/>
    <x v="9"/>
    <s v="Fatima Veronica Quintero Nuñez"/>
    <x v="2"/>
    <s v="Subdirector@ de Gestión del Riesgo"/>
    <s v="1-100-I087 VA-Sobretasa Bomberil"/>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28"/>
    <s v="Si Secop "/>
    <s v="20260499-BS-8173-1-Suministro  de muebles, enseres y demàs elementos requeridos para la Unidad Administrativa Especial Cuerpo Oficial de Bomberos Bogotá -SGC"/>
  </r>
  <r>
    <n v="20260500"/>
    <s v="Mantenimiento preventivo y/o correctivo, suministros y repuestos de los electrodomésticos de las instalaciones a cargo de la UAE Cuerpo Oficial de Bomberos Bogotá-SGC"/>
    <s v="04 - contratación mínima cuantía"/>
    <s v="BS"/>
    <s v="17 - contrato de mantenimiento"/>
    <s v="MARZO"/>
    <n v="11"/>
    <n v="0"/>
    <n v="20000000"/>
    <s v="NO"/>
    <x v="9"/>
    <s v="Fatima Veronica Quintero Nuñez"/>
    <x v="0"/>
    <s v="Subdirector@ de Gestión Corporativa"/>
    <s v="1-100-I087 VA-Sobretasa Bomberil"/>
    <s v="73152108;"/>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9"/>
    <s v="Si Secop "/>
    <s v="20260500-BS-8126-8-Mantenimiento preventivo y/o correctivo, suministros y repuestos de los electrodomésticos de las instalaciones a cargo de la UAE Cuerpo Oficial de Bomberos Bogotá-SGC"/>
  </r>
  <r>
    <n v="20260501"/>
    <s v="Mantenimiento preventivo y correctivo, que incluye el suministro de insumos y repuestos de las plantas eléctricas ubicadas en los diferentes edificios de la Unidad Administrativa Especial Cuerpo Oficial de Bomberos Bogotá -SGC"/>
    <s v="02 - selec. abrev. menor cuantía"/>
    <s v="BS"/>
    <s v="17 - contrato de mantenimiento"/>
    <s v="MARZO"/>
    <n v="11"/>
    <n v="0"/>
    <n v="120000000"/>
    <s v="NO"/>
    <x v="9"/>
    <s v="Fatima Veronica Quintero Nuñez"/>
    <x v="0"/>
    <s v="Subdirector@ de Gestión Corporativa"/>
    <s v="1-100-I087 VA-Sobretasa Bomberil"/>
    <s v="72151800;_x000a_721515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30"/>
    <s v="Si Secop "/>
    <s v="20260501-BS-8126-8-Mantenimiento preventivo y correctivo, que incluye el suministro de insumos y repuestos de las plantas eléctricas ubicadas en los diferentes edificios de la Unidad Administrativa Especial Cuerpo Oficial de Bomberos Bogotá -SGC"/>
  </r>
  <r>
    <n v="20260502"/>
    <s v="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s v="02 - selec. abrev. menor cuantía"/>
    <s v="BS"/>
    <s v="17 - contrato de mantenimiento"/>
    <s v="MARZO"/>
    <n v="10"/>
    <n v="0"/>
    <n v="180000000"/>
    <s v="NO"/>
    <x v="9"/>
    <s v="Fatima Veronica Quintero Nuñez"/>
    <x v="0"/>
    <s v="Subdirector@ de Gestión Corporativa"/>
    <s v="1-100-I087 VA-Sobretasa Bomberil"/>
    <s v="72154100;_x000a_ 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0"/>
    <s v="Si Secop "/>
    <s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
  </r>
  <r>
    <n v="20260503"/>
    <s v="Mantenimiento preventivo y correctivo de la red contraincendios  y sistemas de detención de alarmas contra incendios de las estaciones de bomberos de la  Unidad Administrativa Especial Cuerpo Oficial de Bomberos Bogotá -SGC"/>
    <s v="02 - selec. abrev. menor cuantía"/>
    <s v="BS"/>
    <s v="17 - contrato de mantenimiento"/>
    <s v="MARZO"/>
    <n v="10"/>
    <n v="0"/>
    <n v="180000000"/>
    <s v="NO"/>
    <x v="9"/>
    <s v="Fatima Veronica Quintero Nuñez"/>
    <x v="0"/>
    <s v="Subdirector@ de Gestión Corporativa"/>
    <s v="1-100-I087 VA-Sobretasa Bomberil"/>
    <s v="72101500; _x000a_92101600; 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31"/>
    <s v="Si Secop "/>
    <s v="20260503-BS-8126-8-Mantenimiento preventivo y correctivo de la red contraincendios  y sistemas de detención de alarmas contra incendios de las estaciones de bomberos de la  Unidad Administrativa Especial Cuerpo Oficial de Bomberos Bogotá -SGC"/>
  </r>
  <r>
    <n v="20260504"/>
    <s v="Suministro de materiales, equipos y herramientas para el mejoramiento integral de las instalaciones para la Unidad Administrativa Especial Cuerpo Oficial de Bomberos Bogotá -SGC"/>
    <s v="17 - acuerdo marco de precios"/>
    <s v="BS"/>
    <s v="08 - contrato de suministro"/>
    <s v="MARZO"/>
    <n v="10"/>
    <n v="0"/>
    <n v="400000000"/>
    <s v="NO"/>
    <x v="9"/>
    <s v="Fatima Veronica Quintero Nuñez"/>
    <x v="0"/>
    <s v="Subdirector@ de Gestión Corporativa"/>
    <s v="1-100-I087 VA-Sobretasa Bomberil"/>
    <s v="23131500;_x000a_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0"/>
    <s v="Si Secop "/>
    <s v="20260504-BS-8126-8-Suministro de materiales, equipos y herramientas para el mejoramiento integral de las instalaciones para la Unidad Administrativa Especial Cuerpo Oficial de Bomberos Bogotá -SGC"/>
  </r>
  <r>
    <n v="20260505"/>
    <s v="Realizar el mantenimiento predictivo, preventivo, correctivo y mejoras a las instalaciones de las dependencias de la Unidad Administrativa Especial Cuerpo Oficial de Bomberos Bogotá -SGC"/>
    <s v="01 - licitación pública"/>
    <s v="BS"/>
    <s v="05 - contrato de obra"/>
    <s v="MARZO"/>
    <n v="10"/>
    <n v="0"/>
    <n v="800472500"/>
    <s v="NO"/>
    <x v="9"/>
    <s v="Fatima Veronica Quintero Nuñez"/>
    <x v="0"/>
    <s v="Subdirector@ de Gestión Corporativa"/>
    <s v="1-100-I087 VA-Sobretasa Bomberil"/>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9"/>
    <s v="Si Secop "/>
    <s v="20260505-BS-8126-8-Realizar el mantenimiento predictivo, preventivo, correctivo y mejoras a las instalaciones de las dependencias de la Unidad Administrativa Especial Cuerpo Oficial de Bomberos Bogotá -SGC"/>
  </r>
  <r>
    <n v="20260506"/>
    <s v="Interventoría técnica, administrativa, financiera, contable, jurídica y ambiental  para la realización del mantenimiento predictivo, preventivo, correctivo y mejoras a las instalaciones de las dependencias de la Unidad Administrativa Especial Cuerpo Oficial de Bomberos Bogotá -SGC"/>
    <s v="06 - concurso de méritos abierto"/>
    <s v="BS"/>
    <s v="14 - contrato de interventoria"/>
    <s v="MARZO"/>
    <n v="10"/>
    <n v="0"/>
    <n v="200000000"/>
    <s v="NO"/>
    <x v="9"/>
    <s v="Fatima Veronica Quintero Nuñez"/>
    <x v="0"/>
    <s v="Subdirector@ de Gestión Corporativa"/>
    <s v="1-100-I087 VA-Sobretasa Bomberil"/>
    <s v="80101600; _x000a_81101500; _x000a_72101500; _x000a_721214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9"/>
    <s v="Si Secop "/>
    <s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
  </r>
  <r>
    <n v="20260507"/>
    <s v="Adquisición de elementos requeridos para las estaciones de bomberos B-18 Bosa la Cabaña y B-19 Casa de Teja de la  Unidad Administrativa Especial Cuerpo Oficial de Bomberos Bogotá -SGC"/>
    <s v="03 - selec. abrev. subasta inversa"/>
    <s v="BS"/>
    <s v="06 - contrato de compraventa"/>
    <s v="MARZO"/>
    <n v="4"/>
    <n v="0"/>
    <n v="631001000"/>
    <s v="NO"/>
    <x v="9"/>
    <s v="Fatima Veronica Quintero Nuñez"/>
    <x v="2"/>
    <s v="Subdirector@ de Gestión del Riesgo"/>
    <s v="1-100-I087 VA-Sobretasa Bomberil"/>
    <s v="47111500; _x000a_47111700;"/>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28"/>
    <s v="Si Secop "/>
    <s v="20260507-BS-8173-1-Adquisición de elementos requeridos para las estaciones de bomberos B-18 Bosa la Cabaña y B-19 Casa de Teja de la  Unidad Administrativa Especial Cuerpo Oficial de Bomberos Bogotá -SGC"/>
  </r>
  <r>
    <n v="20260508"/>
    <s v="Mantenimiento preventivo y correctivo, que incluye el suministro de insumos y repuestos de las lavadoras y secadoras industriales ubicadas en las estaciones de bomberos de la UAE Cuerpo Oficial de Bomberos de Bogotá-SGC"/>
    <s v="02 - selec. abrev. menor cuantía"/>
    <s v="BS"/>
    <s v="17 - contrato de mantenimiento"/>
    <s v="ABRIL"/>
    <n v="10"/>
    <n v="0"/>
    <n v="127000000"/>
    <s v="NO"/>
    <x v="9"/>
    <s v="Fatima Veronica Quintero Nuñez"/>
    <x v="0"/>
    <s v="Subdirector@ de Gestión Corporativa"/>
    <s v="1-100-I087 VA-Sobretasa Bomberil"/>
    <s v="47111500;_x000a_73151800;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9"/>
    <s v="Si Secop "/>
    <s v="20260508-BS-8126-8-Mantenimiento preventivo y correctivo, que incluye el suministro de insumos y repuestos de las lavadoras y secadoras industriales ubicadas en las estaciones de bomberos de la UAE Cuerpo Oficial de Bomberos de Bogotá-SGC"/>
  </r>
  <r>
    <n v="20260509"/>
    <s v="Proceso para amparar el Pago de Pasivos exigibles "/>
    <s v="91 - n/a acto administrativo (resolución, decreto, acuerdo, etc.)"/>
    <s v="BS"/>
    <s v="12 - resolucion"/>
    <s v="MAYO"/>
    <n v="0"/>
    <n v="0"/>
    <n v="60990220"/>
    <s v="NO"/>
    <x v="9"/>
    <s v="Fatima Veronica Quintero Nuñez"/>
    <x v="0"/>
    <s v="Subdirector@ de Gestión Corporativa"/>
    <s v="1-100-I087 VA-Sobretasa Bomberil"/>
    <s v="N/A"/>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No Secop"/>
    <s v="20260509-BS-8126-8-Proceso para amparar el Pago de Pasivos exigibles "/>
  </r>
  <r>
    <n v="20260510"/>
    <s v="Realizar el mantenimiento preventivo, correctivo de puertas automatizadas para las salas de máquinas de las estaciones de la UAE Cuerpo Oficial de Bomberos-SGC"/>
    <s v="02 - selec. abrev. menor cuantía"/>
    <s v="BS"/>
    <s v="17 - contrato de mantenimiento"/>
    <s v="JUNIO"/>
    <n v="9"/>
    <n v="0"/>
    <n v="250000000"/>
    <s v="NO"/>
    <x v="9"/>
    <s v="Fatima Veronica Quintero Nuñez"/>
    <x v="0"/>
    <s v="Subdirector@ de Gestión Corporativa"/>
    <s v="1-100-I087 VA-Sobretasa Bomberil"/>
    <s v="72121400;_x000a_72151700;_x000a_72154109;_x000a_951217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6"/>
    <s v="Si Secop "/>
    <s v="20260510-BS-8126-8-Realizar el mantenimiento preventivo, correctivo de puertas automatizadas para las salas de máquinas de las estaciones de la UAE Cuerpo Oficial de Bomberos-SGC"/>
  </r>
  <r>
    <n v="20260511"/>
    <s v="Construcción de la estación  Ferias  B-7  UAE Cuerpo Oficial de Bomberos de Bogotá – SGC"/>
    <s v="01 - licitación pública"/>
    <s v="BS"/>
    <s v="05 - contrato de obra"/>
    <s v="JULIO"/>
    <n v="15"/>
    <n v="0"/>
    <n v="2865426930"/>
    <s v="NO"/>
    <x v="9"/>
    <s v="Fatima Veronica Quintero Nuñez"/>
    <x v="2"/>
    <s v="Subdirector@ de Gestión del Riesgo"/>
    <s v="1-100-I087 VA-Sobretasa Bomberil"/>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511-BS-8173-7-Construcción de la estación  Ferias  B-7  UAE Cuerpo Oficial de Bomberos de Bogotá – SGC"/>
  </r>
  <r>
    <n v="20260512"/>
    <s v="Construcción de la estación  Ferias  B-7  UAE Cuerpo Oficial de Bomberos de Bogotá – SGC"/>
    <s v="01 - licitación pública"/>
    <s v="BS"/>
    <s v="05 - contrato de obra"/>
    <s v="JULIO"/>
    <n v="15"/>
    <n v="0"/>
    <n v="279202000"/>
    <s v="NO"/>
    <x v="9"/>
    <s v="Fatima Veronica Quintero Nuñez"/>
    <x v="2"/>
    <s v="Subdirector@ de Gestión del Riesgo"/>
    <s v="1-100-F039-VA-Crédito"/>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512-BS-8173-7-Construcción de la estación  Ferias  B-7  UAE Cuerpo Oficial de Bomberos de Bogotá – SGC"/>
  </r>
  <r>
    <n v="20260513"/>
    <s v="Interventoría técnica, administrativa, financiera, contable, jurídica y ambiental para la construcción de la estación de bomberos Ferias B7 UAE Cuerpo Oficial de Bomberos de Bogotá – SGC"/>
    <s v="06 - concurso de méritos abierto"/>
    <s v="BS"/>
    <s v="14 - contrato de interventoria"/>
    <s v="JULIO"/>
    <n v="15"/>
    <n v="0"/>
    <n v="303000000"/>
    <s v="NO"/>
    <x v="9"/>
    <s v="Fatima Veronica Quintero Nuñez"/>
    <x v="2"/>
    <s v="Subdirector@ de Gestión del Riesgo"/>
    <s v="1-100-F039-VA-Crédito"/>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513-BS-8173-7-Interventoría técnica, administrativa, financiera, contable, jurídica y ambiental para la construcción de la estación de bomberos Ferias B7 UAE Cuerpo Oficial de Bomberos de Bogotá – SGC"/>
  </r>
  <r>
    <n v="20260514"/>
    <s v="Adecuación de la estación Nueva Estación de la UAE Cuerpo Oficial de Bomberos de Bogotá – SGC"/>
    <s v="01 - licitación pública"/>
    <s v="BS"/>
    <s v="05 - contrato de obra"/>
    <s v="JULIO"/>
    <n v="10"/>
    <n v="0"/>
    <n v="900000000"/>
    <s v="NO"/>
    <x v="9"/>
    <s v="Fatima Veronica Quintero Nuñez"/>
    <x v="2"/>
    <s v="Subdirector@ de Gestión del Riesgo"/>
    <s v="1-100-F039-VA-Crédito"/>
    <s v="72121400; 72151700; 72151700; 811015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s v="PM/0131/0114/45030150255"/>
    <x v="9"/>
    <s v="Si Secop "/>
    <s v="20260514-BS-8173-8-Adecuación de la estación Nueva Estación de la UAE Cuerpo Oficial de Bomberos de Bogotá – SGC"/>
  </r>
  <r>
    <n v="20260515"/>
    <s v="Interventoría técnica, administrativa, financiera, contable, jurídica y ambiental para la Adecuación de la Nueva Estación de bomberos de la UAE Cuerpo Oficial de Bomberos de Bogotá – SGC"/>
    <s v="06 - concurso de méritos abierto"/>
    <s v="BS"/>
    <s v="14 - contrato de interventoria"/>
    <s v="JULIO"/>
    <n v="10"/>
    <n v="0"/>
    <n v="225000000"/>
    <s v="NO"/>
    <x v="9"/>
    <s v="Fatima Veronica Quintero Nuñez"/>
    <x v="2"/>
    <s v="Subdirector@ de Gestión del Riesgo"/>
    <s v="1-100-F039-VA-Crédito"/>
    <s v="81101500; 80101600; 72121400; 95121700"/>
    <s v="8173 8-Construir 1 sede de bomberos de la UAECOB"/>
    <s v="8173"/>
    <s v="8"/>
    <s v="O230117"/>
    <s v="4503"/>
    <n v="20240255"/>
    <n v="14"/>
    <s v="Infraestructura física misional construida mantenida y dotada "/>
    <s v="14-Infraestructura física misional construida mantenida y dotada "/>
    <s v="015"/>
    <s v="Estaciones de bomberos construidas"/>
    <s v="015_Estaciones de bomberos construidas"/>
    <s v="14-Infraestructura física misional construida mantenida y dotada  015_Estaciones de bomberos construidas"/>
    <x v="14"/>
    <s v="PM/0131/0114/45030150255"/>
    <x v="9"/>
    <s v="Si Secop "/>
    <s v="20260515-BS-8173-8-Interventoría técnica, administrativa, financiera, contable, jurídica y ambiental para la Adecuación de la Nueva Estación de bomberos de la UAE Cuerpo Oficial de Bomberos de Bogotá – SGC"/>
  </r>
  <r>
    <n v="20260516"/>
    <s v="Adecuación de la estación de Bomberos Chapinero B1- de la UAE Cuerpo Oficial de Bomberos de Bogotá – SGC"/>
    <s v="01 - licitación pública"/>
    <s v="BS"/>
    <s v="05 - contrato de obra"/>
    <s v="JULIO"/>
    <n v="15"/>
    <n v="0"/>
    <n v="900000000"/>
    <s v="NO"/>
    <x v="9"/>
    <s v="Fatima Veronica Quintero Nuñez"/>
    <x v="2"/>
    <s v="Subdirector@ de Gestión del Riesgo"/>
    <s v="1-100-F039-VA-Crédito"/>
    <s v="72121400; 72151700; 72151700; 811015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516-BS-8173-7-Adecuación de la estación de Bomberos Chapinero B1- de la UAE Cuerpo Oficial de Bomberos de Bogotá – SGC"/>
  </r>
  <r>
    <n v="20260517"/>
    <s v="Interventoría técnica, administrativa, financiera, contable, jurídica y ambiental para la Adecuación de la estación de Bomberos Chapinero B1- de la UAE Cuerpo Oficial de Bomberos de Bogotá – SGC"/>
    <s v="06 - concurso de méritos abierto"/>
    <s v="BS"/>
    <s v="14 - contrato de interventoria"/>
    <s v="JULIO"/>
    <n v="15"/>
    <n v="0"/>
    <n v="225000000"/>
    <s v="NO"/>
    <x v="9"/>
    <s v="Fatima Veronica Quintero Nuñez"/>
    <x v="2"/>
    <s v="Subdirector@ de Gestión del Riesgo"/>
    <s v="1-100-F039-VA-Crédito"/>
    <s v="81101500; 80101600; 72121400; 951217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9"/>
    <s v="Si Secop "/>
    <s v="20260517-BS-8173-7-Interventoría técnica, administrativa, financiera, contable, jurídica y ambiental para la Adecuación de la estación de Bomberos Chapinero B1- de la UAE Cuerpo Oficial de Bomberos de Bogotá – SGC"/>
  </r>
  <r>
    <n v="20260518"/>
    <s v="Contratar el servicio de saneamiento ambiental, corte de césped, jardinería, poda y tala de árboles para las sedes (predios y/o estaciones) de la Unidad Administrativa Especial Cuerpo Oficial de Bomberos de Bogotá – SGC"/>
    <s v="02 - selec. abrev. menor cuantía"/>
    <s v="BS"/>
    <s v="03 - contrato de prestacion de servicios"/>
    <s v="ABRIL"/>
    <n v="11"/>
    <n v="0"/>
    <n v="297000000"/>
    <s v="NO"/>
    <x v="9"/>
    <s v="Fatima Veronica Quintero Nuñez"/>
    <x v="1"/>
    <s v="Subdirector@ de Gestión Corporativa"/>
    <s v="1-100-F001 VA-Recursos distrito"/>
    <s v="70111500;_x000a_72102100 ;_x000a_72102104;_x000a_76101503;_x000a_72154055;_x000a_70111703;_x000a_70111706;_x000a_70111503;_x000a_72153204;"/>
    <s v="No aplica"/>
    <s v="No a"/>
    <s v="l"/>
    <s v="NA"/>
    <s v="NA"/>
    <s v="NA"/>
    <s v="N/A"/>
    <s v="N/A"/>
    <s v="N/A-N/A"/>
    <s v="N/A"/>
    <s v="N/A"/>
    <s v="N/A_N/A"/>
    <s v="N/A-N/A N/A_N/A"/>
    <x v="1"/>
    <s v="N/A"/>
    <x v="6"/>
    <s v="Si Secop "/>
    <s v="20260518-BS-No a-l-Contratar el servicio de saneamiento ambiental, corte de césped, jardinería, poda y tala de árboles para las sedes (predios y/o estaciones) de la Unidad Administrativa Especial Cuerpo Oficial de Bomberos de Bogotá – SGC"/>
  </r>
  <r>
    <n v="20260519"/>
    <s v="Prestar el servicio de recolección y disposición final de los residuos sanitarios y aguas no tratadas de las instalaciones de la Unidad Administrativa Especial Cuerpo Oficial de Bomberos de Bogotá – SGC"/>
    <s v="04 - contratación mínima cuantía"/>
    <s v="BS"/>
    <s v="03 - contrato de prestacion de servicios"/>
    <s v="MARZO"/>
    <n v="8"/>
    <n v="0"/>
    <n v="30000000"/>
    <s v="NO"/>
    <x v="9"/>
    <s v="Fatima Veronica Quintero Nuñez"/>
    <x v="1"/>
    <s v="Subdirector@ de Gestión Corporativa"/>
    <s v="1-100-F001 VA-Recursos distrito"/>
    <s v="81141807;_x000a_40151517;_x000a_76121701;_x000a_83101506;"/>
    <s v="No aplica"/>
    <s v="No a"/>
    <s v="l"/>
    <s v="NA"/>
    <s v="NA"/>
    <s v="NA"/>
    <s v="N/A"/>
    <s v="N/A"/>
    <s v="N/A-N/A"/>
    <s v="N/A"/>
    <s v="N/A"/>
    <s v="N/A_N/A"/>
    <s v="N/A-N/A N/A_N/A"/>
    <x v="1"/>
    <s v="N/A"/>
    <x v="6"/>
    <s v="Si Secop "/>
    <s v="20260519-BS-No a-l-Prestar el servicio de recolección y disposición final de los residuos sanitarios y aguas no tratadas de las instalaciones de la Unidad Administrativa Especial Cuerpo Oficial de Bomberos de Bogotá – SGC"/>
  </r>
  <r>
    <n v="20260520"/>
    <s v="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s v="04 - contratación mínima cuantía"/>
    <s v="BS"/>
    <s v="27 - contrato de prestacion de servicios de mantenimiento"/>
    <s v="ABRIL"/>
    <n v="10"/>
    <n v="0"/>
    <n v="24000000"/>
    <s v="NO"/>
    <x v="9"/>
    <s v="Fatima Veronica Quintero Nuñez"/>
    <x v="1"/>
    <s v="Subdirector@ de Gestión Corporativa"/>
    <s v="1-100-F001 VA-Recursos distrito"/>
    <s v="91111602;_x000a_72154302;_x000a_47101568;_x000a_49241712;"/>
    <s v="No aplica"/>
    <s v="No a"/>
    <s v="l"/>
    <s v="NA"/>
    <s v="NA"/>
    <s v="NA"/>
    <s v="N/A"/>
    <s v="N/A"/>
    <s v="N/A-N/A"/>
    <s v="N/A"/>
    <s v="N/A"/>
    <s v="N/A_N/A"/>
    <s v="N/A-N/A N/A_N/A"/>
    <x v="1"/>
    <s v="N/A"/>
    <x v="6"/>
    <s v="Si Secop "/>
    <s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
  </r>
  <r>
    <n v="20260521"/>
    <s v="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ENERO"/>
    <n v="1"/>
    <n v="0"/>
    <n v="14600000"/>
    <s v="NO"/>
    <x v="9"/>
    <s v="Fatima Veronica Quintero Nuñez"/>
    <x v="1"/>
    <s v="Subdirector@ de Gestión Corporativa"/>
    <s v="1-100-F001 VA-Recursos distrito"/>
    <s v="78102206;"/>
    <s v="No aplica"/>
    <s v="No a"/>
    <s v="l"/>
    <s v="NA"/>
    <s v="NA"/>
    <s v="NA"/>
    <s v="N/A"/>
    <s v="N/A"/>
    <s v="N/A-N/A"/>
    <s v="N/A"/>
    <s v="N/A"/>
    <s v="N/A_N/A"/>
    <s v="N/A-N/A N/A_N/A"/>
    <x v="1"/>
    <s v="N/A"/>
    <x v="6"/>
    <s v="No Secop"/>
    <s v="20260521-BS-No a-l-Adición No. 1 y prórroga No. 2 al contrato 196 de 2025 que tiene como objeto &quo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2"/>
    <s v="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17 - acuerdo marco de precios"/>
    <s v="BS"/>
    <s v="03 - contrato de prestacion de servicios"/>
    <s v="MARZO"/>
    <n v="9"/>
    <n v="0"/>
    <n v="143400000"/>
    <s v="NO"/>
    <x v="9"/>
    <s v="Fatima Veronica Quintero Nuñez"/>
    <x v="1"/>
    <s v="Subdirector@ de Gestión Corporativa"/>
    <s v="1-100-F001 VA-Recursos distrito"/>
    <s v="78102206;"/>
    <s v="No aplica"/>
    <s v="No a"/>
    <s v="l"/>
    <s v="NA"/>
    <s v="NA"/>
    <s v="NA"/>
    <s v="N/A"/>
    <s v="N/A"/>
    <s v="N/A-N/A"/>
    <s v="N/A"/>
    <s v="N/A"/>
    <s v="N/A_N/A"/>
    <s v="N/A-N/A N/A_N/A"/>
    <x v="1"/>
    <s v="N/A"/>
    <x v="6"/>
    <s v="Si Secop "/>
    <s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r>
  <r>
    <n v="20260523"/>
    <s v="Contratar la prestación del servicio de aseo y cafetería incluido insumos para la Unidad Administrativa Especial Cuerpo Oficial de Bomberos Bogotá -SGC"/>
    <s v="17 - acuerdo marco de precios"/>
    <s v="BS"/>
    <s v="03 - contrato de prestacion de servicios"/>
    <s v="ENERO"/>
    <n v="12"/>
    <n v="0"/>
    <n v="755000000"/>
    <s v="NO"/>
    <x v="9"/>
    <s v="Fatima Veronica Quintero Nuñez"/>
    <x v="1"/>
    <s v="Subdirector@ de Gestión Corporativa"/>
    <s v="1-100-F001 VA-Recursos distrito"/>
    <s v="44121700;_x000a_44121800;_x000a_44121900;_x000a_44122000;"/>
    <s v="No aplica"/>
    <s v="No a"/>
    <s v="l"/>
    <s v="NA"/>
    <s v="NA"/>
    <s v="NA"/>
    <s v="N/A"/>
    <s v="N/A"/>
    <s v="N/A-N/A"/>
    <s v="N/A"/>
    <s v="N/A"/>
    <s v="N/A_N/A"/>
    <s v="N/A-N/A N/A_N/A"/>
    <x v="1"/>
    <s v="N/A"/>
    <x v="6"/>
    <s v="Si Secop "/>
    <s v="20260523-BS-No a-l-Contratar la prestación del servicio de aseo y cafetería incluido insumos para la Unidad Administrativa Especial Cuerpo Oficial de Bomberos Bogotá -SGC"/>
  </r>
  <r>
    <n v="20260524"/>
    <s v="Contratar la prestación del servicio de aseo y cafetería incluido insumos para la Unidad Administrativa Especial Cuerpo Oficial de Bomberos Bogotá -SGC"/>
    <s v="17 - acuerdo marco de precios"/>
    <s v="BS"/>
    <s v="03 - contrato de prestacion de servicios"/>
    <s v="ENERO"/>
    <n v="12"/>
    <n v="0"/>
    <n v="388000000"/>
    <s v="NO"/>
    <x v="9"/>
    <s v="Fatima Veronica Quintero Nuñez"/>
    <x v="1"/>
    <s v="Subdirector@ de Gestión Corporativa"/>
    <s v="1-100-F001 VA-Recursos distrito"/>
    <s v="44121700;_x000a_44121800;_x000a_44121900;_x000a_44122000;"/>
    <s v="No aplica"/>
    <s v="No a"/>
    <s v="l"/>
    <s v="NA"/>
    <s v="NA"/>
    <s v="NA"/>
    <s v="N/A"/>
    <s v="N/A"/>
    <s v="N/A-N/A"/>
    <s v="N/A"/>
    <s v="N/A"/>
    <s v="N/A_N/A"/>
    <s v="N/A-N/A N/A_N/A"/>
    <x v="1"/>
    <s v="N/A"/>
    <x v="6"/>
    <s v="Si Secop "/>
    <s v="20260524-BS-No a-l-Contratar la prestación del servicio de aseo y cafetería incluido insumos para la Unidad Administrativa Especial Cuerpo Oficial de Bomberos Bogotá -SGC"/>
  </r>
  <r>
    <n v="20260525"/>
    <s v="Suministro  de implementos  de  papelería y oficina para las dependencias  para la Unidad Administrativa Especial Cuerpo Oficial de Bomberos Bogotá -SGC"/>
    <s v="03 - selec. abrev. subasta inversa"/>
    <s v="BS"/>
    <s v="08 - contrato de suministro"/>
    <s v="ABRIL"/>
    <n v="8"/>
    <n v="0"/>
    <n v="85000000"/>
    <s v="NO"/>
    <x v="9"/>
    <s v="Fatima Veronica Quintero Nuñez"/>
    <x v="1"/>
    <s v="Subdirector@ de Gestión Corporativa"/>
    <s v="1-100-F001 VA-Recursos distrito"/>
    <s v="14111500;_x000a_14111800;_x000a_44121700; _x000a_44121800; _x000a_44122000; _x000a_44122100;_x000a_44121600;_x000a_60101900;_x000a_27112300;_x000a_60105700;"/>
    <s v="No aplica"/>
    <s v="No a"/>
    <s v="l"/>
    <s v="NA"/>
    <s v="NA"/>
    <s v="NA"/>
    <s v="N/A"/>
    <s v="N/A"/>
    <s v="N/A-N/A"/>
    <s v="N/A"/>
    <s v="N/A"/>
    <s v="N/A_N/A"/>
    <s v="N/A-N/A N/A_N/A"/>
    <x v="1"/>
    <s v="N/A"/>
    <x v="6"/>
    <s v="Si Secop "/>
    <s v="20260525-BS-No a-l-Suministro  de implementos  de  papelería y oficina para las dependencias  para la Unidad Administrativa Especial Cuerpo Oficial de Bomberos Bogotá -SGC"/>
  </r>
  <r>
    <n v="20260526"/>
    <s v="Suministro de insumos para las impresoras de las dependencias  para la Unidad Administrativa Especial Cuerpo Oficial de Bomberos Bogotá -SGC"/>
    <s v="03 - selec. abrev. subasta inversa"/>
    <s v="BS"/>
    <s v="08 - contrato de suministro"/>
    <s v="ABRIL"/>
    <n v="8"/>
    <n v="0"/>
    <n v="205000000"/>
    <s v="NO"/>
    <x v="9"/>
    <s v="Fatima Veronica Quintero Nuñez"/>
    <x v="1"/>
    <s v="Subdirector@ de Gestión Corporativa"/>
    <s v="1-100-F001 VA-Recursos distrito"/>
    <s v="14111500; _x000a_24112400; _x000a_44111500; _x000a_44121800; _x000a_31201500; _x000a_27112300; _x000a_44121700; _x000a_44121600"/>
    <s v="No aplica"/>
    <s v="No a"/>
    <s v="l"/>
    <s v="NA"/>
    <s v="NA"/>
    <s v="NA"/>
    <s v="N/A"/>
    <s v="N/A"/>
    <s v="N/A-N/A"/>
    <s v="N/A"/>
    <s v="N/A"/>
    <s v="N/A_N/A"/>
    <s v="N/A-N/A N/A_N/A"/>
    <x v="1"/>
    <s v="N/A"/>
    <x v="6"/>
    <s v="Si Secop "/>
    <s v="20260526-BS-No a-l-Suministro de insumos para las impresoras de las dependencias  para la Unidad Administrativa Especial Cuerpo Oficial de Bomberos Bogotá -SGC"/>
  </r>
  <r>
    <n v="20260527"/>
    <s v="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ENERO"/>
    <n v="12"/>
    <n v="0"/>
    <n v="1000000000"/>
    <s v="NO"/>
    <x v="9"/>
    <s v="Fatima Veronica Quintero Nuñez"/>
    <x v="1"/>
    <s v="Subdirector@ de Gestión Corporativa"/>
    <s v="1-100-F001 VA-Recursos distrito"/>
    <s v="92121500;"/>
    <s v="No aplica"/>
    <s v="No a"/>
    <s v="l"/>
    <s v="NA"/>
    <s v="NA"/>
    <s v="NA"/>
    <s v="N/A"/>
    <s v="N/A"/>
    <s v="N/A-N/A"/>
    <s v="N/A"/>
    <s v="N/A"/>
    <s v="N/A_N/A"/>
    <s v="N/A-N/A N/A_N/A"/>
    <x v="1"/>
    <s v="N/A"/>
    <x v="6"/>
    <s v="Si Secop "/>
    <s v="20260527-BS-No a-l-Prestar el servicio de vigilancia y seguridad privada en la modalidad de vigilancia fija, según especificaciones técnicas, en las instalaciones donde la UAE Especial Cuerpo Oficial de Bomberos requiera-SGC"/>
  </r>
  <r>
    <n v="20260528"/>
    <s v="Suministro de insumos para lavandería-SGC"/>
    <s v="04 - contratación mínima cuantía"/>
    <s v="BS"/>
    <s v="08 - contrato de suministro"/>
    <s v="ENERO"/>
    <n v="10"/>
    <n v="0"/>
    <n v="48900000"/>
    <s v="NO"/>
    <x v="9"/>
    <s v="Fatima Veronica Quintero Nuñez"/>
    <x v="1"/>
    <s v="Subdirector@ de Gestión Corporativa"/>
    <s v="1-100-F001 VA-Recursos distrito"/>
    <s v="56101500; _x000a_56101700; _x000a_56101900; _x000a_56111500; _x000a_48101800;_x000a_48101915;_x000a_24112601;_x000a_49121509;"/>
    <s v="No aplica"/>
    <s v="No a"/>
    <s v="l"/>
    <s v="NA"/>
    <s v="NA"/>
    <s v="NA"/>
    <s v="N/A"/>
    <s v="N/A"/>
    <s v="N/A-N/A"/>
    <s v="N/A"/>
    <s v="N/A"/>
    <s v="N/A_N/A"/>
    <s v="N/A-N/A N/A_N/A"/>
    <x v="1"/>
    <s v="N/A"/>
    <x v="6"/>
    <s v="Si Secop "/>
    <s v="20260528-BS-No a-l-Suministro de insumos para lavandería-SGC"/>
  </r>
  <r>
    <n v="20260529"/>
    <s v="Arrendamiento de instalaciones estación Ferias-SGC"/>
    <s v="09 - contratación directa"/>
    <s v="BS"/>
    <s v="07 - contrato de arrendamiento"/>
    <s v="ENERO"/>
    <n v="12"/>
    <n v="0"/>
    <n v="178000000"/>
    <s v="NO"/>
    <x v="9"/>
    <s v="Fatima Veronica Quintero Nuñez"/>
    <x v="1"/>
    <s v="Subdirector@ de Gestión Corporativa"/>
    <s v="1-100-F001 VA-Recursos distrito"/>
    <s v="80131502;"/>
    <s v="No aplica"/>
    <s v="No a"/>
    <s v="l"/>
    <s v="NA"/>
    <s v="NA"/>
    <s v="NA"/>
    <s v="N/A"/>
    <s v="N/A"/>
    <s v="N/A-N/A"/>
    <s v="N/A"/>
    <s v="N/A"/>
    <s v="N/A_N/A"/>
    <s v="N/A-N/A N/A_N/A"/>
    <x v="1"/>
    <s v="N/A"/>
    <x v="6"/>
    <s v="Si Secop "/>
    <s v="20260529-BS-No a-l-Arrendamiento de instalaciones estación Ferias-SGC"/>
  </r>
  <r>
    <n v="20260530"/>
    <s v="Adición y prórroga No. 1 al contrato 491 de 2025 que tiene como objeto “Mantenimiento ascensor nueva Estación de Bomberos de Fontibón-SGC"/>
    <s v="09 - contratación directa"/>
    <s v="BS"/>
    <s v="17 - contrato de mantenimiento"/>
    <s v="MAYO"/>
    <n v="2"/>
    <n v="0"/>
    <n v="2200000"/>
    <s v="NO"/>
    <x v="9"/>
    <s v="Fatima Veronica Quintero Nuñez"/>
    <x v="1"/>
    <s v="Subdirector@ de Gestión Corporativa"/>
    <s v="1-100-F001 VA-Recursos distrito"/>
    <s v="72101506;_x000a_72154010;"/>
    <s v="No aplica"/>
    <s v="No a"/>
    <s v="l"/>
    <s v="NA"/>
    <s v="NA"/>
    <s v="NA"/>
    <s v="N/A"/>
    <s v="N/A"/>
    <s v="N/A-N/A"/>
    <s v="N/A"/>
    <s v="N/A"/>
    <s v="N/A_N/A"/>
    <s v="N/A-N/A N/A_N/A"/>
    <x v="1"/>
    <s v="N/A"/>
    <x v="6"/>
    <s v="No Secop"/>
    <s v="20260530-BS-No a-l-Adición y prórroga No. 1 al contrato 491 de 2025 que tiene como objeto “Mantenimiento ascensor nueva Estación de Bomberos de Fontibón-SGC"/>
  </r>
  <r>
    <n v="20260531"/>
    <s v="Mantenimiento correctivo y preventivo con suministro de repuestos para el ascensor estación de bomberos Fontibón B6 -SGC"/>
    <s v="09 - contratación directa"/>
    <s v="BS"/>
    <s v="17 - contrato de mantenimiento"/>
    <s v="AGOSTO"/>
    <n v="6"/>
    <n v="0"/>
    <n v="11700000"/>
    <s v="NO"/>
    <x v="9"/>
    <s v="Fatima Veronica Quintero Nuñez"/>
    <x v="1"/>
    <s v="Subdirector@ de Gestión Corporativa"/>
    <s v="1-100-F001 VA-Recursos distrito"/>
    <s v="72101506;_x000a_72154010;"/>
    <s v="No aplica"/>
    <s v="No a"/>
    <s v="l"/>
    <s v="NA"/>
    <s v="NA"/>
    <s v="NA"/>
    <s v="N/A"/>
    <s v="N/A"/>
    <s v="N/A-N/A"/>
    <s v="N/A"/>
    <s v="N/A"/>
    <s v="N/A_N/A"/>
    <s v="N/A-N/A N/A_N/A"/>
    <x v="1"/>
    <s v="N/A"/>
    <x v="6"/>
    <s v="Si Secop "/>
    <s v="20260531-BS-No a-l-Mantenimiento correctivo y preventivo con suministro de repuestos para el ascensor estación de bomberos Fontibón B6 -SGC"/>
  </r>
  <r>
    <n v="20260532"/>
    <s v="Adición y prórroga No. 1 al contrato 586 de 2025 que tiene como objeto “Mantenimiento correctivo y preventivo con suministro de repuestos para los ascensores edificio comando-SGC"/>
    <s v="09 - contratación directa"/>
    <s v="BS"/>
    <s v="17 - contrato de mantenimiento"/>
    <s v="ABRIL"/>
    <n v="2"/>
    <n v="0"/>
    <n v="5800000"/>
    <s v="NO"/>
    <x v="9"/>
    <s v="Fatima Veronica Quintero Nuñez"/>
    <x v="1"/>
    <s v="Subdirector@ de Gestión Corporativa"/>
    <s v="1-100-F001 VA-Recursos distrito"/>
    <s v="72101506;_x000a_72154010;"/>
    <s v="No aplica"/>
    <s v="No a"/>
    <s v="l"/>
    <s v="NA"/>
    <s v="NA"/>
    <s v="NA"/>
    <s v="N/A"/>
    <s v="N/A"/>
    <s v="N/A-N/A"/>
    <s v="N/A"/>
    <s v="N/A"/>
    <s v="N/A_N/A"/>
    <s v="N/A-N/A N/A_N/A"/>
    <x v="1"/>
    <s v="N/A"/>
    <x v="6"/>
    <s v="No Secop"/>
    <s v="20260532-BS-No a-l-Adición y prórroga No. 1 al contrato 586 de 2025 que tiene como objeto “Mantenimiento correctivo y preventivo con suministro de repuestos para los ascensores edificio comando-SGC"/>
  </r>
  <r>
    <n v="20260533"/>
    <s v="Mantenimiento correctivo y preventivo con suministro de repuestos para los ascensores edificio comando-SGC"/>
    <s v="09 - contratación directa"/>
    <s v="BS"/>
    <s v="17 - contrato de mantenimiento"/>
    <s v="AGOSTO"/>
    <n v="7"/>
    <n v="0"/>
    <n v="25000000"/>
    <s v="NO"/>
    <x v="9"/>
    <s v="Fatima Veronica Quintero Nuñez"/>
    <x v="1"/>
    <s v="Subdirector@ de Gestión Corporativa"/>
    <s v="1-100-F001 VA-Recursos distrito"/>
    <s v="72101506;_x000a_72154010;"/>
    <s v="No aplica"/>
    <s v="No a"/>
    <s v="l"/>
    <s v="NA"/>
    <s v="NA"/>
    <s v="NA"/>
    <s v="N/A"/>
    <s v="N/A"/>
    <s v="N/A-N/A"/>
    <s v="N/A"/>
    <s v="N/A"/>
    <s v="N/A_N/A"/>
    <s v="N/A-N/A N/A_N/A"/>
    <x v="1"/>
    <s v="N/A"/>
    <x v="6"/>
    <s v="Si Secop "/>
    <s v="20260533-BS-No a-l-Mantenimiento correctivo y preventivo con suministro de repuestos para los ascensores edificio comando-SGC"/>
  </r>
  <r>
    <n v="20260534"/>
    <s v="Adición y prórroga No. 1 al contrato 638 de 2025 que tiene como objeto “Mantenimiento correctivo y preventivo con suministro de repuestos ascensor estación de bomberos Bellavista B-9 - SGC"/>
    <s v="09 - contratación directa"/>
    <s v="BS"/>
    <s v="17 - contrato de mantenimiento"/>
    <s v="ABRIL"/>
    <n v="2"/>
    <n v="0"/>
    <n v="3000000"/>
    <s v="NO"/>
    <x v="9"/>
    <s v="Fatima Veronica Quintero Nuñez"/>
    <x v="1"/>
    <s v="Subdirector@ de Gestión Corporativa"/>
    <s v="1-100-F001 VA-Recursos distrito"/>
    <s v="72101506;_x000a_72154010;"/>
    <s v="No aplica"/>
    <s v="No a"/>
    <s v="l"/>
    <s v="NA"/>
    <s v="NA"/>
    <s v="NA"/>
    <s v="N/A"/>
    <s v="N/A"/>
    <s v="N/A-N/A"/>
    <s v="N/A"/>
    <s v="N/A"/>
    <s v="N/A_N/A"/>
    <s v="N/A-N/A N/A_N/A"/>
    <x v="1"/>
    <s v="N/A"/>
    <x v="6"/>
    <s v="No Secop"/>
    <s v="20260534-BS-No a-l-Adición y prórroga No. 1 al contrato 638 de 2025 que tiene como objeto “Mantenimiento correctivo y preventivo con suministro de repuestos ascensor estación de bomberos Bellavista B-9 - SGC"/>
  </r>
  <r>
    <n v="20260535"/>
    <s v="Mantenimiento correctivo y preventivo con suministro de repuestos ascensor estación de bomberos Bellavista B-9 - SGC"/>
    <s v="09 - contratación directa"/>
    <s v="BS"/>
    <s v="17 - contrato de mantenimiento"/>
    <s v="AGOSTO"/>
    <n v="7"/>
    <n v="0"/>
    <n v="10800000"/>
    <s v="NO"/>
    <x v="9"/>
    <s v="Fatima Veronica Quintero Nuñez"/>
    <x v="1"/>
    <s v="Subdirector@ de Gestión Corporativa"/>
    <s v="1-100-F001 VA-Recursos distrito"/>
    <s v="72101506;_x000a_72154010;"/>
    <s v="No aplica"/>
    <s v="No a"/>
    <s v="l"/>
    <s v="NA"/>
    <s v="NA"/>
    <s v="NA"/>
    <s v="N/A"/>
    <s v="N/A"/>
    <s v="N/A-N/A"/>
    <s v="N/A"/>
    <s v="N/A"/>
    <s v="N/A_N/A"/>
    <s v="N/A-N/A N/A_N/A"/>
    <x v="1"/>
    <s v="N/A"/>
    <x v="6"/>
    <s v="Si Secop "/>
    <s v="20260535-BS-No a-l-Mantenimiento correctivo y preventivo con suministro de repuestos ascensor estación de bomberos Bellavista B-9 - SGC"/>
  </r>
  <r>
    <n v="20260536"/>
    <s v="Prestación del servicio para inspección y certificación correspondientes a los sistemas de transporte vertical (ascensores) a cargo de la Unidad Administrativa Especial Cuerpo Oficial de Bomberos Bogotá D.C – SGC"/>
    <s v="04 - contratación mínima cuantía"/>
    <s v="BS"/>
    <s v="03 - contrato de prestacion de servicios"/>
    <s v="SEPTIEMBRE"/>
    <n v="2"/>
    <n v="0"/>
    <n v="1500000"/>
    <s v="NO"/>
    <x v="9"/>
    <s v="Fatima Veronica Quintero Nuñez"/>
    <x v="1"/>
    <s v="Subdirector@ de Gestión Corporativa"/>
    <s v="1-100-F001 VA-Recursos distrito"/>
    <s v="81141503;_x000a_81141804;"/>
    <s v="No aplica"/>
    <s v="No a"/>
    <s v="l"/>
    <s v="NA"/>
    <s v="NA"/>
    <s v="NA"/>
    <s v="N/A"/>
    <s v="N/A"/>
    <s v="N/A-N/A"/>
    <s v="N/A"/>
    <s v="N/A"/>
    <s v="N/A_N/A"/>
    <s v="N/A-N/A N/A_N/A"/>
    <x v="1"/>
    <s v="N/A"/>
    <x v="6"/>
    <s v="Si Secop "/>
    <s v="20260536-BS-No a-l-Prestación del servicio para inspección y certificación correspondientes a los sistemas de transporte vertical (ascensores) a cargo de la Unidad Administrativa Especial Cuerpo Oficial de Bomberos Bogotá D.C – SGC"/>
  </r>
  <r>
    <n v="20260537"/>
    <s v="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01 - licitación pública"/>
    <s v="BS"/>
    <s v="15 - contrato de seguros"/>
    <s v="ABRIL"/>
    <n v="12"/>
    <n v="0"/>
    <n v="6415727800"/>
    <s v="NO"/>
    <x v="9"/>
    <s v="Fatima Veronica Quintero Nuñez"/>
    <x v="1"/>
    <s v="Subdirector@ de Gestión Corporativa"/>
    <s v="1-100-F001 VA-Recursos distrito"/>
    <s v="84131501;_x000a_84131503;_x000a_84131504;_x000a_84131512;_x000a_84131513;_x000a_84131515; _x000a_84131601,_x000a_84131603;_x000a_84131607;_x000a_84131515;"/>
    <s v="No aplica"/>
    <s v="No a"/>
    <s v="l"/>
    <s v="NA"/>
    <s v="NA"/>
    <s v="NA"/>
    <s v="N/A"/>
    <s v="N/A"/>
    <s v="N/A-N/A"/>
    <s v="N/A"/>
    <s v="N/A"/>
    <s v="N/A_N/A"/>
    <s v="N/A-N/A N/A_N/A"/>
    <x v="1"/>
    <s v="N/A"/>
    <x v="6"/>
    <s v="Si Secop "/>
    <s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r>
  <r>
    <n v="20260538"/>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11"/>
    <n v="0"/>
    <n v="5677200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539"/>
    <s v="Adquirir máquinas de grabado láser para el plaqueteo y/o marcación de los bienes devolutivos de la UAECOB, con el fin de garantizar el correcto control del inventario mediante rótulos duraderos y resistentes-SGC"/>
    <s v="06 - contrato de compraventa"/>
    <s v="BS"/>
    <s v="04 - contratación mínima cuantía"/>
    <s v="MARZO"/>
    <n v="3"/>
    <n v="0"/>
    <n v="62000000"/>
    <s v="NO"/>
    <x v="9"/>
    <s v="Fatima Veronica Quintero Nuñez"/>
    <x v="2"/>
    <s v="Subdirector@ de Gestión del Riesgo"/>
    <s v="1-100-I087 VA-Sobretasa Bomberil"/>
    <s v="23153602;"/>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16"/>
    <s v="Si Secop "/>
    <s v="20260539-BS-8173-1-Adquirir máquinas de grabado láser para el plaqueteo y/o marcación de los bienes devolutivos de la UAECOB, con el fin de garantizar el correcto control del inventario mediante rótulos duraderos y resistentes-SGC"/>
  </r>
  <r>
    <n v="20260540"/>
    <s v="Prestación de servicios profesionales jurídicos en virtud de las funciones asignadas a la Dirección General de la UAECOB, para apoyar los procesos contractuales y actividades administrativas requeridas."/>
    <s v="09 - contratación directa"/>
    <s v="TH"/>
    <s v="25 - contrato de prestacion de servicios profesionales"/>
    <s v="FEBRERO"/>
    <n v="11"/>
    <n v="0"/>
    <n v="616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0-TH-8126-9-Prestación de servicios profesionales jurídicos en virtud de las funciones asignadas a la Dirección General de la UAECOB, para apoyar los procesos contractuales y actividades administrativas requeridas."/>
  </r>
  <r>
    <n v="20260541"/>
    <s v="Prestar servicios profesionales a la Dirección General en actividades de articulación interinstitucional entre las diferentes dependencias, entidades del sector, y demás que estén relacionadas con la misionalidad de la UAECOB."/>
    <s v="09 - contratación directa"/>
    <s v="TH"/>
    <s v="25 - contrato de prestacion de servicios profesionales"/>
    <s v="FEBRERO"/>
    <n v="11"/>
    <n v="0"/>
    <n v="880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1-TH-8126-9-Prestar servicios profesionales a la Dirección General en actividades de articulación interinstitucional entre las diferentes dependencias, entidades del sector, y demás que estén relacionadas con la misionalidad de la UAECOB."/>
  </r>
  <r>
    <n v="20260542"/>
    <s v="Prestar servicios profesionales especializados en el desarrollo de las actividades y de los diferentes procesos que tiene a su cargo y bajo su seguimiento la Dirección General de la UAE Cuerpo Oficial de Bomberos de Bogotá."/>
    <s v="09 - contratación directa"/>
    <s v="TH"/>
    <s v="25 - contrato de prestacion de servicios profesionales"/>
    <s v="FEBRERO"/>
    <n v="11"/>
    <n v="0"/>
    <n v="557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2-TH-8126-9-Prestar servicios profesionales especializados en el desarrollo de las actividades y de los diferentes procesos que tiene a su cargo y bajo su seguimiento la Dirección General de la UAE Cuerpo Oficial de Bomberos de Bogotá."/>
  </r>
  <r>
    <n v="20260543"/>
    <s v="Prestar servicios profesionales jurídicos en el desarrollo de las actividades y de los diferentes procesos de la Dirección General de la UAE Cuerpo Oficial de Bomberos de Bogotá"/>
    <s v="09 - contratación directa"/>
    <s v="TH"/>
    <s v="25 - contrato de prestacion de servicios profesionales"/>
    <s v="FEBRERO"/>
    <n v="11"/>
    <n v="0"/>
    <n v="1111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3-TH-8126-9-Prestar servicios profesionales jurídicos en el desarrollo de las actividades y de los diferentes procesos de la Dirección General de la UAE Cuerpo Oficial de Bomberos de Bogotá"/>
  </r>
  <r>
    <n v="20260544"/>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09 - contratación directa"/>
    <s v="TH"/>
    <s v="25 - contrato de prestacion de servicios profesionales"/>
    <s v="FEBRERO"/>
    <n v="11"/>
    <n v="0"/>
    <n v="616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r>
  <r>
    <n v="20260545"/>
    <s v="Prestar servicios profesionales jurídicos en la Dirección General de la UAECOB en la revisión, gestión y seguimiento de temas a cargo de la dirección, contratación y estratégicos de la misionalidad de la Entidad"/>
    <s v="09 - contratación directa"/>
    <s v="TH"/>
    <s v="25 - contrato de prestacion de servicios profesionales"/>
    <s v="FEBRERO"/>
    <n v="11"/>
    <n v="0"/>
    <n v="9075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5-TH-8126-9-Prestar servicios profesionales jurídicos en la Dirección General de la UAECOB en la revisión, gestión y seguimiento de temas a cargo de la dirección, contratación y estratégicos de la misionalidad de la Entidad"/>
  </r>
  <r>
    <n v="20260546"/>
    <s v="Prestar servicios de apoyo a la gestión en la UAECOB, en asuntos administrativos y asistenciales requeridos, especificamente en el seguimiento de la información."/>
    <s v="09 - contratación directa"/>
    <s v="TH"/>
    <s v="26 - contrato de prestacion de servicios de apoyo a la gestion"/>
    <s v="FEBRERO"/>
    <n v="11"/>
    <n v="0"/>
    <n v="506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6-TH-8126-9-Prestar servicios de apoyo a la gestión en la UAECOB, en asuntos administrativos y asistenciales requeridos, especificamente en el seguimiento de la información."/>
  </r>
  <r>
    <n v="20260547"/>
    <s v="Prestar servicios profesionales en el desarrollo de los diferentes procesos que tiene a su cargo la Dirección General de la UAE Cuerpo Oficial de Bomberos de Bogotá."/>
    <s v="09 - contratación directa"/>
    <s v="TH"/>
    <s v="25 - contrato de prestacion de servicios profesionales"/>
    <s v="FEBRERO"/>
    <n v="11"/>
    <n v="0"/>
    <n v="9075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7-TH-8126-9-Prestar servicios profesionales en el desarrollo de los diferentes procesos que tiene a su cargo la Dirección General de la UAE Cuerpo Oficial de Bomberos de Bogotá."/>
  </r>
  <r>
    <n v="20260548"/>
    <s v="Prestar servicios como conductor a la UAECOB, para facilitar el transporte de recursos humanos y demás que le sean indicados en la Dirección General en concordancia al marco de sus funciones"/>
    <s v="09 - contratación directa"/>
    <s v="TH"/>
    <s v="26 - contrato de prestacion de servicios de apoyo a la gestion"/>
    <s v="FEBRERO"/>
    <n v="11"/>
    <n v="0"/>
    <n v="4345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8-TH-8126-9-Prestar servicios como conductor a la UAECOB, para facilitar el transporte de recursos humanos y demás que le sean indicados en la Dirección General en concordancia al marco de sus funciones"/>
  </r>
  <r>
    <n v="20260549"/>
    <s v="Prestar servicios profesionales jurídicos en el desarrollo de las actividades estrategicas de la Dirección General de la UAE Cuerpo Oficial de Bomberos de Bogotá"/>
    <s v="09 - contratación directa"/>
    <s v="TH"/>
    <s v="25 - contrato de prestacion de servicios profesionales"/>
    <s v="FEBRERO"/>
    <n v="10"/>
    <n v="0"/>
    <n v="360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49-TH-8126-9-Prestar servicios profesionales jurídicos en el desarrollo de las actividades estrategicas de la Dirección General de la UAE Cuerpo Oficial de Bomberos de Bogotá"/>
  </r>
  <r>
    <n v="20260550"/>
    <s v="Prestar servicios profesionales jurídicos en la Dirección General de la UAECOB en la revisión, gestión y seguimiento de temas de infraestructura, POT, plan maestro de equipamiento y procesos contractuales y estratégicos de la misionalidad de la Entidad"/>
    <s v="09 - contratación directa"/>
    <s v="TH"/>
    <s v="25 - contrato de prestacion de servicios profesionales"/>
    <s v="FEBRERO"/>
    <n v="11"/>
    <n v="0"/>
    <n v="1012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50-TH-8126-9-Prestar servicios profesionales jurídicos en la Dirección General de la UAECOB en la revisión, gestión y seguimiento de temas de infraestructura, POT, plan maestro de equipamiento y procesos contractuales y estratégicos de la misionalidad de la Entidad"/>
  </r>
  <r>
    <n v="20260551"/>
    <s v="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s v="09 - contratación directa"/>
    <s v="TH"/>
    <s v="25 - contrato de prestacion de servicios profesionales"/>
    <s v="FEBRERO"/>
    <n v="11"/>
    <n v="0"/>
    <n v="9075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
  </r>
  <r>
    <n v="20260552"/>
    <s v="Prestar servicios profesionales especializados en la Dirección General de la UAECOB en la organización y liderazgo de los asuntos relacionados con cooperación técnica internacional y articulación interinstitucional de conformidad a la misionalidad de la entidad."/>
    <s v="09 - contratación directa"/>
    <s v="TH"/>
    <s v="25 - contrato de prestacion de servicios profesionales"/>
    <s v="FEBRERO"/>
    <n v="11"/>
    <n v="0"/>
    <n v="1100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
  </r>
  <r>
    <n v="20260553"/>
    <s v="Prestación de servicios profesionales para gestionar las actividades de articulación interinstitucional, protocolo y demás que le sean indicados en la Dirección General en concordancia al marco de sus funciones"/>
    <s v="09 - contratación directa"/>
    <s v="TH"/>
    <s v="25 - contrato de prestacion de servicios profesionales"/>
    <s v="FEBRERO"/>
    <n v="11"/>
    <n v="0"/>
    <n v="9075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53-TH-8126-9-Prestación de servicios profesionales para gestionar las actividades de articulación interinstitucional, protocolo y demás que le sean indicados en la Dirección General en concordancia al marco de sus funciones"/>
  </r>
  <r>
    <n v="20260554"/>
    <s v="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s v="09 - contratación directa"/>
    <s v="TH"/>
    <s v="25 - contrato de prestacion de servicios profesionales"/>
    <s v="FEBRERO"/>
    <n v="10"/>
    <n v="0"/>
    <n v="783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
  </r>
  <r>
    <n v="20260555"/>
    <s v="Prestar servicios profesionales especializados en la Dirección General de la UAECOB en la organización y liderazgo de los asuntos relacionados con comunicaciones de conformidad a la misionalidad de la entidad."/>
    <s v="09 - contratación directa"/>
    <s v="TH"/>
    <s v="25 - contrato de prestacion de servicios profesionales"/>
    <s v="FEBRERO"/>
    <n v="10"/>
    <n v="0"/>
    <n v="107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55-TH-8126-1-Prestar servicios profesionales especializados en la Dirección General de la UAECOB en la organización y liderazgo de los asuntos relacionados con comunicaciones de conformidad a la misionalidad de la entidad."/>
  </r>
  <r>
    <n v="20260556"/>
    <s v="Prestación de servicios profesionales en la Dirección en comunicaciones y prensa, para apoyar la difusión de la información al público interno y externo de la UAECOB."/>
    <s v="09 - contratación directa"/>
    <s v="TH"/>
    <s v="25 - contrato de prestacion de servicios profesionales"/>
    <s v="FEBRERO"/>
    <n v="10"/>
    <n v="0"/>
    <n v="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56-TH-8126-1-Prestación de servicios profesionales en la Dirección en comunicaciones y prensa, para apoyar la difusión de la información al público interno y externo de la UAECOB."/>
  </r>
  <r>
    <n v="20260557"/>
    <s v="Prestar servicios de apoyo para la gestión en asuntos de comunicaciones y prensa en la Dirección General, y demás acciones encaminadas al cumplimiento de las estrategias comunicacionales de la UAECOB"/>
    <s v="09 - contratación directa"/>
    <s v="TH"/>
    <s v="26 - contrato de prestacion de servicios de apoyo a la gestion"/>
    <s v="FEBRERO"/>
    <n v="10"/>
    <n v="0"/>
    <n v="235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57-TH-8126-1-Prestar servicios de apoyo para la gestión en asuntos de comunicaciones y prensa en la Dirección General, y demás acciones encaminadas al cumplimiento de las estrategias comunicacionales de la UAECOB"/>
  </r>
  <r>
    <n v="20260558"/>
    <s v="Prestación de servicios profesionales en asuntos de comunicaciones y prensa para apoyar la divulgación y socialización de la información relacionada con la misionalidad de la UAECOB de manera interna y externa"/>
    <s v="09 - contratación directa"/>
    <s v="TH"/>
    <s v="25 - contrato de prestacion de servicios profesionales"/>
    <s v="FEBRERO"/>
    <n v="10"/>
    <n v="0"/>
    <n v="70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58-TH-8126-1-Prestación de servicios profesionales en asuntos de comunicaciones y prensa para apoyar la divulgación y socialización de la información relacionada con la misionalidad de la UAECOB de manera interna y externa"/>
  </r>
  <r>
    <n v="20260559"/>
    <s v="Prestar servicios profesionales para apoyar el desarrollo de estrategias de la dirección general, en asuntos relacionados con comunicaciones y prensa, encaminadas al posicionamiento, imagen y divulgación corporativa de la entidad y dirigidas a sus públicos internos"/>
    <s v="09 - contratación directa"/>
    <s v="TH"/>
    <s v="25 - contrato de prestacion de servicios profesionales"/>
    <s v="FEBRERO"/>
    <n v="10"/>
    <n v="0"/>
    <n v="825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
  </r>
  <r>
    <n v="20260560"/>
    <s v="Prestar servicios profesionales en la Dirección General para  el manejo de redes sociales de la entidad y apoyo periodistico requerido en el marco de la estrategia de comunicaciones y prensa de la UEACOB."/>
    <s v="09 - contratación directa"/>
    <s v="TH"/>
    <s v="25 - contrato de prestacion de servicios profesionales"/>
    <s v="FEBRERO"/>
    <n v="10"/>
    <n v="0"/>
    <n v="65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0-TH-8126-1-Prestar servicios profesionales en la Dirección General para  el manejo de redes sociales de la entidad y apoyo periodistico requerido en el marco de la estrategia de comunicaciones y prensa de la UEACOB."/>
  </r>
  <r>
    <n v="20260561"/>
    <s v="Prestar servicios profesionales en la Dirección General para el manejo de redes sociales, divulgación, socialización de información y apoyo periodístico, requerido en el marco de la estrategia de comunicaciones y prensa de la UAECOB."/>
    <s v="09 - contratación directa"/>
    <s v="TH"/>
    <s v="25 - contrato de prestacion de servicios profesionales"/>
    <s v="FEBRERO"/>
    <n v="10"/>
    <n v="0"/>
    <n v="62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1-TH-8126-1-Prestar servicios profesionales en la Dirección General para el manejo de redes sociales, divulgación, socialización de información y apoyo periodístico, requerido en el marco de la estrategia de comunicaciones y prensa de la UAECOB."/>
  </r>
  <r>
    <n v="20260562"/>
    <s v="Prestación de servicios profesionales para apoyar a la Dirección en la elaboración, diseño y diagramación de piezas requeridas para los planes, programas, proyectos y procedimientos"/>
    <s v="09 - contratación directa"/>
    <s v="TH"/>
    <s v="25 - contrato de prestacion de servicios profesionales"/>
    <s v="FEBRERO"/>
    <n v="10"/>
    <n v="0"/>
    <n v="65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2-TH-8126-1-Prestación de servicios profesionales para apoyar a la Dirección en la elaboración, diseño y diagramación de piezas requeridas para los planes, programas, proyectos y procedimientos"/>
  </r>
  <r>
    <n v="20260563"/>
    <s v="Prestar apoyo técnico en la Dirección, en asuntos de comunicaciones y prensa, para la producción, diseño y edición de material audiovisual de la UAECOB."/>
    <s v="09 - contratación directa"/>
    <s v="TH"/>
    <s v="26 - contrato de prestacion de servicios de apoyo a la gestion"/>
    <s v="FEBRERO"/>
    <n v="10"/>
    <n v="0"/>
    <n v="235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3-TH-8126-1-Prestar apoyo técnico en la Dirección, en asuntos de comunicaciones y prensa, para la producción, diseño y edición de material audiovisual de la UAECOB."/>
  </r>
  <r>
    <n v="20260564"/>
    <s v="Prestar servicios profesionales especializados a la Dirección General de la UAECOB en la construcción ,acompañamiento, seguimiento y fortalecimiento de las estrategias de comunicación que adelante la entidad dentro del Distrito Capital"/>
    <s v="09 - contratación directa"/>
    <s v="TH"/>
    <s v="25 - contrato de prestacion de servicios profesionales"/>
    <s v="FEBRERO"/>
    <n v="10"/>
    <n v="0"/>
    <n v="100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4-TH-8126-1-Prestar servicios profesionales especializados a la Dirección General de la UAECOB en la construcción ,acompañamiento, seguimiento y fortalecimiento de las estrategias de comunicación que adelante la entidad dentro del Distrito Capital"/>
  </r>
  <r>
    <n v="20260565"/>
    <s v="Prestación de servicios profesionales en asuntos de comunicaciones y prensa para apoyar las labores de reportería, periodismo y de divulgación de información y campañas, de acuerdo con la misionalidad de la UAECOB"/>
    <s v="09 - contratación directa"/>
    <s v="TH"/>
    <s v="25 - contrato de prestacion de servicios profesionales"/>
    <s v="FEBRERO"/>
    <n v="10"/>
    <n v="0"/>
    <n v="54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5-TH-8126-1-Prestación de servicios profesionales en asuntos de comunicaciones y prensa para apoyar las labores de reportería, periodismo y de divulgación de información y campañas, de acuerdo con la misionalidad de la UAECOB"/>
  </r>
  <r>
    <n v="20260566"/>
    <s v="Prestar servicios profesionales en comunicación y prensa para apoyar la producción y difusión de contenidos periodísticos y audiovisuales de la UAECOB"/>
    <s v="09 - contratación directa"/>
    <s v="TH"/>
    <s v="25 - contrato de prestacion de servicios profesionales"/>
    <s v="FEBRERO"/>
    <n v="10"/>
    <n v="0"/>
    <n v="54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6-TH-8126-1-Prestar servicios profesionales en comunicación y prensa para apoyar la producción y difusión de contenidos periodísticos y audiovisuales de la UAECOB"/>
  </r>
  <r>
    <n v="20260567"/>
    <s v="Prestar servicios a la Dirección General en la conducción, traslado y movilización de personal, equipos y materiales, garantizando el cumplimiento de las operaciones logísticas y misionales del Cuerpo Oficial de Bomberos de Bogotá"/>
    <s v="09 - contratación directa"/>
    <s v="TH"/>
    <s v="26 - contrato de prestacion de servicios de apoyo a la gestion"/>
    <s v="FEBRERO"/>
    <n v="10"/>
    <n v="0"/>
    <n v="21775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7-TH-8126-1-Prestar servicios a la Dirección General en la conducción, traslado y movilización de personal, equipos y materiales, garantizando el cumplimiento de las operaciones logísticas y misionales del Cuerpo Oficial de Bomberos de Bogotá"/>
  </r>
  <r>
    <n v="20260568"/>
    <s v="Prestación de servicios profesionales en asuntos de comunicaciones para realizar el cubrimiento periodístico, fotográfico y audiovisual de las actividades operativas y misionales de la UAECOB, así como la elaboración de contenidos informativos para su difusión."/>
    <s v="09 - contratación directa"/>
    <s v="TH"/>
    <s v="25 - contrato de prestacion de servicios profesionales"/>
    <s v="FEBRERO"/>
    <n v="10"/>
    <n v="0"/>
    <n v="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
  </r>
  <r>
    <n v="20260569"/>
    <s v="Prestación de servicios profesionales en la Dirección para el acompañamiento en las labores de gestión administrativa, en asuntos propios de comunicaciones y prensa de la UAECOB"/>
    <s v="09 - contratación directa"/>
    <s v="TH"/>
    <s v="25 - contrato de prestacion de servicios profesionales"/>
    <s v="JULIO"/>
    <n v="7"/>
    <n v="0"/>
    <n v="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69-TH-8126-1-Prestación de servicios profesionales en la Dirección para el acompañamiento en las labores de gestión administrativa, en asuntos propios de comunicaciones y prensa de la UAECOB"/>
  </r>
  <r>
    <n v="20260570"/>
    <s v="Prestación de servicios profesionales en asuntos de comunicaciones y prensa para revisar los procesos de comunicación de entidad con el fin de evaluar su eficacia interna y externa y detectar ineficiencias en los canales de comunicación"/>
    <s v="09 - contratación directa"/>
    <s v="TH"/>
    <s v="25 - contrato de prestacion de servicios profesionales"/>
    <s v="FEBRERO"/>
    <n v="6"/>
    <n v="0"/>
    <n v="552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70-TH-8126-1-Prestación de servicios profesionales en asuntos de comunicaciones y prensa para revisar los procesos de comunicación de entidad con el fin de evaluar su eficacia interna y externa y detectar ineficiencias en los canales de comunicación"/>
  </r>
  <r>
    <n v="20260571"/>
    <s v="Prestación de servicios como operador logístico, relacionados con la organización, administración y ejecución de las diferentes temáticas que fortalezcan la misionalidad de la entidad a través de la protección de la vida, el medio ambiente y el patrimonio"/>
    <s v="02 - selec. abrev. menor cuantía"/>
    <s v="BS"/>
    <s v="24 - contrato de servicio"/>
    <s v="ABRIL"/>
    <n v="10"/>
    <n v="0"/>
    <n v="400000000"/>
    <s v="NO"/>
    <x v="10"/>
    <s v="Paula Ximena Henao Escobar"/>
    <x v="0"/>
    <s v="Subdirector@ de Gestión Corporativa"/>
    <s v="1-100-I087 VA-Sobretasa Bomberil"/>
    <s v="80141900; 90111500; 90111600; 80141600; 80161502"/>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32"/>
    <s v="Si Secop "/>
    <s v="20260571-BS-8126-9-Prestación de servicios como operador logístico, relacionados con la organización, administración y ejecución de las diferentes temáticas que fortalezcan la misionalidad de la entidad a través de la protección de la vida, el medio ambiente y el patrimonio"/>
  </r>
  <r>
    <n v="20260572"/>
    <s v="Prestar  servicios profesionales  en las actividades de proyeccion e innovacion para la Subdirección de Gestión del Riesgo._SGR"/>
    <s v="09 - contratación directa"/>
    <s v="TH"/>
    <s v="25 - contrato de prestacion de servicios profesionales"/>
    <s v="ENERO"/>
    <n v="6"/>
    <n v="0"/>
    <n v="30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572-TH-8173-5-Prestar  servicios profesionales  en las actividades de proyeccion e innovacion para la Subdirección de Gestión del Riesgo._SGR"/>
  </r>
  <r>
    <n v="20260573"/>
    <s v="Prestar  servicios profesionales  en las actividades de proyeccion e innovacion para la Subdirección de Gestión del Riesgo._SGR"/>
    <s v="09 - contratación directa"/>
    <s v="TH"/>
    <s v="25 - contrato de prestacion de servicios profesionales"/>
    <s v="ENERO"/>
    <n v="6"/>
    <n v="0"/>
    <n v="360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573-TH-8173-5-Prestar  servicios profesionales  en las actividades de proyeccion e innovacion para la Subdirección de Gestión del Riesgo._SGR"/>
  </r>
  <r>
    <n v="20260574"/>
    <s v="Prestar  servicios profesionales  en las actividades de proyeccion e innovacion para la Subdirección de Gestión del Riesgo._SGR"/>
    <s v="09 - contratación directa"/>
    <s v="TH"/>
    <s v="25 - contrato de prestacion de servicios profesionales"/>
    <s v="ENERO"/>
    <n v="6"/>
    <n v="0"/>
    <n v="54600000"/>
    <s v="NO"/>
    <x v="8"/>
    <s v="William Tovar Segura"/>
    <x v="2"/>
    <s v="Subdirector@ de Gestión del Riesgo"/>
    <s v="1-100-I087 VA-Sobretasa Bomberil"/>
    <n v="80111600"/>
    <s v="8173 5-Realizar 3 Estrategias de Investigación, desarrollo e innovación en gestión del riesgo"/>
    <s v="8173"/>
    <s v="5"/>
    <s v="O230117"/>
    <s v="4503"/>
    <n v="20240255"/>
    <n v="16"/>
    <s v="Servicio de monitoreo y seguimiento para la gestión del riesgo"/>
    <s v="16-Servicio de monitoreo y seguimiento para la gestión del riesgo"/>
    <s v="018"/>
    <s v="Servicio de monitoreo y seguimiento para la gestión del riesgo"/>
    <s v="018_Servicio de monitoreo y seguimiento para la gestión del riesgo"/>
    <s v="16-Servicio de monitoreo y seguimiento para la gestión del riesgo 018_Servicio de monitoreo y seguimiento para la gestión del riesgo"/>
    <x v="12"/>
    <s v="PM/0131/0116/45030180255"/>
    <x v="0"/>
    <s v="Si Secop "/>
    <s v="20260574-TH-8173-5-Prestar  servicios profesionales  en las actividades de proyeccion e innovacion para la Subdirección de Gestión del Riesgo._SGR"/>
  </r>
  <r>
    <n v="20260575"/>
    <s v="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s v="09 - contratación directa"/>
    <s v="TH"/>
    <s v="25 - contrato de prestacion de servicios profesionales"/>
    <s v="ENERO"/>
    <n v="8"/>
    <n v="0"/>
    <n v="560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
  </r>
  <r>
    <n v="20260576"/>
    <s v="Prestación de servicios profesionales en asuntos de comunicaciones y prensa para detectar las necesidades de la Entidad y facilitar la inserción de nuevas estrategias de comunicación"/>
    <s v="09 - contratación directa"/>
    <s v="TH"/>
    <s v="25 - contrato de prestacion de servicios profesionales"/>
    <s v="FEBRERO"/>
    <n v="6"/>
    <n v="0"/>
    <n v="408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576-TH-8126-1-Prestación de servicios profesionales en asuntos de comunicaciones y prensa para detectar las necesidades de la Entidad y facilitar la inserción de nuevas estrategias de comunicación"/>
  </r>
  <r>
    <n v="20260577"/>
    <s v="Prestar servicios de apoyo técnico en las herramientas tecnologicas para el desarrollo de las estrategias de la Subdirección  Logística-SBLG"/>
    <s v="09 - contratación directa"/>
    <s v="TH"/>
    <s v="26 - contrato de prestacion de servicios de apoyo a la gestion"/>
    <s v="ENERO"/>
    <n v="6"/>
    <n v="0"/>
    <n v="216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577-TH-8173-4-Prestar servicios de apoyo técnico en las herramientas tecnologicas para el desarrollo de las estrategias de la Subdirección  Logística-SBLG"/>
  </r>
  <r>
    <n v="20260578"/>
    <s v="Prestar servicios de apoyo a la gestión en las actividades de soporte operacional de la UAECOB Subdirección Logística. SBLG"/>
    <s v="09 - contratación directa"/>
    <s v="TH"/>
    <s v="26 - contrato de prestacion de servicios de apoyo a la gestion"/>
    <s v="ENERO"/>
    <n v="5"/>
    <n v="0"/>
    <n v="164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578-TH-8173-4-Prestar servicios de apoyo a la gestión en las actividades de soporte operacional de la UAECOB Subdirección Logística. SBLG"/>
  </r>
  <r>
    <n v="20260579"/>
    <s v="Prestar servicios de apoyo a la gestión en actividades administrativas y documentales que se desarrollen en la Subdirección Logística – SBLG&quot;."/>
    <s v="09 - contratación directa"/>
    <s v="TH"/>
    <s v="26 - contrato de prestacion de servicios de apoyo a la gestion"/>
    <s v="ENERO"/>
    <n v="5"/>
    <n v="0"/>
    <n v="21388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579-TH-8173-4-Prestar servicios de apoyo a la gestión en actividades administrativas y documentales que se desarrollen en la Subdirección Logística – SBLG&quot;."/>
  </r>
  <r>
    <n v="20260580"/>
    <s v="Prestación de servicios de apoyo a la gestión para realizar actividades documentales, administrativas relacionadas para el desarrollo de las estrategias de la Subdirección Logística. SBLG"/>
    <s v="09 - contratación directa"/>
    <s v="TH"/>
    <s v="26 - contrato de prestacion de servicios de apoyo a la gestion"/>
    <s v="ENERO"/>
    <n v="6"/>
    <n v="0"/>
    <n v="1968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580-TH-8173-4-Prestación de servicios de apoyo a la gestión para realizar actividades documentales, administrativas relacionadas para el desarrollo de las estrategias de la Subdirección Logística. SBLG"/>
  </r>
  <r>
    <n v="20260581"/>
    <s v="Prestar servicios de apoyo a la gestión en el manejo de las herramientas tecnológicas en diligenciamiento, seguimiento y control de las herramientas de gestión asociadas a la mesa logística de la Subdirección Logística. – SBLG"/>
    <s v="09 - contratación directa"/>
    <s v="TH"/>
    <s v="26 - contrato de prestacion de servicios de apoyo a la gestion"/>
    <s v="ENERO"/>
    <n v="6"/>
    <n v="0"/>
    <n v="1968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581-TH-8173-4-Prestar servicios de apoyo a la gestión en el manejo de las herramientas tecnológicas en diligenciamiento, seguimiento y control de las herramientas de gestión asociadas a la mesa logística de la Subdirección Logística. – SBLG"/>
  </r>
  <r>
    <n v="20260582"/>
    <s v="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s v="09 - contratación directa"/>
    <s v="TH"/>
    <s v="25 - contrato de prestacion de servicios profesionales"/>
    <s v="ENERO"/>
    <n v="6"/>
    <n v="0"/>
    <n v="330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
  </r>
  <r>
    <n v="20260583"/>
    <s v="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s v="09 - contratación directa"/>
    <s v="TH"/>
    <s v="26 - contrato de prestacion de servicios de apoyo a la gestion"/>
    <s v="ENERO"/>
    <n v="6"/>
    <n v="0"/>
    <n v="240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
  </r>
  <r>
    <n v="20260584"/>
    <s v="Prestación de servicios de apoyo al proceso de comunicaciones en emergencias del centro de coordinación y comunicaciones (c.c.c.), para el desarrollo de los programas a cargo de la Subdirección Operativa-S.O."/>
    <s v="09 - contratación directa"/>
    <s v="TH"/>
    <s v="26 - contrato de prestacion de servicios de apoyo a la gestion"/>
    <s v="ENERO"/>
    <n v="7"/>
    <n v="0"/>
    <n v="217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584-TH-8173-2-Prestación de servicios de apoyo al proceso de comunicaciones en emergencias del centro de coordinación y comunicaciones (c.c.c.), para el desarrollo de los programas a cargo de la Subdirección Operativa-S.O."/>
  </r>
  <r>
    <n v="20260585"/>
    <s v="Prestación de servicios profesionales para apoyar en el análisis de información, reportes, y seguimientos relacionados con la atención de emergencias de la entidad y de los programas a cargo de la Subdirección Operativa-S.O."/>
    <s v="09 - contratación directa"/>
    <s v="TH"/>
    <s v="25 - contrato de prestacion de servicios profesionales"/>
    <s v="ENERO"/>
    <n v="11"/>
    <n v="0"/>
    <n v="66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585-TH-8173-2-Prestación de servicios profesionales para apoyar en el análisis de información, reportes, y seguimientos relacionados con la atención de emergencias de la entidad y de los programas a cargo de la Subdirección Operativa-S.O."/>
  </r>
  <r>
    <n v="20260586"/>
    <s v="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s v="09 - contratación directa"/>
    <s v="TH"/>
    <s v="25 - contrato de prestacion de servicios profesionales"/>
    <s v="ENERO"/>
    <n v="6"/>
    <n v="0"/>
    <n v="36000000"/>
    <s v="NO"/>
    <x v="0"/>
    <s v="Paula Ximena Henao Escobar"/>
    <x v="0"/>
    <s v="Subdirector@ de Gestión Corporativa"/>
    <s v="1-100-I087 VA-Sobretasa Bomberil"/>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
  </r>
  <r>
    <n v="20260587"/>
    <s v="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s v="09 - contratación directa"/>
    <s v="TH"/>
    <s v="25 - contrato de prestacion de servicios profesionales"/>
    <s v="ENERO"/>
    <n v="6"/>
    <n v="0"/>
    <n v="36000000"/>
    <s v="NO"/>
    <x v="0"/>
    <s v="Paula Ximena Henao Escobar"/>
    <x v="0"/>
    <s v="Subdirector@ de Gestión Corporativa"/>
    <s v="1-100-I087 VA-Sobretasa Bomberil"/>
    <n v="80111600"/>
    <s v="8126 7-Actualizar e implementar el 100% del Plan Anual de Seguridad y Privacidad de la Información."/>
    <s v="8126"/>
    <s v="7"/>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Si Secop "/>
    <s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
  </r>
  <r>
    <n v="20260588"/>
    <s v="Adición y prórroga No. 1 al contrato 698 de 2025 que tiene como objeto “Prestar el servicio y mantenimiento de equipos de higienización, desodorización y aromatización para la UAECOB-SGC&quot;"/>
    <s v="04 - contratación mínima cuantía"/>
    <s v="BS"/>
    <s v="08 - contrato de suministro"/>
    <s v="MARZO"/>
    <n v="1"/>
    <n v="12"/>
    <n v="2386600"/>
    <s v="NO"/>
    <x v="9"/>
    <s v="Fatima Veronica Quintero Nuñez"/>
    <x v="0"/>
    <s v="Subdirector@ de Gestión Corporativa"/>
    <s v="1-100-I087 VA-Sobretasa Bomberil"/>
    <s v="76101501;_x000a_4713182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No Secop"/>
    <s v="20260588-BS-8126-8-Adición y prórroga No. 1 al contrato 698 de 2025 que tiene como objeto “Prestar el servicio y mantenimiento de equipos de higienización, desodorización y aromatización para la UAECOB-SGC&quot;"/>
  </r>
  <r>
    <n v="20260589"/>
    <s v="Prestación de servicios profesionales para apoyar las actividades jurídicas de la Subdirección de Gestión Corporativa-SGC"/>
    <s v="09 - contratación directa"/>
    <s v="TH"/>
    <s v="25 - contrato de prestacion de servicios profesionales"/>
    <s v="ENERO"/>
    <n v="10"/>
    <n v="0"/>
    <n v="51610870"/>
    <s v="NO"/>
    <x v="9"/>
    <s v="Fatima Veronica Quintero Nuñez"/>
    <x v="2"/>
    <s v="Subdirector@ de Gestión del Riesgo"/>
    <s v="1-100-I087 VA-Sobretasa Bomberil"/>
    <s v="80111600;"/>
    <s v="8173 7-Adecuar 4 Sedes de la UAECOB"/>
    <s v="8173"/>
    <s v="7"/>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0"/>
    <s v="Si Secop "/>
    <s v="20260589-TH-8173-7-Prestación de servicios profesionales para apoyar las actividades jurídicas de la Subdirección de Gestión Corporativa-SGC"/>
  </r>
  <r>
    <n v="20260590"/>
    <s v="Prestación de servicios de apoyo a la gestión, en la Subdirección de Gestión Corporativa en temas de infraestructura para el sostenimiento y mejoramiento de los equipamientos de la Unidad Administrativa Especial Cuerpo Oficial de Bomberos de Bogotá-SGC"/>
    <s v="09 - contratación directa"/>
    <s v="TH"/>
    <s v="26 - contrato de prestacion de servicios de apoyo a la gestion"/>
    <s v="ENERO"/>
    <n v="6"/>
    <n v="0"/>
    <n v="19705968"/>
    <s v="NO"/>
    <x v="9"/>
    <s v="Fatima Veronica Quintero Nuñez"/>
    <x v="0"/>
    <s v="Subdirector@ de Gestión Corporativa"/>
    <s v="1-100-I087 VA-Sobretasa Bomberil"/>
    <s v="801116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90-TH-8126-8-Prestación de servicios de apoyo a la gestión, en la Subdirección de Gestión Corporativa en temas de infraestructura para el sostenimiento y mejoramiento de los equipamientos de la Unidad Administrativa Especial Cuerpo Oficial de Bomberos de Bogotá-SGC"/>
  </r>
  <r>
    <n v="20260592"/>
    <s v="Prestación de servicios de apoyo a la gestión del proceso de inventarios de la Subdirección de Gestión Corporativa.-SGC"/>
    <s v="09 - contratación directa"/>
    <s v="TH"/>
    <s v="26 - contrato de prestacion de servicios de apoyo a la gestion"/>
    <s v="ENERO"/>
    <n v="6"/>
    <n v="0"/>
    <n v="19705968"/>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92-TH-8126-9-Prestación de servicios de apoyo a la gestión del proceso de inventarios de la Subdirección de Gestión Corporativa.-SGC"/>
  </r>
  <r>
    <n v="20260594"/>
    <s v="Prestación de servicios profesionales, en temas jurídicos de la gestión administrativa a cargo de la Subdirección de Gestión Corporativa.- SGC"/>
    <s v="09 - contratación directa"/>
    <s v="TH"/>
    <s v="25 - contrato de prestacion de servicios profesionales"/>
    <s v="ENERO"/>
    <n v="10"/>
    <n v="0"/>
    <n v="5161087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594-TH-8126-9-Prestación de servicios profesionales, en temas jurídicos de la gestión administrativa a cargo de la Subdirección de Gestión Corporativa.- SGC"/>
  </r>
  <r>
    <n v="20260595"/>
    <s v="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
    <s v="03 - selec. abrev. subasta inversa"/>
    <s v="BS"/>
    <s v="17 - contrato de mantenimiento"/>
    <s v="FEBRERO"/>
    <n v="0"/>
    <n v="0"/>
    <n v="20000000"/>
    <s v="NO"/>
    <x v="9"/>
    <s v="Fatima Veronica Quintero Nuñez"/>
    <x v="0"/>
    <s v="Subdirector@ de Gestión Corporativa"/>
    <s v="1-100-I087 VA-Sobretasa Bomberil"/>
    <s v="72151001;_x000a_72101503;_x000a_72101504;_x000a_ 72101506; _x000a_72153208;_x000a_ 72154019;"/>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6"/>
    <s v="No Secop"/>
    <s v="20260595-BS-8126-8-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
  </r>
  <r>
    <n v="20260596"/>
    <s v="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s v="01 - licitación pública"/>
    <s v="BS"/>
    <s v="15 - contrato de seguros"/>
    <s v="ABRIL"/>
    <n v="3"/>
    <n v="12"/>
    <n v="2066812200"/>
    <s v="NO"/>
    <x v="9"/>
    <s v="Fatima Veronica Quintero Nuñez"/>
    <x v="1"/>
    <s v="Subdirector@ de Gestión Corporativa"/>
    <s v="1-100-F001 VA-Recursos distrito"/>
    <s v="84131501;_x000a_84131503;_x000a_84131504;_x000a_84131512;_x000a_84131513;_x000a_84131515; _x000a_84131601,_x000a_84131603;_x000a_84131607;_x000a_84131515;"/>
    <s v="No aplica"/>
    <s v="No a"/>
    <s v="l"/>
    <s v="NA"/>
    <s v="NA"/>
    <s v="NA"/>
    <s v="N/A"/>
    <s v="N/A"/>
    <s v="N/A-N/A"/>
    <s v="N/A"/>
    <s v="N/A"/>
    <s v="N/A_N/A"/>
    <s v="N/A-N/A N/A_N/A"/>
    <x v="1"/>
    <s v="N/A"/>
    <x v="6"/>
    <s v="No Secop"/>
    <s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
  </r>
  <r>
    <n v="20260597"/>
    <s v="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s v="02 - selec. abrev. menor cuantía"/>
    <s v="BS"/>
    <s v="15 - contrato de seguros"/>
    <s v="JUNIO"/>
    <n v="0"/>
    <n v="365"/>
    <n v="60000000"/>
    <s v="NO"/>
    <x v="9"/>
    <s v="Fatima Veronica Quintero Nuñez"/>
    <x v="1"/>
    <s v="Subdirector@ de Gestión Corporativa"/>
    <s v="1-100-F001 VA-Recursos distrito"/>
    <s v="84131501;_x000a_84131503;_x000a_84131504;_x000a_84131512;_x000a_84131513;_x000a_84131515; _x000a_84131601,_x000a_84131603;_x000a_84131607;_x000a_84131515;"/>
    <s v="No aplica"/>
    <s v="No a"/>
    <s v="l"/>
    <s v="NA"/>
    <s v="NA"/>
    <s v="NA"/>
    <s v="N/A"/>
    <s v="N/A"/>
    <s v="N/A-N/A"/>
    <s v="N/A"/>
    <s v="N/A"/>
    <s v="N/A_N/A"/>
    <s v="N/A-N/A N/A_N/A"/>
    <x v="1"/>
    <s v="N/A"/>
    <x v="6"/>
    <s v="No Secop"/>
    <s v="20260597-BS-No a-l- Adición No. 1 al contrato 578 de 2025 que tiene como objeto “  Contratar los seguros obligatorios &quot;SOAT&quot; para el parque automotor de propiedad de la Unidad Administrativa Especial Cuerpo Oficial de Bomberos Bogotá D.C y de aquellos por los cuales fuere legalmente responsable-SGC"/>
  </r>
  <r>
    <n v="20260598"/>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45000000"/>
    <s v="NO"/>
    <x v="9"/>
    <s v="Fatima Veronica Quintero Nuñez"/>
    <x v="0"/>
    <s v="Subdirector@ de Gestión Corporativa"/>
    <s v="1-100-I087 VA-Sobretasa Bomberil"/>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No Secop"/>
    <s v="20260598-BS-8126-8-Adición y prórroga No. 2 al contrato 597 de 2025  que tiene como objeto &quot; Contratar la prestación del servicio de aseo y cafetería incluido insumos para la UAE Cuerpo Oficial de Bomberos -SGC"/>
  </r>
  <r>
    <n v="20260599"/>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45000000"/>
    <s v="NO"/>
    <x v="9"/>
    <s v="Fatima Veronica Quintero Nuñez"/>
    <x v="1"/>
    <s v="Subdirector@ de Gestión Corporativa"/>
    <s v="1-100-F001 VA-Recursos distrito"/>
    <s v="44121700;_x000a_44121800;_x000a_44121900;_x000a_44122000;"/>
    <s v="No aplica"/>
    <s v="No a"/>
    <s v="l"/>
    <s v="NA"/>
    <s v="NA"/>
    <s v="NA"/>
    <s v="N/A"/>
    <s v="N/A"/>
    <s v="N/A-N/A"/>
    <s v="N/A"/>
    <s v="N/A"/>
    <s v="N/A_N/A"/>
    <s v="N/A-N/A N/A_N/A"/>
    <x v="1"/>
    <s v="N/A"/>
    <x v="6"/>
    <s v="No Secop"/>
    <s v="20260599-BS-No a-l-Adición y prórroga No. 2 al contrato 597 de 2025  que tiene como objeto &quot; Contratar la prestación del servicio de aseo y cafetería incluido insumos para la UAE Cuerpo Oficial de Bomberos -SGC"/>
  </r>
  <r>
    <n v="20260600"/>
    <s v="Adición y prórroga No. 2 al contrato 597 de 2025  que tiene como objeto &quot; Contratar la prestación del servicio de aseo y cafetería incluido insumos para la UAE Cuerpo Oficial de Bomberos -SGC"/>
    <s v="17 - acuerdo marco de precios"/>
    <s v="BS"/>
    <s v="03 - contrato de prestacion de servicios"/>
    <s v="ENERO"/>
    <n v="1"/>
    <n v="0"/>
    <n v="25000000"/>
    <s v="NO"/>
    <x v="9"/>
    <s v="Fatima Veronica Quintero Nuñez"/>
    <x v="1"/>
    <s v="Subdirector@ de Gestión Corporativa"/>
    <s v="1-100-F001 VA-Recursos distrito"/>
    <s v="44121700;_x000a_44121800;_x000a_44121900;_x000a_44122000;"/>
    <s v="No aplica"/>
    <s v="No a"/>
    <s v="l"/>
    <s v="NA"/>
    <s v="NA"/>
    <s v="NA"/>
    <s v="N/A"/>
    <s v="N/A"/>
    <s v="N/A-N/A"/>
    <s v="N/A"/>
    <s v="N/A"/>
    <s v="N/A_N/A"/>
    <s v="N/A-N/A N/A_N/A"/>
    <x v="1"/>
    <s v="N/A"/>
    <x v="6"/>
    <s v="No Secop"/>
    <s v="20260600-BS-No a-l-Adición y prórroga No. 2 al contrato 597 de 2025  que tiene como objeto &quot; Contratar la prestación del servicio de aseo y cafetería incluido insumos para la UAE Cuerpo Oficial de Bomberos -SGC"/>
  </r>
  <r>
    <n v="20260601"/>
    <s v="Adición No. 01 al contrato 524 de 2025 que tiene como objeto &quot;Mantenimiento preventivo y correctivo, que incluye el suministro de insumos y repuestos de las lavadoras y secadoras industriales ubicadas en las estaciones de bomberos de la UAE Cuerpo Oficial de Bomberos de Bogotá-SGC"/>
    <s v=" 04 - contratación mínima cuantía "/>
    <s v="BS"/>
    <s v=" 04 - contratación mínima cuantía "/>
    <s v="ENERO"/>
    <n v="0"/>
    <n v="0"/>
    <n v="23000000"/>
    <s v="NO"/>
    <x v="9"/>
    <s v="Fatima Veronica Quintero Nuñez"/>
    <x v="0"/>
    <s v="Subdirector@ de Gestión Corporativa"/>
    <s v="1-100-I087 VA-Sobretasa Bomberil"/>
    <s v="47111502;_x000a_47111503;_x000a_73151802;_x000a_731521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9"/>
    <s v="No Secop"/>
    <s v="20260601-BS-8126-8-Adición No. 01 al contrato 524 de 2025 que tiene como objeto &quot;Mantenimiento preventivo y correctivo, que incluye el suministro de insumos y repuestos de las lavadoras y secadoras industriales ubicadas en las estaciones de bomberos de la UAE Cuerpo Oficial de Bomberos de Bogotá-SGC"/>
  </r>
  <r>
    <n v="20260602"/>
    <s v="Prestación de servicios profesionales para la implementación, consolidación, seguimiento y reporte de los lineamientos ambientales establecidos en el Plan Institucional de Gestión Ambiental (PIGA) en cada una de las sedes de la UAE Cuerpo Oficial de Bomberos Bogotá-SGC."/>
    <s v="09 - contratación directa"/>
    <s v="TH"/>
    <s v="25 - contrato de prestacion de servicios profesionales"/>
    <s v="ENERO"/>
    <n v="4"/>
    <n v="0"/>
    <n v="22035670"/>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
  </r>
  <r>
    <n v="20260603"/>
    <s v="Suministro de banderas y accesorios para las sedes UAECOB-SGC"/>
    <s v="04 - contratación mínima cuantía"/>
    <s v="BS"/>
    <s v="08 - contrato de suministro"/>
    <s v="MARZO"/>
    <n v="4"/>
    <n v="0"/>
    <n v="30000000"/>
    <s v="NO"/>
    <x v="9"/>
    <s v="Fatima Veronica Quintero Nuñez"/>
    <x v="2"/>
    <s v="Subdirector@ de Gestión del Riesgo"/>
    <s v="1-100-I087 VA-Sobretasa Bomberil"/>
    <s v="56101500; _x000a_56101700; _x000a_56101900; _x000a_56111500; _x000a_48101800;_x000a_48101915;_x000a_24112601;_x000a_49121509;"/>
    <s v="8173 11-Gestionar el 100% de las necesidades de bienes y servicios a la infraestructura en funcionamiento"/>
    <s v="8173"/>
    <s v="1"/>
    <s v="O230117"/>
    <s v="4503"/>
    <n v="20240255"/>
    <n v="14"/>
    <s v="Infraestructura física misional construida mantenida y dotada "/>
    <s v="14-Infraestructura física misional construida mantenida y dotada "/>
    <s v="014"/>
    <s v="Estaciones de bomberos adecuadas"/>
    <s v="014_Estaciones de bomberos adecuadas"/>
    <s v="14-Infraestructura física misional construida mantenida y dotada  014_Estaciones de bomberos adecuadas"/>
    <x v="13"/>
    <s v="PM/0131/0114/45030140255"/>
    <x v="28"/>
    <s v="Si Secop "/>
    <s v="20260603-BS-8173-1-Suministro de banderas y accesorios para las sedes UAECOB-SGC"/>
  </r>
  <r>
    <n v="20260604"/>
    <s v="Prestar servicios profesionales para el registro, actualización y reporte de los procesos y decisiones disciplinarias expedidas por la Oficina de Control Disciplinario Interno de la UAECOB en el aplicativo Sistema de Información Disciplinario (SID) ."/>
    <s v="09 - contratación directa"/>
    <s v="TH"/>
    <s v="25 - contrato de prestacion de servicios profesionales"/>
    <s v="FEBRERO"/>
    <n v="10"/>
    <n v="0"/>
    <n v="50000000"/>
    <s v="NO"/>
    <x v="2"/>
    <s v="Yenire Yohansy Lozano Ascani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04-TH-8126-9-Prestar servicios profesionales para el registro, actualización y reporte de los procesos y decisiones disciplinarias expedidas por la Oficina de Control Disciplinario Interno de la UAECOB en el aplicativo Sistema de Información Disciplinario (SID) ."/>
  </r>
  <r>
    <n v="20260605"/>
    <s v="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s v="09 - contratación directa"/>
    <s v="TH"/>
    <s v="25 - contrato de prestacion de servicios profesionales"/>
    <s v="FEBRERO"/>
    <n v="5"/>
    <n v="15"/>
    <n v="539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05-TH-8126-9-Adición y prórroga al Contrato 175 de 2025 con objeto &quot;Prestar servicios profesionales especializados en el desarrollo de las actividades y de los diferentes procesos que tiene a su cargo y bajo su seguimiento la Dirección General de la UAE Cuerpo Oficial de Bomberos de Bogotá&quot;"/>
  </r>
  <r>
    <n v="20260606"/>
    <s v="Adición y prórroga al Contrato 460 de 2025 con objeto &quot;Prestar servicios profesionales especializados en el desarrollo de las actividades estrategicas de la Dirección General de la UAE Cuerpo Oficial de Bomberos de Bogotá&quot;"/>
    <s v="09 - contratación directa"/>
    <s v="TH"/>
    <s v="25 - contrato de prestacion de servicios profesionales"/>
    <s v="FEBRERO"/>
    <n v="5"/>
    <n v="0"/>
    <n v="50000000"/>
    <s v="NO"/>
    <x v="10"/>
    <s v="Paula Ximena Henao Escobar"/>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06-TH-8126-9-Adición y prórroga al Contrato 460 de 2025 con objeto &quot;Prestar servicios profesionales especializados en el desarrollo de las actividades estrategicas de la Dirección General de la UAE Cuerpo Oficial de Bomberos de Bogotá&quot;"/>
  </r>
  <r>
    <n v="20260607"/>
    <s v="Adición y prórroga al Contrato 211 de 2025 con objeto &quot;Prestación de servicios profesionales en la Dirección en comunicaciones y prensa, para apoyar la difusión de la información al público interno y externo de la UAECOB&quot;"/>
    <s v="09 - contratación directa"/>
    <s v="TH"/>
    <s v="25 - contrato de prestacion de servicios profesionales"/>
    <s v="FEBRERO"/>
    <n v="5"/>
    <n v="0"/>
    <n v="30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07-TH-8126-1-Adición y prórroga al Contrato 211 de 2025 con objeto &quot;Prestación de servicios profesionales en la Dirección en comunicaciones y prensa, para apoyar la difusión de la información al público interno y externo de la UAECOB&quot;"/>
  </r>
  <r>
    <n v="20260608"/>
    <s v="Adición y prórroga al Contrato 202 de 2025 con objeto &quot;Prestar servicios de apoyo para la gestión en asuntos de comunicaciones y prensa en la Dirección General, y demás acciones encaminadas al cumplimiento de las estrategias comunicacionales de la UAECOB&quot;"/>
    <s v="09 - contratación directa"/>
    <s v="TH"/>
    <s v="25 - contrato de prestacion de servicios profesionales"/>
    <s v="FEBRERO"/>
    <n v="5"/>
    <n v="0"/>
    <n v="22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08-TH-8126-1-Adición y prórroga al Contrato 202 de 2025 con objeto &quot;Prestar servicios de apoyo para la gestión en asuntos de comunicaciones y prensa en la Dirección General, y demás acciones encaminadas al cumplimiento de las estrategias comunicacionales de la UAECOB&quot;"/>
  </r>
  <r>
    <n v="20260609"/>
    <s v="Adición y prórroga al Contrato 285 de 2025 con objeto &quot;Prestar apoyo técnico en la Dirección, en asuntos de comunicaciones y prensa, para la producción, diseño y edición de material audiovisual de la UAECOB&quot;"/>
    <s v="09 - contratación directa"/>
    <s v="TH"/>
    <s v="25 - contrato de prestacion de servicios profesionales"/>
    <s v="FEBRERO"/>
    <n v="5"/>
    <n v="0"/>
    <n v="22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09-TH-8126-1-Adición y prórroga al Contrato 285 de 2025 con objeto &quot;Prestar apoyo técnico en la Dirección, en asuntos de comunicaciones y prensa, para la producción, diseño y edición de material audiovisual de la UAECOB&quot;"/>
  </r>
  <r>
    <n v="20260610"/>
    <s v="Adición y prórroga al Contrato 278 de 2025 con objeto &quot;Prestación de servicios como conductor en los diferentes recorridos de carácter operativo que se requieran en la Dirección General&quot;"/>
    <s v="09 - contratación directa"/>
    <s v="TH"/>
    <s v="26 - contrato de prestacion de servicios de apoyo a la gestion"/>
    <s v="FEBRERO"/>
    <n v="5"/>
    <n v="0"/>
    <n v="175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10-TH-8126-1-Adición y prórroga al Contrato 278 de 2025 con objeto &quot;Prestación de servicios como conductor en los diferentes recorridos de carácter operativo que se requieran en la Dirección General&quot;"/>
  </r>
  <r>
    <n v="20260611"/>
    <s v="Adición y prórroga al Contrato 356 de 2025 con objeto &quot;Prestación de servicios profesionales en asuntos de comunicaciones y prensa para apoyar la creación y divulgación audiovisual relacionada con la misionalidad de la UAECOB&quot;"/>
    <s v="09 - contratación directa"/>
    <s v="TH"/>
    <s v="25 - contrato de prestacion de servicios profesionales"/>
    <s v="FEBRERO"/>
    <n v="5"/>
    <n v="0"/>
    <n v="260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11-TH-8126-1-Adición y prórroga al Contrato 356 de 2025 con objeto &quot;Prestación de servicios profesionales en asuntos de comunicaciones y prensa para apoyar la creación y divulgación audiovisual relacionada con la misionalidad de la UAECOB&quot;"/>
  </r>
  <r>
    <n v="20260612"/>
    <s v="Prestación de servicios de apoyo a la gestión en asuntos de comunicaciones y prensa para apoyar las labores de reportería, periodismo y de divulgación de información de acuerdo con la misionalidad de la UAECOB."/>
    <s v="09 - contratación directa"/>
    <s v="TH"/>
    <s v="26 - contrato de prestacion de servicios de apoyo a la gestion"/>
    <s v="FEBRERO"/>
    <n v="11"/>
    <n v="0"/>
    <n v="4730000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Si Secop "/>
    <s v="20260612-TH-8126-1-Prestación de servicios de apoyo a la gestión en asuntos de comunicaciones y prensa para apoyar las labores de reportería, periodismo y de divulgación de información de acuerdo con la misionalidad de la UAECOB."/>
  </r>
  <r>
    <n v="20260613"/>
    <s v="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2 - selec. abrev. menor cuantía"/>
    <s v="BS"/>
    <s v="11 - orden de prestacion de servicios"/>
    <s v="MARZO"/>
    <n v="3"/>
    <n v="0"/>
    <n v="182388960"/>
    <s v="NO"/>
    <x v="8"/>
    <s v="William Tovar Segura"/>
    <x v="2"/>
    <s v="Subdirector@ de Gestión del Riesgo"/>
    <s v="1-100-I087 VA-Sobretasa Bomberil"/>
    <s v="78121600;78131800;92111600;_x000a_721415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22"/>
    <s v="No Secop"/>
    <s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r>
  <r>
    <n v="20260614"/>
    <s v="Prestar los servicios profesionales  en la Oficina de Control Interno para el desarrollo del Plan Anual de Auditorías."/>
    <s v="09 - contratación directa"/>
    <s v="TH"/>
    <s v="25 - contrato de prestacion de servicios profesionales"/>
    <s v="ENERO"/>
    <n v="10"/>
    <n v="0"/>
    <n v="65000000"/>
    <s v="NO"/>
    <x v="3"/>
    <s v="Carlos Andres Vargas Puert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14-TH-8126-9-Prestar los servicios profesionales  en la Oficina de Control Interno para el desarrollo del Plan Anual de Auditorías."/>
  </r>
  <r>
    <n v="20260615"/>
    <s v="Prestar los servicios profesionales  en la Oficina de Control Interno para el desarrollo del Plan Anual de Auditorías."/>
    <s v="09 - contratación directa"/>
    <s v="TH"/>
    <s v="25 - contrato de prestacion de servicios profesionales"/>
    <s v="ENERO"/>
    <n v="10"/>
    <n v="0"/>
    <n v="77000000"/>
    <s v="NO"/>
    <x v="3"/>
    <s v="Carlos Andres Vargas Puert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15-TH-8126-9-Prestar los servicios profesionales  en la Oficina de Control Interno para el desarrollo del Plan Anual de Auditorías."/>
  </r>
  <r>
    <n v="20260616"/>
    <s v="Prestar servicios de apoyo a la gestión en el desarrollo de las actividades y trámites administrativos y operativos relacionados con los procesos que se encuentran a cargo de la Subdirección Operativa de la UAECOB-SO."/>
    <s v="09 - contratación directa"/>
    <s v="TH"/>
    <s v="26 - contrato de prestacion de servicios de apoyo a la gestion"/>
    <s v="ENERO"/>
    <n v="8"/>
    <n v="0"/>
    <n v="28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616-TH-8173-2-Prestar servicios de apoyo a la gestión en el desarrollo de las actividades y trámites administrativos y operativos relacionados con los procesos que se encuentran a cargo de la Subdirección Operativa de la UAECOB-SO."/>
  </r>
  <r>
    <n v="20260617"/>
    <s v="Prestar los servicios profesionales a la Subdirección Operativa de la UAECOB desde el componente jurídico, en los asuntos a cargo de la dependencia para el adecuado alcance de las metas e indicadores asignados a esta, brindando plena aplicación a la normatividad vigente-S.O."/>
    <s v="09 - contratación directa"/>
    <s v="TH"/>
    <s v="25 - contrato de prestacion de servicios profesionales"/>
    <s v="ENERO"/>
    <n v="6"/>
    <n v="0"/>
    <n v="48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
  </r>
  <r>
    <n v="20260618"/>
    <s v="Adquisición de vehiculos operativos para la atención de emergencias para la UAE Cuerpo Oficial de Bomberos de Bogotá, S.O."/>
    <s v="17 - acuerdo marco de precios"/>
    <s v="BS"/>
    <s v="01 - orden de compra"/>
    <s v="FEBRERO"/>
    <n v="4"/>
    <n v="0"/>
    <n v="1200000000"/>
    <s v="SI"/>
    <x v="7"/>
    <s v="Yenire Yohansy Lozano Ascanio"/>
    <x v="2"/>
    <s v="Subdirector@ de Gestión del Riesgo"/>
    <s v="1-100-I087 VA-Sobretasa Bomberil"/>
    <n v="80111600"/>
    <s v="8173 3-Desarrollar un programa de renovación de vehículos de la Unidad Administrativa Cuerpo Oficial de Bomberos de Bogotá."/>
    <s v="8173"/>
    <s v="3"/>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s v="PM/0131/0110/45030040255"/>
    <x v="16"/>
    <s v="Si Secop "/>
    <s v="20260618-BS-8173-3-Adquisición de vehiculos operativos para la atención de emergencias para la UAE Cuerpo Oficial de Bomberos de Bogotá, S.O."/>
  </r>
  <r>
    <n v="20260619"/>
    <s v="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s v="17 - acuerdo marco de precios"/>
    <s v="BS"/>
    <s v="01 - orden de compra"/>
    <s v="ENERO"/>
    <n v="2"/>
    <n v="0"/>
    <n v="509334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x v="9"/>
    <s v="PM/0131/0110/45030040255"/>
    <x v="16"/>
    <s v="No Secop"/>
    <s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
  </r>
  <r>
    <n v="20260620"/>
    <s v="SGH - INCENTIVOS"/>
    <s v="91 - n/a acto administrativo (resolución, decreto, acuerdo, etc.)"/>
    <s v="BS"/>
    <s v="12 - resolucion"/>
    <s v="AGOSTO"/>
    <n v="11"/>
    <n v="0"/>
    <n v="180000000"/>
    <s v="NO"/>
    <x v="5"/>
    <s v="Jose Andres Ponce Caicedo"/>
    <x v="1"/>
    <s v="Subdirector@ de Gestión Corporativa"/>
    <s v="1-100-F001 VA-Recursos distrito"/>
    <s v="NA"/>
    <s v="No aplica"/>
    <s v="No a"/>
    <s v="l"/>
    <s v="NA"/>
    <s v="NA"/>
    <s v="NA"/>
    <s v="N/A"/>
    <s v="N/A"/>
    <s v="N/A-N/A"/>
    <s v="N/A"/>
    <s v="N/A"/>
    <s v="N/A_N/A"/>
    <s v="N/A-N/A N/A_N/A"/>
    <x v="1"/>
    <s v="N/A"/>
    <x v="6"/>
    <s v="Si Secop "/>
    <s v="20260620-BS-No a-l-SGH - INCENTIVOS"/>
  </r>
  <r>
    <n v="20260621"/>
    <s v="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s v="09 - contratación directa"/>
    <s v="TH"/>
    <s v="25 - contrato de prestacion de servicios profesionales"/>
    <s v="ENERO"/>
    <n v="3"/>
    <n v="0"/>
    <n v="29400000"/>
    <s v="NO"/>
    <x v="5"/>
    <s v="Jose Andres Ponce Caicedo"/>
    <x v="0"/>
    <s v="Subdirector@ de Gestión Corporativa"/>
    <s v="1-100-I087 VA-Sobretasa Bomberil"/>
    <n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
  </r>
  <r>
    <n v="20260622"/>
    <s v="Suministrar combustible para los vehículos, y equipos especializados de la U.A.E. Cuerpo Oficial de Bomberos Bogotá dentro y fuera del perímetro del Distrito Capital - SBLG"/>
    <s v="17 - acuerdo marco de precios"/>
    <s v="BS"/>
    <s v="08 - contrato de suministro"/>
    <s v="MARZO"/>
    <n v="10"/>
    <n v="0"/>
    <n v="300000000"/>
    <s v="NO"/>
    <x v="6"/>
    <s v="Omer Mauricio Rivera Ruiz"/>
    <x v="2"/>
    <s v="Subdirector@ de Gestión del Riesgo"/>
    <s v="1-100-I087 VA-Sobretasa Bomberil"/>
    <n v="15101500"/>
    <s v="8173 4-Desarrollar 3 estrategias para el fortalecimiento de la logistica en la atención de emergencias. "/>
    <s v="8173"/>
    <s v="4"/>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x v="7"/>
    <s v="PM/0131/0112/45030040255"/>
    <x v="15"/>
    <s v="Si Secop "/>
    <s v="20260622-BS-8173-4-Suministrar combustible para los vehículos, y equipos especializados de la U.A.E. Cuerpo Oficial de Bomberos Bogotá dentro y fuera del perímetro del Distrito Capital - SBLG"/>
  </r>
  <r>
    <n v="20260623"/>
    <s v="Prestación de servicios de apoyo a la gestión documental de la Subdirección de Gestión Corporativa de la Unidad.-SGC"/>
    <s v="09 - contratación directa"/>
    <s v="TH"/>
    <s v="26 - contrato de prestacion de servicios de apoyo a la gestion"/>
    <s v="ENERO"/>
    <n v="6"/>
    <n v="0"/>
    <n v="16890834"/>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23-TH-8126-9-Prestación de servicios de apoyo a la gestión documental de la Subdirección de Gestión Corporativa de la Unidad.-SGC"/>
  </r>
  <r>
    <n v="20260624"/>
    <s v=" Prestación de servicios de apoyo a la gestión en la Subdirección de Gestión Corporativa, en las actividades asociadas a los procesos y procedimientos del almacén de la Entidad.- SGC"/>
    <s v="09 - contratación directa"/>
    <s v="TH"/>
    <s v="26 - contrato de prestacion de servicios de apoyo a la gestion"/>
    <s v="ENERO"/>
    <n v="6"/>
    <n v="0"/>
    <n v="22118946"/>
    <s v="NO"/>
    <x v="9"/>
    <s v="Fatima Veronica Quintero Nuñez"/>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Si Secop "/>
    <s v="20260624-TH-8126-9- Prestación de servicios de apoyo a la gestión en la Subdirección de Gestión Corporativa, en las actividades asociadas a los procesos y procedimientos del almacén de la Entidad.- SGC"/>
  </r>
  <r>
    <n v="20260625"/>
    <s v="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s v="09 - contratación directa"/>
    <s v="TH"/>
    <s v="25 - contrato de prestacion de servicios profesionales"/>
    <s v="ENERO"/>
    <n v="7"/>
    <n v="0"/>
    <n v="5460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
  </r>
  <r>
    <n v="20260626"/>
    <s v="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s v="09 - contratación directa"/>
    <s v="TH"/>
    <s v="26 - contrato de prestacion de servicios de apoyo a la gestion"/>
    <s v="ENERO"/>
    <n v="7"/>
    <n v="0"/>
    <n v="25830000"/>
    <s v="NO"/>
    <x v="5"/>
    <s v="Jose Andres Ponce Caicedo"/>
    <x v="2"/>
    <s v="Subdirector@ de Gestión del Riesgo"/>
    <s v="1-100-I087 VA-Sobretasa Bomberil"/>
    <n v="80111600"/>
    <s v="8173 9-Implementar el 100% del programa de capacitación, formación y entrenamiento al personal uniformado de la Unidad Administrativa Cuerpo Oficial de Bomberos de Bogotá."/>
    <s v="8173"/>
    <s v="9"/>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x v="5"/>
    <s v="PM/0131/0107/45030020255"/>
    <x v="0"/>
    <s v="Si Secop "/>
    <s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
  </r>
  <r>
    <n v="20260627"/>
    <s v="Prestación de servicios de apoyo para el desarrollo de las actividades y trámites administrativos y operativos relacionados con los procesos que se encuentran a cargo de la Subdirección Operativa-SO."/>
    <s v="09 - contratación directa"/>
    <s v="TH"/>
    <s v="26 - contrato de prestacion de servicios de apoyo a la gestion"/>
    <s v="ENERO"/>
    <n v="7"/>
    <n v="0"/>
    <n v="25802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627-TH-8173-2-Prestación de servicios de apoyo para el desarrollo de las actividades y trámites administrativos y operativos relacionados con los procesos que se encuentran a cargo de la Subdirección Operativa-SO."/>
  </r>
  <r>
    <n v="20260628"/>
    <s v="Adición y Prórroga al contrato de prestación de servicios # 446-2025, cuyo objeto es: &quot;Prestar servicios de apoyo a la gestión en las actividades de monitoreo, seguimiento y reporte de información del Centro de Coordinación y Comunicaciones de la Subdirección Operativa&quot;."/>
    <s v="09 - contratación directa"/>
    <s v="TH"/>
    <s v="26 - contrato de prestacion de servicios de apoyo a la gestion"/>
    <s v="FEBRERO"/>
    <n v="4"/>
    <n v="0"/>
    <n v="13136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No Secop"/>
    <s v="20260628-TH-8173-2-Adición y Prórroga al contrato de prestación de servicios # 446-2025, cuyo objeto es: &quot;Prestar servicios de apoyo a la gestión en las actividades de monitoreo, seguimiento y reporte de información del Centro de Coordinación y Comunicaciones de la Subdirección Operativa&quot;."/>
  </r>
  <r>
    <n v="20260629"/>
    <s v="Prestar servicios profesionales para apoyar jurídicamente el seguimiento y la revisión de derechos de petición y demás requerimientos, así como en la revisión de documentación referida a procesos de contratación a cargo de la Subdirección Operativa S.O."/>
    <s v="09 - contratación directa"/>
    <s v="TH"/>
    <s v="25 - contrato de prestacion de servicios profesionales"/>
    <s v="ENERO"/>
    <n v="7"/>
    <n v="0"/>
    <n v="49000000"/>
    <s v="NO"/>
    <x v="7"/>
    <s v="Yenire Yohansy Lozano Ascanio"/>
    <x v="2"/>
    <s v="Subdirector@ de Gestión del Riesgo"/>
    <s v="1-100-I087 VA-Sobretasa Bomberil"/>
    <n v="80111600"/>
    <s v="8173 2-Desarrollar un programa de renovación de equipos, herramientas, accesorios y elementos de protección personal en la UAECOB."/>
    <s v="8173"/>
    <s v="2"/>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x v="8"/>
    <s v="PM/0131/0104/45030040255"/>
    <x v="0"/>
    <s v="Si Secop "/>
    <s v="20260629-TH-8173-2-Prestar servicios profesionales para apoyar jurídicamente el seguimiento y la revisión de derechos de petición y demás requerimientos, así como en la revisión de documentación referida a procesos de contratación a cargo de la Subdirección Operativa S.O."/>
  </r>
  <r>
    <n v="20260630"/>
    <s v="Prestar servicios de apoyo como conductor a las acciones misionales de la Subdirección de Gestión del Riesgo."/>
    <s v="09 - contratación directa"/>
    <s v="TH"/>
    <s v="26 - contrato de prestacion de servicios de apoyo a la gestion"/>
    <s v="ENERO"/>
    <n v="7"/>
    <n v="0"/>
    <n v="2625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630-TH-8173-1-Prestar servicios de apoyo como conductor a las acciones misionales de la Subdirección de Gestión del Riesgo."/>
  </r>
  <r>
    <n v="20260631"/>
    <s v="Prestar servicios de apoyo en las actividades de Programas y Campañas de Prevención para la Subdirección de Gestión del Riesgo. _SGR"/>
    <s v="09 - contratación directa"/>
    <s v="TH"/>
    <s v="25 - contrato de prestacion de servicios profesionales"/>
    <s v="ENERO"/>
    <n v="6"/>
    <n v="0"/>
    <n v="21750000"/>
    <s v="NO"/>
    <x v="8"/>
    <s v="William Tovar Segura"/>
    <x v="2"/>
    <s v="Subdirector@ de Gestión del Riesgo"/>
    <s v="1-100-I087 VA-Sobretasa Bomberil"/>
    <n v="80111600"/>
    <s v="8173 1-Implementación 6 estrategias de reducción del riesgo de incendios,  incidentes con materiales peligrosos y rescate en todas sus modalidades en la ciudad de Bogotá"/>
    <s v="8173"/>
    <s v="1"/>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x v="10"/>
    <s v="PM/0131/0105/45030350255"/>
    <x v="0"/>
    <s v="Si Secop "/>
    <s v="20260631-TH-8173-1-Prestar servicios de apoyo en las actividades de Programas y Campañas de Prevención para la Subdirección de Gestión del Riesgo. _SGR"/>
  </r>
  <r>
    <n v="20260632"/>
    <s v="Adición y prórroga al contrato No. 490 de 2025 cuyo objeto es: &quot;contratar el alquiler de equipos tecnológicos, periféricos y servicios complementarios para la U.A.E Cuerpo Oficial de bomberos de Bogota- TIC&quot;"/>
    <s v="04 - contratación mínima cuantía"/>
    <s v="BS"/>
    <s v="23 - contrato de alquiler"/>
    <s v="FEBRERO"/>
    <n v="2"/>
    <n v="0"/>
    <n v="6664000"/>
    <s v="NO"/>
    <x v="0"/>
    <s v="Paula Ximena Henao Escobar"/>
    <x v="0"/>
    <s v="Subdirector@ de Gestión Corporativa"/>
    <s v="1-100-I087 VA-Sobretasa Bomberil"/>
    <n v="81112401"/>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No Secop"/>
    <s v="20260632-BS-8126-5-Adición y prórroga al contrato No. 490 de 2025 cuyo objeto es: &quot;contratar el alquiler de equipos tecnológicos, periféricos y servicios complementarios para la U.A.E Cuerpo Oficial de bomberos de Bogota- TIC&quot;"/>
  </r>
  <r>
    <n v="20260633"/>
    <s v="Adición y prórroga al contrato No. 411 de 2025 cuyo objeto es: &quot;Contratar la prestación del servicio de monitoreo, control y seguimiento satelital a los vehículos de propiedad de la U.A.E. Cuerpo Oficial de Bomberos de Bogotá - TIC&quot;"/>
    <s v="17 - acuerdo marco de precios"/>
    <s v="BS"/>
    <s v="03 - contrato de prestacion de servicios"/>
    <s v="FEBRERO"/>
    <n v="2"/>
    <n v="0"/>
    <n v="20246686"/>
    <s v="NO"/>
    <x v="0"/>
    <s v="Paula Ximena Henao Escobar"/>
    <x v="0"/>
    <s v="Subdirector@ de Gestión Corporativa"/>
    <s v="1-100-I087 VA-Sobretasa Bomberil"/>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No Secop"/>
    <s v="20260633-BS-8126-4-Adición y prórroga al contrato No. 411 de 2025 cuyo objeto es: &quot;Contratar la prestación del servicio de monitoreo, control y seguimiento satelital a los vehículos de propiedad de la U.A.E. Cuerpo Oficial de Bomberos de Bogotá - TIC&quot;"/>
  </r>
  <r>
    <n v="20260634"/>
    <s v="Prestar servicio de apoyo a la gestión administrativa y operativa de los mantenimientos requeridos a los equipos menores y/o parque automotor de la Subdirección Logística - SBLG"/>
    <s v="09 - contratación directa"/>
    <s v="TH"/>
    <s v="26 - contrato de prestacion de servicios de apoyo a la gestion"/>
    <s v="ENERO"/>
    <n v="5"/>
    <n v="0"/>
    <n v="16400000"/>
    <s v="NO"/>
    <x v="6"/>
    <s v="Omer Mauricio Rivera Ruiz"/>
    <x v="2"/>
    <s v="Subdirector@ de Gestión del Riesgo"/>
    <s v="1-100-I087 VA-Sobretasa Bomberil"/>
    <n v="80111600"/>
    <s v="8173 4-Desarrollar 3 estrategias para el fortalecimiento de la logistica en la atención de emergencias. "/>
    <s v="8173"/>
    <s v="4"/>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x v="6"/>
    <s v="PM/0131/0109/45030040255"/>
    <x v="0"/>
    <s v="Si Secop "/>
    <s v="20260634-TH-8173-4-Prestar servicio de apoyo a la gestión administrativa y operativa de los mantenimientos requeridos a los equipos menores y/o parque automotor de la Subdirección Logística - SBLG"/>
  </r>
  <r>
    <n v="20260635"/>
    <s v="Adición No. 1 al contrato 629 de 2025 que tiene como objeto “Prestar el servicio de vigilancia y seguridad privada en la modalidad de vigilancia fija, según especificaciones técnicas, en las instalaciones donde la UAE Especial Cuerpo Oficial de Bomberos requiera-SGC"/>
    <s v="01 - licitación pública"/>
    <s v="BS"/>
    <s v="03 - contrato de prestacion de servicios"/>
    <s v="MAYO"/>
    <n v="0"/>
    <n v="0"/>
    <n v="288000000"/>
    <s v="NO"/>
    <x v="9"/>
    <s v="Fatima Veronica Quintero Nuñez"/>
    <x v="0"/>
    <s v="Subdirector@ de Gestión Corporativa"/>
    <s v="1-100-I087 VA-Sobretasa Bomberil"/>
    <s v="921215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6"/>
    <s v="No Secop"/>
    <s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
  </r>
  <r>
    <n v="20260636"/>
    <s v="Congelamiento recursos 5% proyecto 8126"/>
    <s v="09 - contratación directa"/>
    <s v="TH"/>
    <s v="25 - contrato de prestacion de servicios profesionales"/>
    <s v="NO APLICA"/>
    <n v="0"/>
    <n v="0"/>
    <n v="95000000"/>
    <s v="NO"/>
    <x v="0"/>
    <s v="Paula Ximena Henao Escobar"/>
    <x v="0"/>
    <s v="Subdirector@ de Gestión Corporativa"/>
    <s v="1-100-I087 VA-Sobretasa Bomberil"/>
    <n v="8011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0"/>
    <s v="No Secop"/>
    <s v="20260636-TH-8126-5-Congelamiento recursos 5% proyecto 8126"/>
  </r>
  <r>
    <n v="20260637"/>
    <s v="Congelamiento recursos 5% proyecto 8126"/>
    <s v="17 - acuerdo marco de precios"/>
    <s v="BS"/>
    <s v="03 - contrato de prestacion de servicios"/>
    <s v="NO APLICA"/>
    <n v="0"/>
    <n v="0"/>
    <n v="65650000"/>
    <s v="NO"/>
    <x v="0"/>
    <s v="Paula Ximena Henao Escobar"/>
    <x v="0"/>
    <s v="Subdirector@ de Gestión Corporativa"/>
    <s v="1-100-I087 VA-Sobretasa Bomberil"/>
    <s v="83121700; 83111600; 43221700; 25173100;  81112000; 32101600 "/>
    <s v="8126 4-Administrar, soportar y mantener el 100% del servicio de Herramientas de Colaboración y sistemas de información."/>
    <s v="8126"/>
    <s v="4"/>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1"/>
    <s v="No Secop"/>
    <s v="20260637-BS-8126-4-Congelamiento recursos 5% proyecto 8126"/>
  </r>
  <r>
    <n v="20260638"/>
    <s v="Congelamiento recursos 5% proyecto 8126"/>
    <s v="09 - contratación directa"/>
    <s v="TH"/>
    <s v="25 - contrato de prestacion de servicios profesionales"/>
    <s v="NO APLICA"/>
    <n v="0"/>
    <n v="0"/>
    <n v="386527500"/>
    <s v="NO"/>
    <x v="9"/>
    <s v="Paula Ximena Henao Escobar"/>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38-TH-8126-9-Congelamiento recursos 5% proyecto 8126"/>
  </r>
  <r>
    <n v="20260639"/>
    <s v="Congelamiento recursos 5% proyecto 8173"/>
    <s v="01 - licitación pública"/>
    <s v="BS"/>
    <s v="05 - contrato de obra"/>
    <s v="NO APLICA"/>
    <n v="0"/>
    <n v="0"/>
    <n v="3760200"/>
    <s v="NO"/>
    <x v="9"/>
    <s v="Paula Ximena Henao Escobar"/>
    <x v="2"/>
    <s v="Subdirector@ de Gestión del Riesgo"/>
    <s v="1-100-I087 VA-Sobretasa Bomberil"/>
    <s v="72121400; 72151700; 72151700; 81101500"/>
    <s v="8173 7-Adecuar 4 Sedes de la UAECOB"/>
    <s v="8173"/>
    <s v="7"/>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x v="15"/>
    <s v="PM/0131/0108/45030310255"/>
    <x v="0"/>
    <s v="No Secop"/>
    <s v="20260639-BS-8173-7-Congelamiento recursos 5% proyecto 8173"/>
  </r>
  <r>
    <n v="20260640"/>
    <s v="Congelamiento recursos 5% proyecto 8126"/>
    <s v="09 - contratación directa"/>
    <s v="TH"/>
    <s v="25 - contrato de prestacion de servicios profesionales"/>
    <s v="NO APLICA"/>
    <n v="0"/>
    <n v="0"/>
    <n v="20296300"/>
    <s v="NO"/>
    <x v="1"/>
    <s v="Paula Ximena Henao Escobar"/>
    <x v="0"/>
    <s v="Subdirector@ de Gestión Corporativa"/>
    <s v="1-100-I087 VA-Sobretasa Bomberil"/>
    <n v="80111600"/>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8126"/>
    <s v="2"/>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x v="3"/>
    <s v="PM/0131/0113/45990230207"/>
    <x v="0"/>
    <s v="No Secop"/>
    <s v="20260640-TH-8126-2-Congelamiento recursos 5% proyecto 8126"/>
  </r>
  <r>
    <n v="20260641"/>
    <s v="Congelamiento recursos 5% proyecto 8126"/>
    <s v="09 - contratación directa"/>
    <s v="TH"/>
    <s v="25 - contrato de prestacion de servicios profesionales"/>
    <s v="NO APLICA"/>
    <n v="0"/>
    <n v="0"/>
    <n v="55442250"/>
    <s v="NO"/>
    <x v="1"/>
    <s v="Paula Ximena Henao Escobar"/>
    <x v="0"/>
    <s v="Subdirector@ de Gestión Corporativa"/>
    <s v="1-100-I087 VA-Sobretasa Bomberil"/>
    <n v="80111600"/>
    <s v="8126 1-Implementar el 100% de las actividades de seguimiento y control de los requisitos y directrices de las políticas del Modelo integrado de Planeación y Gestión - MIPG"/>
    <s v="8126"/>
    <s v="1"/>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x v="2"/>
    <s v="PM/0131/0113/45990310207"/>
    <x v="0"/>
    <s v="No Secop"/>
    <s v="20260641-TH-8126-1-Congelamiento recursos 5% proyecto 8126"/>
  </r>
  <r>
    <n v="20260642"/>
    <s v="Congelamiento recursos 5% proyecto 8126"/>
    <s v="02 - selec. abrev. menor cuantía"/>
    <s v="BS"/>
    <s v="03 - contrato de prestacion de servicios"/>
    <s v="NO APLICA"/>
    <n v="0"/>
    <n v="0"/>
    <n v="0"/>
    <s v="NO"/>
    <x v="0"/>
    <s v="Paula Ximena Henao Escobar"/>
    <x v="0"/>
    <s v="Subdirector@ de Gestión Corporativa"/>
    <s v="1-100-I087 VA-Sobretasa Bomberil"/>
    <s v="43191500_x000a_43221500_x000a_43222800_x000a_81161700_x000a_72151600"/>
    <s v="8126 5-Desarrollar el 100% de las acciones asociadas al fortalecimiento de la infraestructura tecnológica y de comunicaciones de la UAECOB"/>
    <s v="8126"/>
    <s v="5"/>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x v="0"/>
    <s v="PM/0131/0111/45990070207"/>
    <x v="2"/>
    <s v="No Secop"/>
    <s v="20260642-BS-8126-5-Congelamiento recursos 5% proyecto 8126"/>
  </r>
  <r>
    <n v="20260643"/>
    <s v="Congelamiento recursos 5% proyecto 8126"/>
    <s v="09 - contratación directa"/>
    <s v="TH"/>
    <s v="25 - contrato de prestacion de servicios profesionales"/>
    <s v="NO APLICA"/>
    <n v="0"/>
    <n v="0"/>
    <n v="0"/>
    <s v="NO"/>
    <x v="11"/>
    <s v="Paula Ximena Henao Escobar"/>
    <x v="0"/>
    <s v="Subdirector@ de Gestión Corporativa"/>
    <s v="1-100-I087 VA-Sobretasa Bomberil"/>
    <n v="80111600"/>
    <s v="8126 10-Formular e Implementar una estrategia de comunicaciones en lo relacionado con la divulgación de estrategias, programas, proyectos y servicios a los grupos de interés, de la UAECOB"/>
    <s v="8126"/>
    <s v="1"/>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x v="16"/>
    <s v="PM/0131/0113/45990190207"/>
    <x v="0"/>
    <s v="No Secop"/>
    <s v="20260643-TH-8126-1-Congelamiento recursos 5% proyecto 8126"/>
  </r>
  <r>
    <n v="20260644"/>
    <s v="Congelamiento recursos 5% proyecto 8126"/>
    <s v="09 - contratación directa"/>
    <s v="TH"/>
    <s v="25 - contrato de prestacion de servicios profesionales"/>
    <s v="NO APLICA"/>
    <n v="0"/>
    <n v="0"/>
    <n v="64171317"/>
    <s v="NO"/>
    <x v="10"/>
    <s v="Paula Ximena Henao Escobar"/>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44-TH-8126-9-Congelamiento recursos 5% proyecto 8126"/>
  </r>
  <r>
    <n v="20260645"/>
    <s v="Congelamiento recursos 5% proyecto 8126"/>
    <s v="09 - contratación directa"/>
    <s v="TH"/>
    <s v="25 - contrato de prestacion de servicios profesionales"/>
    <s v="NO APLICA"/>
    <n v="0"/>
    <n v="0"/>
    <n v="24231997"/>
    <s v="NO"/>
    <x v="2"/>
    <s v="Paula Ximena Henao Escobar"/>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45-TH-8126-9-Congelamiento recursos 5% proyecto 8126"/>
  </r>
  <r>
    <n v="20260646"/>
    <s v="Congelamiento recursos 5% proyecto 8126"/>
    <s v="09 - contratación directa"/>
    <s v="TH"/>
    <s v="25 - contrato de prestacion de servicios profesionales"/>
    <s v="NO APLICA"/>
    <n v="0"/>
    <n v="0"/>
    <n v="24969186"/>
    <s v="NO"/>
    <x v="3"/>
    <s v="Paula Ximena Henao Escobar"/>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46-TH-8126-9-Congelamiento recursos 5% proyecto 8126"/>
  </r>
  <r>
    <n v="20260647"/>
    <s v="Congelamiento recursos 5% proyecto 8126"/>
    <s v="09 - contratación directa"/>
    <s v="TH"/>
    <s v="25 - contrato de prestacion de servicios profesionales"/>
    <s v="NO APLICA"/>
    <n v="0"/>
    <n v="0"/>
    <n v="0"/>
    <s v="NO"/>
    <x v="4"/>
    <s v="Paula Ximena Henao Escobar"/>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47-TH-8126-9-Congelamiento recursos 5% proyecto 8126"/>
  </r>
  <r>
    <n v="20260648"/>
    <s v="Congelamiento recursos 5% proyecto 8126"/>
    <s v="09 - contratación directa"/>
    <s v="TH"/>
    <s v="25 - contrato de prestacion de servicios profesionales"/>
    <s v="NO APLICA"/>
    <n v="0"/>
    <n v="0"/>
    <m/>
    <s v="NO"/>
    <x v="5"/>
    <s v="Paula Ximena Henao Escobar"/>
    <x v="0"/>
    <s v="Subdirector@ de Gestión Corporativa"/>
    <s v="1-100-I087 VA-Sobretasa Bomberil"/>
    <s v="80111600;"/>
    <s v="8126 9-Fortalecer el 100% de la gestión administrativa de las áreas de apoyo al cumplimiento de la misionalidad de la UAECOB"/>
    <s v="8126"/>
    <s v="9"/>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0"/>
    <s v="No Secop"/>
    <s v="20260648-TH-8126-9-Congelamiento recursos 5% proyecto 8126"/>
  </r>
  <r>
    <n v="20260649"/>
    <s v="Congelamiento recursos 5% proyecto 8126"/>
    <s v="02 - selec. abrev. menor cuantía"/>
    <s v="BS"/>
    <s v="17 - contrato de mantenimiento"/>
    <s v="NO APLICA"/>
    <n v="0"/>
    <n v="0"/>
    <n v="0"/>
    <s v="NO"/>
    <x v="9"/>
    <s v="Fatima Veronica Quintero Nuñez"/>
    <x v="0"/>
    <s v="Subdirector@ de Gestión Corporativa"/>
    <s v="1-100-I087 VA-Sobretasa Bomberil"/>
    <s v="72151000;_x000a_72101500;_x000a_72153200;_x000a_ 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16"/>
    <s v="No Secop"/>
    <s v="20260649-BS-8126-8-Congelamiento recursos 5% proyecto 8126"/>
  </r>
  <r>
    <n v="20260650"/>
    <s v="Congelamiento recursos 5% proyecto 8126"/>
    <s v="01 - licitación pública"/>
    <s v="BS"/>
    <s v="05 - contrato de obra"/>
    <s v="NO APLICA"/>
    <n v="0"/>
    <n v="0"/>
    <n v="0"/>
    <s v="NO"/>
    <x v="9"/>
    <s v="Fatima Veronica Quintero Nuñez"/>
    <x v="0"/>
    <s v="Subdirector@ de Gestión Corporativa"/>
    <s v="1-100-I087 VA-Sobretasa Bomberil"/>
    <s v="72102900; _x000a_72121400; _x000a_72151700;_x000a_72154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9"/>
    <s v="No Secop"/>
    <s v="20260650-BS-8126-8-Congelamiento recursos 5% proyecto 8126"/>
  </r>
  <r>
    <n v="20260651"/>
    <s v="Congelamiento recursos 5% proyecto 8126"/>
    <s v="17 - acuerdo marco de precios"/>
    <s v="BS"/>
    <s v="03 - contrato de prestacion de servicios"/>
    <s v="NO APLICA"/>
    <n v="0"/>
    <n v="0"/>
    <n v="0"/>
    <s v="NO"/>
    <x v="9"/>
    <s v="Fatima Veronica Quintero Nuñez"/>
    <x v="0"/>
    <s v="Subdirector@ de Gestión Corporativa"/>
    <s v="1-100-I087 VA-Sobretasa Bomberil"/>
    <s v="44121700;_x000a_44121800;_x000a_44121900;_x000a_44122000;"/>
    <s v="8126 8-Implementar el 100% del programa de mantenimiento a las sedes de Bomberos de Bogotá"/>
    <s v="8126"/>
    <s v="8"/>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x v="4"/>
    <s v="PM/0131/0108/45990160207"/>
    <x v="27"/>
    <s v="No Secop"/>
    <s v="20260651-BS-8126-8-Congelamiento recursos 5% proyecto 812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7D643A6-0BF9-425C-89BD-F5ABE9C83089}" name="TablaDinámica1" cacheId="146"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5:B18" firstHeaderRow="1" firstDataRow="1" firstDataCol="1" rowPageCount="1" colPageCount="1"/>
  <pivotFields count="34">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dataField="1" numFmtId="164" showAll="0"/>
    <pivotField showAll="0"/>
    <pivotField axis="axisRow" outline="0" showAll="0" defaultSubtotal="0">
      <items count="14">
        <item x="10"/>
        <item x="11"/>
        <item x="0"/>
        <item x="1"/>
        <item x="2"/>
        <item x="3"/>
        <item x="4"/>
        <item x="9"/>
        <item x="5"/>
        <item x="8"/>
        <item x="6"/>
        <item x="7"/>
        <item m="1" x="13"/>
        <item m="1" x="12"/>
      </items>
      <extLst>
        <ext xmlns:x14="http://schemas.microsoft.com/office/spreadsheetml/2009/9/main" uri="{2946ED86-A175-432a-8AC1-64E0C546D7DE}">
          <x14:pivotField fillDownLabels="1"/>
        </ext>
      </extLst>
    </pivotField>
    <pivotField showAll="0"/>
    <pivotField axis="axisPage" multipleItemSelectionAllowed="1" showAll="0">
      <items count="5">
        <item x="1"/>
        <item x="0"/>
        <item x="2"/>
        <item m="1" x="3"/>
        <item t="default"/>
      </items>
    </pivotField>
    <pivotField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outline="0" multipleItemSelectionAllowed="1" showAll="0" defaultSubtotal="0">
      <extLst>
        <ext xmlns:x14="http://schemas.microsoft.com/office/spreadsheetml/2009/9/main" uri="{2946ED86-A175-432a-8AC1-64E0C546D7DE}">
          <x14:pivotField fillDownLabels="1"/>
        </ext>
      </extLst>
    </pivotField>
    <pivotField showAll="0"/>
    <pivotField outline="0" multipleItemSelectionAllowed="1" showAll="0" defaultSubtotal="0">
      <extLst>
        <ext xmlns:x14="http://schemas.microsoft.com/office/spreadsheetml/2009/9/main" uri="{2946ED86-A175-432a-8AC1-64E0C546D7DE}">
          <x14:pivotField fillDownLabels="1"/>
        </ext>
      </extLst>
    </pivotField>
    <pivotField showAll="0"/>
    <pivotField showAll="0"/>
  </pivotFields>
  <rowFields count="1">
    <field x="10"/>
  </rowFields>
  <rowItems count="13">
    <i>
      <x/>
    </i>
    <i>
      <x v="1"/>
    </i>
    <i>
      <x v="2"/>
    </i>
    <i>
      <x v="3"/>
    </i>
    <i>
      <x v="4"/>
    </i>
    <i>
      <x v="5"/>
    </i>
    <i>
      <x v="6"/>
    </i>
    <i>
      <x v="7"/>
    </i>
    <i>
      <x v="8"/>
    </i>
    <i>
      <x v="9"/>
    </i>
    <i>
      <x v="10"/>
    </i>
    <i>
      <x v="11"/>
    </i>
    <i t="grand">
      <x/>
    </i>
  </rowItems>
  <colItems count="1">
    <i/>
  </colItems>
  <pageFields count="1">
    <pageField fld="12" hier="-1"/>
  </pageFields>
  <dataFields count="1">
    <dataField name="Suma de Valor apropiacion vigencia actual" fld="8" baseField="0" baseItem="0" numFmtId="164"/>
  </dataFields>
  <formats count="4">
    <format dxfId="136">
      <pivotArea outline="0" collapsedLevelsAreSubtotals="1" fieldPosition="0"/>
    </format>
    <format dxfId="135">
      <pivotArea field="12" type="button" dataOnly="0" labelOnly="1" outline="0" axis="axisPage" fieldPosition="0"/>
    </format>
    <format dxfId="134">
      <pivotArea type="topRight" dataOnly="0" labelOnly="1" outline="0" fieldPosition="0"/>
    </format>
    <format dxfId="133">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7A1DE19-80FD-441A-AB47-9813857D4D77}" name="TablaDinámica2" cacheId="146"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23:D46" firstHeaderRow="1" firstDataRow="1" firstDataCol="3" rowPageCount="1" colPageCount="1"/>
  <pivotFields count="34">
    <pivotField showAll="0"/>
    <pivotField showAll="0"/>
    <pivotField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dataField="1" numFmtId="164" showAll="0"/>
    <pivotField showAll="0"/>
    <pivotField axis="axisRow" outline="0" showAll="0" defaultSubtotal="0">
      <items count="14">
        <item x="10"/>
        <item x="11"/>
        <item x="0"/>
        <item x="1"/>
        <item x="2"/>
        <item x="3"/>
        <item x="4"/>
        <item x="9"/>
        <item x="5"/>
        <item x="8"/>
        <item x="6"/>
        <item x="7"/>
        <item m="1" x="13"/>
        <item m="1" x="12"/>
      </items>
      <extLst>
        <ext xmlns:x14="http://schemas.microsoft.com/office/spreadsheetml/2009/9/main" uri="{2946ED86-A175-432a-8AC1-64E0C546D7DE}">
          <x14:pivotField fillDownLabels="1"/>
        </ext>
      </extLst>
    </pivotField>
    <pivotField showAll="0"/>
    <pivotField axis="axisPage" multipleItemSelectionAllowed="1" showAll="0">
      <items count="5">
        <item h="1" x="1"/>
        <item x="0"/>
        <item h="1" x="2"/>
        <item m="1" x="3"/>
        <item t="default"/>
      </items>
    </pivotField>
    <pivotField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outline="0" multipleItemSelectionAllowed="1" showAll="0" defaultSubtotal="0">
      <items count="17">
        <item x="1"/>
        <item x="8"/>
        <item x="10"/>
        <item x="11"/>
        <item x="5"/>
        <item x="15"/>
        <item x="6"/>
        <item x="9"/>
        <item x="7"/>
        <item x="13"/>
        <item x="14"/>
        <item x="12"/>
        <item x="4"/>
        <item x="0"/>
        <item x="16"/>
        <item x="3"/>
        <item x="2"/>
      </items>
      <extLst>
        <ext xmlns:x14="http://schemas.microsoft.com/office/spreadsheetml/2009/9/main" uri="{2946ED86-A175-432a-8AC1-64E0C546D7DE}">
          <x14:pivotField fillDownLabels="1"/>
        </ext>
      </extLst>
    </pivotField>
    <pivotField showAll="0"/>
    <pivotField axis="axisRow" outline="0" multipleItemSelectionAllowed="1" showAll="0" defaultSubtotal="0">
      <items count="34">
        <item x="6"/>
        <item x="21"/>
        <item x="3"/>
        <item x="4"/>
        <item x="5"/>
        <item x="10"/>
        <item x="16"/>
        <item x="30"/>
        <item x="28"/>
        <item x="18"/>
        <item x="12"/>
        <item x="15"/>
        <item x="14"/>
        <item x="25"/>
        <item x="9"/>
        <item x="31"/>
        <item x="19"/>
        <item x="22"/>
        <item x="7"/>
        <item x="1"/>
        <item x="2"/>
        <item x="17"/>
        <item x="26"/>
        <item x="27"/>
        <item x="32"/>
        <item x="13"/>
        <item x="29"/>
        <item x="20"/>
        <item x="23"/>
        <item x="24"/>
        <item x="0"/>
        <item x="11"/>
        <item x="8"/>
        <item m="1" x="33"/>
      </items>
      <extLst>
        <ext xmlns:x14="http://schemas.microsoft.com/office/spreadsheetml/2009/9/main" uri="{2946ED86-A175-432a-8AC1-64E0C546D7DE}">
          <x14:pivotField fillDownLabels="1"/>
        </ext>
      </extLst>
    </pivotField>
    <pivotField showAll="0"/>
    <pivotField showAll="0"/>
  </pivotFields>
  <rowFields count="3">
    <field x="10"/>
    <field x="29"/>
    <field x="31"/>
  </rowFields>
  <rowItems count="23">
    <i>
      <x/>
      <x v="12"/>
      <x v="24"/>
    </i>
    <i r="2">
      <x v="30"/>
    </i>
    <i>
      <x v="1"/>
      <x v="14"/>
      <x v="30"/>
    </i>
    <i>
      <x v="2"/>
      <x v="13"/>
      <x v="19"/>
    </i>
    <i r="2">
      <x v="20"/>
    </i>
    <i r="2">
      <x v="30"/>
    </i>
    <i>
      <x v="3"/>
      <x v="15"/>
      <x v="30"/>
    </i>
    <i r="1">
      <x v="16"/>
      <x v="30"/>
    </i>
    <i>
      <x v="4"/>
      <x v="12"/>
      <x v="30"/>
    </i>
    <i>
      <x v="5"/>
      <x v="12"/>
      <x v="30"/>
    </i>
    <i>
      <x v="6"/>
      <x v="12"/>
      <x v="30"/>
    </i>
    <i>
      <x v="7"/>
      <x v="12"/>
      <x v="5"/>
    </i>
    <i r="2">
      <x v="6"/>
    </i>
    <i r="2">
      <x v="7"/>
    </i>
    <i r="2">
      <x v="14"/>
    </i>
    <i r="2">
      <x v="15"/>
    </i>
    <i r="2">
      <x v="22"/>
    </i>
    <i r="2">
      <x v="23"/>
    </i>
    <i r="2">
      <x v="26"/>
    </i>
    <i r="2">
      <x v="27"/>
    </i>
    <i r="2">
      <x v="30"/>
    </i>
    <i>
      <x v="8"/>
      <x v="12"/>
      <x v="30"/>
    </i>
    <i t="grand">
      <x/>
    </i>
  </rowItems>
  <colItems count="1">
    <i/>
  </colItems>
  <pageFields count="1">
    <pageField fld="12" hier="-1"/>
  </pageFields>
  <dataFields count="1">
    <dataField name="Suma de Valor apropiacion vigencia actual" fld="8" baseField="0" baseItem="0" numFmtId="164"/>
  </dataFields>
  <formats count="7">
    <format dxfId="140">
      <pivotArea outline="0" collapsedLevelsAreSubtotals="1" fieldPosition="0"/>
    </format>
    <format dxfId="139">
      <pivotArea field="12" type="button" dataOnly="0" labelOnly="1" outline="0" axis="axisPage" fieldPosition="0"/>
    </format>
    <format dxfId="138">
      <pivotArea type="topRight" dataOnly="0" labelOnly="1" outline="0" fieldPosition="0"/>
    </format>
    <format dxfId="137">
      <pivotArea dataOnly="0" labelOnly="1" grandCol="1" outline="0" fieldPosition="0"/>
    </format>
    <format dxfId="92">
      <pivotArea outline="0" collapsedLevelsAreSubtotals="1" fieldPosition="0">
        <references count="2">
          <reference field="10" count="1" selected="0">
            <x v="0"/>
          </reference>
          <reference field="31" count="2" selected="0">
            <x v="24"/>
            <x v="30"/>
          </reference>
        </references>
      </pivotArea>
    </format>
    <format dxfId="91">
      <pivotArea dataOnly="0" labelOnly="1" fieldPosition="0">
        <references count="1">
          <reference field="10" count="1">
            <x v="0"/>
          </reference>
        </references>
      </pivotArea>
    </format>
    <format dxfId="90">
      <pivotArea dataOnly="0" labelOnly="1" fieldPosition="0">
        <references count="2">
          <reference field="10" count="1" selected="0">
            <x v="0"/>
          </reference>
          <reference field="31" count="2">
            <x v="24"/>
            <x v="3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I657" totalsRowShown="0" headerRowDxfId="132" dataDxfId="130" headerRowBorderDxfId="131" tableBorderDxfId="129" totalsRowBorderDxfId="128">
  <autoFilter ref="B11:AI657" xr:uid="{00000000-000C-0000-FFFF-FFFF00000000}"/>
  <sortState xmlns:xlrd2="http://schemas.microsoft.com/office/spreadsheetml/2017/richdata2" ref="B12:AI657">
    <sortCondition sortBy="cellColor" ref="B11:B657" dxfId="1"/>
  </sortState>
  <tableColumns count="34">
    <tableColumn id="1" xr3:uid="{00000000-0010-0000-0000-000001000000}" name="Id Interno" dataDxfId="127" dataCellStyle="Millares"/>
    <tableColumn id="29" xr3:uid="{6E0C2575-6F82-4393-8478-8ABA1BB95D8D}" name="Objeto de la contratación" dataDxfId="126" dataCellStyle="Millares"/>
    <tableColumn id="30" xr3:uid="{2E28827C-CB39-46C1-AE1A-A273E80C18AA}" name="Modalidad de Selección" dataDxfId="125" dataCellStyle="Millares"/>
    <tableColumn id="31" xr3:uid="{FA1C55F6-D46D-422B-8D87-02AF4EF50FB5}" name="tipo de Contrato (TH talento humano - B/S bienes y/o servicios)" dataDxfId="124" dataCellStyle="Millares"/>
    <tableColumn id="32" xr3:uid="{0496A17B-836C-488C-83FC-7B97E621862C}" name="Tipo de Contratación" dataDxfId="123" dataCellStyle="Millares"/>
    <tableColumn id="34" xr3:uid="{5030F4BB-20B2-4AA9-BB7F-6FE8E982496F}" name="Mes estimado de inicio de ejecución" dataDxfId="122"/>
    <tableColumn id="35" xr3:uid="{55022259-E0E1-40DB-9906-2780E56ADBD6}" name="plazo ejec Meses" dataDxfId="121"/>
    <tableColumn id="36" xr3:uid="{640C848D-F55E-4544-9D2E-B70ECD132648}" name="mas plazo ejec Días (si aplica)" dataDxfId="120"/>
    <tableColumn id="5" xr3:uid="{05DF518B-CA49-46BE-8AA0-2C47633D4CCA}" name="Valor apropiacion vigencia actual" dataDxfId="119" dataCellStyle="Millares"/>
    <tableColumn id="37" xr3:uid="{777DB4FA-284B-4B1C-83F5-FEBFB0A46D55}" name="¿vigencia futuras?" dataDxfId="118" dataCellStyle="Millares"/>
    <tableColumn id="3" xr3:uid="{00000000-0010-0000-0000-000003000000}" name="Dependencia Solicitante" dataDxfId="117"/>
    <tableColumn id="4" xr3:uid="{00000000-0010-0000-0000-000004000000}" name="Responsable del Proceso" dataDxfId="116" dataCellStyle="Normal 2"/>
    <tableColumn id="40" xr3:uid="{36691A9F-1FC4-4BDD-BF10-A3870A450F77}" name="Proyecto y nombre Asociado" dataDxfId="115" dataCellStyle="Millares"/>
    <tableColumn id="38" xr3:uid="{BBFE6D21-66F0-43E1-A3BB-14789CB36D19}" name="Gerente del Proyecto Asociado" dataDxfId="114" dataCellStyle="Normal 2"/>
    <tableColumn id="39" xr3:uid="{586F9A4B-5355-4D5E-9ACF-9D0D92CFF1E2}" name="Fuente de Recursos" dataDxfId="113" dataCellStyle="Normal 2"/>
    <tableColumn id="7" xr3:uid="{00000000-0010-0000-0000-000007000000}" name="Código UNSPSC (cada código separado por ;)" dataDxfId="112" dataCellStyle="Moneda"/>
    <tableColumn id="14" xr3:uid="{00000000-0010-0000-0000-00000E000000}" name="Meta Proyecto de Inversión" dataDxfId="111" dataCellStyle="Normal 2"/>
    <tableColumn id="42" xr3:uid="{42825D5A-D18E-49D3-BB8F-EA1165D885F7}" name="meta objeto" dataDxfId="110" dataCellStyle="Normal 2">
      <calculatedColumnFormula>MID(PAA[[#This Row],[Meta Proyecto de Inversión]],1,4)</calculatedColumnFormula>
    </tableColumn>
    <tableColumn id="43" xr3:uid="{84B78E2C-6E64-4CCD-9B0C-3F6A1F27A8AF}" name="meta objeto2" dataDxfId="109" dataCellStyle="Normal 2">
      <calculatedColumnFormula>MID(PAA[[#This Row],[Meta Proyecto de Inversión]],6,1)</calculatedColumnFormula>
    </tableColumn>
    <tableColumn id="15" xr3:uid="{00000000-0010-0000-0000-00000F000000}" name="Bogotá camina segura" dataDxfId="108" dataCellStyle="Normal 2">
      <calculatedColumnFormula>IFERROR(VLOOKUP(N12,TD!$B$50:$F$54,2,0)," ")</calculatedColumnFormula>
    </tableColumn>
    <tableColumn id="16" xr3:uid="{00000000-0010-0000-0000-000010000000}" name="Sector_Programa MGA" dataDxfId="107" dataCellStyle="Normal 2">
      <calculatedColumnFormula>IFERROR(VLOOKUP(N12,TD!$B$50:$F$54,3,0)," ")</calculatedColumnFormula>
    </tableColumn>
    <tableColumn id="17" xr3:uid="{00000000-0010-0000-0000-000011000000}" name="BPIN (AÑO+COD_PROYECTO)" dataDxfId="106" dataCellStyle="Normal 2">
      <calculatedColumnFormula>IFERROR(VLOOKUP(N12,TD!$B$50:$F$54,4,0)," ")</calculatedColumnFormula>
    </tableColumn>
    <tableColumn id="18" xr3:uid="{00000000-0010-0000-0000-000012000000}" name="Producto PMR" dataDxfId="105" dataCellStyle="Normal 2"/>
    <tableColumn id="19" xr3:uid="{00000000-0010-0000-0000-000013000000}" name="Descripción Producto PMR" dataDxfId="104" dataCellStyle="Normal 2"/>
    <tableColumn id="20" xr3:uid="{00000000-0010-0000-0000-000014000000}" name="PMR conca" dataDxfId="103" dataCellStyle="Normal 2">
      <calculatedColumnFormula>CONCATENATE(X12,"-",Y12)</calculatedColumnFormula>
    </tableColumn>
    <tableColumn id="21" xr3:uid="{00000000-0010-0000-0000-000015000000}" name="Producto MGA" dataDxfId="102" dataCellStyle="Normal 2"/>
    <tableColumn id="22" xr3:uid="{00000000-0010-0000-0000-000016000000}" name="Descripción Producto MGA" dataDxfId="101" dataCellStyle="Normal 2"/>
    <tableColumn id="23" xr3:uid="{00000000-0010-0000-0000-000017000000}" name="concatenarMGA" dataDxfId="100" dataCellStyle="Normal 2">
      <calculatedColumnFormula>CONCATENATE(AA12,"_",AB12)</calculatedColumnFormula>
    </tableColumn>
    <tableColumn id="24" xr3:uid="{00000000-0010-0000-0000-000018000000}" name="PM MGA conca" dataDxfId="99" dataCellStyle="Normal 2">
      <calculatedColumnFormula>CONCATENATE(Z12," ",AC12)</calculatedColumnFormula>
    </tableColumn>
    <tableColumn id="25" xr3:uid="{00000000-0010-0000-0000-000019000000}" name="Código de proyecto de inversión, asociado a productos PMR y MGA" dataDxfId="98" dataCellStyle="Normal 2">
      <calculatedColumnFormula>CONCATENATE(U12,V12,W12,X12,AA12)</calculatedColumnFormula>
    </tableColumn>
    <tableColumn id="26" xr3:uid="{00000000-0010-0000-0000-00001A000000}" name="codigo PEP" dataDxfId="97" dataCellStyle="Normal 2"/>
    <tableColumn id="27" xr3:uid="{00000000-0010-0000-0000-00001B000000}" name="POSPRE" dataDxfId="96" dataCellStyle="Millares"/>
    <tableColumn id="28" xr3:uid="{00000000-0010-0000-0000-00001C000000}" name="Si Secop / No Secop" dataDxfId="95" dataCellStyle="Normal 2"/>
    <tableColumn id="41" xr3:uid="{9A77615E-E441-4C5E-9871-62C3FAF4DAF0}" name="Objeto de contratacion CDP" dataDxfId="94">
      <calculatedColumnFormula>CONCATENATE(PAA[[#This Row],[Id Interno]],"-",PAA[[#This Row],[tipo de Contrato (TH talento humano - B/S bienes y/o servicios)]],"-",S12,"-",T12,"-",PAA[[#This Row],[Objeto de la contratación]])</calculatedColumnFormula>
    </tableColumn>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1.bin"/><Relationship Id="rId3" Type="http://schemas.openxmlformats.org/officeDocument/2006/relationships/hyperlink" Target="mailto:Subdirector@%20de%20Gesti&#243;n%20del%20Riesgo" TargetMode="External"/><Relationship Id="rId7" Type="http://schemas.openxmlformats.org/officeDocument/2006/relationships/printerSettings" Target="../printerSettings/printerSettings1.bin"/><Relationship Id="rId2" Type="http://schemas.openxmlformats.org/officeDocument/2006/relationships/hyperlink" Target="mailto:Subdirector@%20de%20Gesti&#243;n%20Corporativa" TargetMode="External"/><Relationship Id="rId1" Type="http://schemas.openxmlformats.org/officeDocument/2006/relationships/hyperlink" Target="mailto:Subdirector@%20de%20Gesti&#243;n%20Corporativa" TargetMode="External"/><Relationship Id="rId6" Type="http://schemas.openxmlformats.org/officeDocument/2006/relationships/hyperlink" Target="mailto:Subdirector@%20de%20Gesti&#243;n%20Corporativa" TargetMode="External"/><Relationship Id="rId5" Type="http://schemas.openxmlformats.org/officeDocument/2006/relationships/hyperlink" Target="mailto:Subdirector@%20de%20Gesti&#243;n%20del%20Riesgo" TargetMode="External"/><Relationship Id="rId10" Type="http://schemas.openxmlformats.org/officeDocument/2006/relationships/table" Target="../tables/table1.xml"/><Relationship Id="rId4" Type="http://schemas.openxmlformats.org/officeDocument/2006/relationships/hyperlink" Target="mailto:Subdirector@%20de%20Gesti&#243;n%20del%20Riesgo"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A4CC-1D14-44B6-9679-5F3E3A737448}">
  <dimension ref="A1:F643"/>
  <sheetViews>
    <sheetView topLeftCell="A22" zoomScale="85" zoomScaleNormal="85" workbookViewId="0">
      <selection activeCell="D35" sqref="D35"/>
    </sheetView>
  </sheetViews>
  <sheetFormatPr baseColWidth="10" defaultColWidth="10.7265625" defaultRowHeight="14.5" x14ac:dyDescent="0.35"/>
  <cols>
    <col min="1" max="1" width="34.453125" customWidth="1"/>
    <col min="2" max="2" width="30" style="124" customWidth="1"/>
    <col min="3" max="3" width="27.6328125" style="124" customWidth="1"/>
    <col min="4" max="4" width="22.90625" style="124" customWidth="1"/>
    <col min="5" max="5" width="17.81640625" style="124" customWidth="1"/>
    <col min="6" max="6" width="16" customWidth="1"/>
    <col min="7" max="7" width="20" customWidth="1"/>
  </cols>
  <sheetData>
    <row r="1" spans="1:5" x14ac:dyDescent="0.35">
      <c r="B1"/>
    </row>
    <row r="2" spans="1:5" x14ac:dyDescent="0.35">
      <c r="B2"/>
      <c r="C2"/>
      <c r="D2"/>
      <c r="E2"/>
    </row>
    <row r="3" spans="1:5" x14ac:dyDescent="0.35">
      <c r="A3" s="125" t="s">
        <v>368</v>
      </c>
      <c r="B3" t="s">
        <v>997</v>
      </c>
      <c r="C3" s="58"/>
      <c r="D3" s="58"/>
      <c r="E3" s="58"/>
    </row>
    <row r="5" spans="1:5" x14ac:dyDescent="0.35">
      <c r="A5" s="57" t="s">
        <v>346</v>
      </c>
      <c r="B5" s="58" t="s">
        <v>585</v>
      </c>
      <c r="C5"/>
      <c r="D5"/>
      <c r="E5"/>
    </row>
    <row r="6" spans="1:5" x14ac:dyDescent="0.35">
      <c r="A6" t="s">
        <v>45</v>
      </c>
      <c r="B6" s="58">
        <v>1728621317</v>
      </c>
      <c r="C6"/>
      <c r="D6"/>
      <c r="E6"/>
    </row>
    <row r="7" spans="1:5" x14ac:dyDescent="0.35">
      <c r="A7" t="s">
        <v>150</v>
      </c>
      <c r="B7" s="58">
        <v>969477500</v>
      </c>
      <c r="C7"/>
      <c r="D7"/>
      <c r="E7"/>
    </row>
    <row r="8" spans="1:5" x14ac:dyDescent="0.35">
      <c r="A8" t="s">
        <v>151</v>
      </c>
      <c r="B8" s="58">
        <v>6142343914</v>
      </c>
      <c r="C8"/>
      <c r="D8"/>
      <c r="E8"/>
    </row>
    <row r="9" spans="1:5" x14ac:dyDescent="0.35">
      <c r="A9" t="s">
        <v>36</v>
      </c>
      <c r="B9" s="58">
        <v>1611597086</v>
      </c>
      <c r="C9"/>
      <c r="D9"/>
      <c r="E9"/>
    </row>
    <row r="10" spans="1:5" x14ac:dyDescent="0.35">
      <c r="A10" t="s">
        <v>46</v>
      </c>
      <c r="B10" s="58">
        <v>844231997</v>
      </c>
      <c r="C10"/>
      <c r="D10"/>
      <c r="E10"/>
    </row>
    <row r="11" spans="1:5" x14ac:dyDescent="0.35">
      <c r="A11" t="s">
        <v>152</v>
      </c>
      <c r="B11" s="58">
        <v>516969186</v>
      </c>
      <c r="C11"/>
      <c r="D11"/>
      <c r="E11"/>
    </row>
    <row r="12" spans="1:5" x14ac:dyDescent="0.35">
      <c r="A12" t="s">
        <v>153</v>
      </c>
      <c r="B12" s="58">
        <v>2100000000</v>
      </c>
      <c r="C12"/>
      <c r="D12"/>
      <c r="E12"/>
    </row>
    <row r="13" spans="1:5" x14ac:dyDescent="0.35">
      <c r="A13" t="s">
        <v>155</v>
      </c>
      <c r="B13" s="58">
        <v>35049440000</v>
      </c>
      <c r="C13"/>
      <c r="D13"/>
      <c r="E13"/>
    </row>
    <row r="14" spans="1:5" x14ac:dyDescent="0.35">
      <c r="A14" t="s">
        <v>154</v>
      </c>
      <c r="B14" s="58">
        <v>7922000000</v>
      </c>
      <c r="C14"/>
      <c r="D14"/>
      <c r="E14"/>
    </row>
    <row r="15" spans="1:5" x14ac:dyDescent="0.35">
      <c r="A15" t="s">
        <v>156</v>
      </c>
      <c r="B15" s="58">
        <v>4100000000</v>
      </c>
      <c r="C15"/>
      <c r="D15"/>
      <c r="E15"/>
    </row>
    <row r="16" spans="1:5" x14ac:dyDescent="0.35">
      <c r="A16" t="s">
        <v>157</v>
      </c>
      <c r="B16" s="58">
        <v>9749000000</v>
      </c>
      <c r="C16"/>
      <c r="D16"/>
      <c r="E16"/>
    </row>
    <row r="17" spans="1:5" x14ac:dyDescent="0.35">
      <c r="A17" t="s">
        <v>158</v>
      </c>
      <c r="B17" s="58">
        <v>12540000000</v>
      </c>
      <c r="C17"/>
      <c r="D17"/>
      <c r="E17"/>
    </row>
    <row r="18" spans="1:5" x14ac:dyDescent="0.35">
      <c r="A18" t="s">
        <v>347</v>
      </c>
      <c r="B18" s="58">
        <v>83273681000</v>
      </c>
      <c r="C18"/>
      <c r="D18"/>
      <c r="E18"/>
    </row>
    <row r="19" spans="1:5" x14ac:dyDescent="0.35">
      <c r="B19"/>
      <c r="C19"/>
      <c r="D19"/>
      <c r="E19"/>
    </row>
    <row r="20" spans="1:5" x14ac:dyDescent="0.35">
      <c r="B20"/>
      <c r="C20"/>
      <c r="D20"/>
      <c r="E20"/>
    </row>
    <row r="21" spans="1:5" x14ac:dyDescent="0.35">
      <c r="A21" s="125" t="s">
        <v>368</v>
      </c>
      <c r="B21" t="s">
        <v>197</v>
      </c>
      <c r="C21"/>
      <c r="D21"/>
      <c r="E21"/>
    </row>
    <row r="22" spans="1:5" x14ac:dyDescent="0.35">
      <c r="B22"/>
      <c r="C22" s="205"/>
      <c r="D22"/>
      <c r="E22"/>
    </row>
    <row r="23" spans="1:5" x14ac:dyDescent="0.35">
      <c r="A23" s="57" t="s">
        <v>346</v>
      </c>
      <c r="B23" s="57" t="s">
        <v>195</v>
      </c>
      <c r="C23" s="57" t="s">
        <v>77</v>
      </c>
      <c r="D23" s="58" t="s">
        <v>585</v>
      </c>
      <c r="E23"/>
    </row>
    <row r="24" spans="1:5" x14ac:dyDescent="0.35">
      <c r="A24" s="230" t="s">
        <v>45</v>
      </c>
      <c r="B24" t="s">
        <v>300</v>
      </c>
      <c r="C24" s="230" t="s">
        <v>937</v>
      </c>
      <c r="D24" s="231">
        <v>400000000</v>
      </c>
      <c r="E24"/>
    </row>
    <row r="25" spans="1:5" x14ac:dyDescent="0.35">
      <c r="A25" s="230" t="s">
        <v>45</v>
      </c>
      <c r="B25" t="s">
        <v>300</v>
      </c>
      <c r="C25" s="230" t="s">
        <v>385</v>
      </c>
      <c r="D25" s="231">
        <v>1328621317</v>
      </c>
      <c r="E25"/>
    </row>
    <row r="26" spans="1:5" x14ac:dyDescent="0.35">
      <c r="A26" t="s">
        <v>150</v>
      </c>
      <c r="B26" t="s">
        <v>306</v>
      </c>
      <c r="C26" t="s">
        <v>385</v>
      </c>
      <c r="D26" s="58">
        <v>969477500</v>
      </c>
      <c r="E26"/>
    </row>
    <row r="27" spans="1:5" x14ac:dyDescent="0.35">
      <c r="A27" t="s">
        <v>151</v>
      </c>
      <c r="B27" t="s">
        <v>296</v>
      </c>
      <c r="C27" t="s">
        <v>116</v>
      </c>
      <c r="D27" s="58">
        <v>1228896686</v>
      </c>
      <c r="E27"/>
    </row>
    <row r="28" spans="1:5" x14ac:dyDescent="0.35">
      <c r="A28" t="s">
        <v>151</v>
      </c>
      <c r="B28" t="s">
        <v>296</v>
      </c>
      <c r="C28" t="s">
        <v>121</v>
      </c>
      <c r="D28" s="58">
        <v>2025977228</v>
      </c>
      <c r="E28"/>
    </row>
    <row r="29" spans="1:5" x14ac:dyDescent="0.35">
      <c r="A29" t="s">
        <v>151</v>
      </c>
      <c r="B29" t="s">
        <v>296</v>
      </c>
      <c r="C29" t="s">
        <v>385</v>
      </c>
      <c r="D29" s="58">
        <v>2101000000</v>
      </c>
      <c r="E29"/>
    </row>
    <row r="30" spans="1:5" x14ac:dyDescent="0.35">
      <c r="A30" t="s">
        <v>36</v>
      </c>
      <c r="B30" t="s">
        <v>294</v>
      </c>
      <c r="C30" t="s">
        <v>385</v>
      </c>
      <c r="D30" s="58">
        <v>354422828</v>
      </c>
      <c r="E30"/>
    </row>
    <row r="31" spans="1:5" x14ac:dyDescent="0.35">
      <c r="A31" t="s">
        <v>36</v>
      </c>
      <c r="B31" t="s">
        <v>293</v>
      </c>
      <c r="C31" t="s">
        <v>385</v>
      </c>
      <c r="D31" s="58">
        <v>1257174258</v>
      </c>
      <c r="E31"/>
    </row>
    <row r="32" spans="1:5" x14ac:dyDescent="0.35">
      <c r="A32" t="s">
        <v>46</v>
      </c>
      <c r="B32" t="s">
        <v>300</v>
      </c>
      <c r="C32" t="s">
        <v>385</v>
      </c>
      <c r="D32" s="58">
        <v>844231997</v>
      </c>
      <c r="E32"/>
    </row>
    <row r="33" spans="1:6" x14ac:dyDescent="0.35">
      <c r="A33" t="s">
        <v>152</v>
      </c>
      <c r="B33" t="s">
        <v>300</v>
      </c>
      <c r="C33" t="s">
        <v>385</v>
      </c>
      <c r="D33" s="58">
        <v>516969186</v>
      </c>
      <c r="E33"/>
    </row>
    <row r="34" spans="1:6" x14ac:dyDescent="0.35">
      <c r="A34" t="s">
        <v>153</v>
      </c>
      <c r="B34" t="s">
        <v>300</v>
      </c>
      <c r="C34" t="s">
        <v>385</v>
      </c>
      <c r="D34" s="58">
        <v>2100000000</v>
      </c>
      <c r="E34"/>
    </row>
    <row r="35" spans="1:6" x14ac:dyDescent="0.35">
      <c r="A35" t="s">
        <v>155</v>
      </c>
      <c r="B35" t="s">
        <v>300</v>
      </c>
      <c r="C35" t="s">
        <v>941</v>
      </c>
      <c r="D35" s="58">
        <v>400000000</v>
      </c>
      <c r="E35"/>
    </row>
    <row r="36" spans="1:6" x14ac:dyDescent="0.35">
      <c r="A36" t="s">
        <v>155</v>
      </c>
      <c r="B36" t="s">
        <v>300</v>
      </c>
      <c r="C36" t="s">
        <v>80</v>
      </c>
      <c r="D36" s="58">
        <v>370000000</v>
      </c>
      <c r="E36"/>
    </row>
    <row r="37" spans="1:6" x14ac:dyDescent="0.35">
      <c r="A37" t="s">
        <v>155</v>
      </c>
      <c r="B37" t="s">
        <v>300</v>
      </c>
      <c r="C37" t="s">
        <v>945</v>
      </c>
      <c r="D37" s="58">
        <v>120000000</v>
      </c>
      <c r="E37"/>
    </row>
    <row r="38" spans="1:6" x14ac:dyDescent="0.35">
      <c r="A38" t="s">
        <v>155</v>
      </c>
      <c r="B38" t="s">
        <v>300</v>
      </c>
      <c r="C38" t="s">
        <v>94</v>
      </c>
      <c r="D38" s="58">
        <v>1023472500</v>
      </c>
      <c r="E38" s="205"/>
      <c r="F38" s="205"/>
    </row>
    <row r="39" spans="1:6" x14ac:dyDescent="0.35">
      <c r="A39" t="s">
        <v>155</v>
      </c>
      <c r="B39" t="s">
        <v>300</v>
      </c>
      <c r="C39" t="s">
        <v>944</v>
      </c>
      <c r="D39" s="58">
        <v>180000000</v>
      </c>
      <c r="E39"/>
    </row>
    <row r="40" spans="1:6" x14ac:dyDescent="0.35">
      <c r="A40" t="s">
        <v>155</v>
      </c>
      <c r="B40" t="s">
        <v>300</v>
      </c>
      <c r="C40" t="s">
        <v>132</v>
      </c>
      <c r="D40" s="58">
        <v>1735882000</v>
      </c>
      <c r="E40"/>
    </row>
    <row r="41" spans="1:6" x14ac:dyDescent="0.35">
      <c r="A41" t="s">
        <v>155</v>
      </c>
      <c r="B41" t="s">
        <v>300</v>
      </c>
      <c r="C41" t="s">
        <v>134</v>
      </c>
      <c r="D41" s="58">
        <v>488376820</v>
      </c>
      <c r="E41"/>
    </row>
    <row r="42" spans="1:6" x14ac:dyDescent="0.35">
      <c r="A42" t="s">
        <v>155</v>
      </c>
      <c r="B42" t="s">
        <v>300</v>
      </c>
      <c r="C42" t="s">
        <v>943</v>
      </c>
      <c r="D42" s="58">
        <v>147000000</v>
      </c>
      <c r="E42"/>
    </row>
    <row r="43" spans="1:6" x14ac:dyDescent="0.35">
      <c r="A43" t="s">
        <v>155</v>
      </c>
      <c r="B43" t="s">
        <v>300</v>
      </c>
      <c r="C43" t="s">
        <v>587</v>
      </c>
      <c r="D43" s="58">
        <v>180000000</v>
      </c>
      <c r="E43"/>
    </row>
    <row r="44" spans="1:6" x14ac:dyDescent="0.35">
      <c r="A44" t="s">
        <v>155</v>
      </c>
      <c r="B44" t="s">
        <v>300</v>
      </c>
      <c r="C44" t="s">
        <v>385</v>
      </c>
      <c r="D44" s="58">
        <v>5095962680</v>
      </c>
      <c r="E44"/>
    </row>
    <row r="45" spans="1:6" x14ac:dyDescent="0.35">
      <c r="A45" t="s">
        <v>154</v>
      </c>
      <c r="B45" t="s">
        <v>300</v>
      </c>
      <c r="C45" t="s">
        <v>385</v>
      </c>
      <c r="D45" s="58">
        <v>2300000000</v>
      </c>
      <c r="E45"/>
    </row>
    <row r="46" spans="1:6" x14ac:dyDescent="0.35">
      <c r="A46" t="s">
        <v>347</v>
      </c>
      <c r="B46"/>
      <c r="C46"/>
      <c r="D46" s="58">
        <v>25167465000</v>
      </c>
      <c r="E46"/>
    </row>
    <row r="47" spans="1:6" x14ac:dyDescent="0.35">
      <c r="B47"/>
      <c r="C47"/>
      <c r="D47"/>
      <c r="E47"/>
    </row>
    <row r="48" spans="1:6" x14ac:dyDescent="0.35">
      <c r="B48"/>
      <c r="C48"/>
      <c r="D48"/>
      <c r="E48"/>
    </row>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row r="57" customFormat="1" x14ac:dyDescent="0.35"/>
    <row r="58" customFormat="1" x14ac:dyDescent="0.35"/>
    <row r="59" customFormat="1" x14ac:dyDescent="0.35"/>
    <row r="60" customFormat="1" x14ac:dyDescent="0.35"/>
    <row r="61" customFormat="1" x14ac:dyDescent="0.35"/>
    <row r="62" customFormat="1" x14ac:dyDescent="0.35"/>
    <row r="63" customFormat="1" x14ac:dyDescent="0.35"/>
    <row r="64" customFormat="1" x14ac:dyDescent="0.35"/>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spans="2:5" x14ac:dyDescent="0.35">
      <c r="B97"/>
      <c r="C97"/>
      <c r="D97"/>
      <c r="E97"/>
    </row>
    <row r="98" spans="2:5" x14ac:dyDescent="0.35">
      <c r="B98"/>
      <c r="C98"/>
      <c r="D98"/>
      <c r="E98"/>
    </row>
    <row r="99" spans="2:5" x14ac:dyDescent="0.35">
      <c r="B99"/>
      <c r="C99"/>
      <c r="D99"/>
      <c r="E99"/>
    </row>
    <row r="100" spans="2:5" x14ac:dyDescent="0.35">
      <c r="B100"/>
      <c r="C100"/>
      <c r="D100"/>
      <c r="E100"/>
    </row>
    <row r="101" spans="2:5" x14ac:dyDescent="0.35">
      <c r="B101"/>
      <c r="C101"/>
      <c r="D101"/>
      <c r="E101"/>
    </row>
    <row r="102" spans="2:5" x14ac:dyDescent="0.35">
      <c r="B102"/>
      <c r="C102"/>
      <c r="D102"/>
      <c r="E102"/>
    </row>
    <row r="103" spans="2:5" x14ac:dyDescent="0.35">
      <c r="B103"/>
      <c r="C103"/>
      <c r="D103"/>
      <c r="E103"/>
    </row>
    <row r="104" spans="2:5" x14ac:dyDescent="0.35">
      <c r="B104"/>
      <c r="C104"/>
      <c r="D104"/>
      <c r="E104"/>
    </row>
    <row r="105" spans="2:5" x14ac:dyDescent="0.35">
      <c r="B105"/>
      <c r="C105"/>
      <c r="D105"/>
      <c r="E105"/>
    </row>
    <row r="106" spans="2:5" x14ac:dyDescent="0.35">
      <c r="B106"/>
      <c r="C106"/>
      <c r="D106"/>
      <c r="E106"/>
    </row>
    <row r="107" spans="2:5" x14ac:dyDescent="0.35">
      <c r="B107"/>
      <c r="C107"/>
      <c r="D107"/>
      <c r="E107"/>
    </row>
    <row r="108" spans="2:5" x14ac:dyDescent="0.35">
      <c r="B108"/>
      <c r="C108"/>
      <c r="D108"/>
    </row>
    <row r="109" spans="2:5" x14ac:dyDescent="0.35">
      <c r="B109"/>
      <c r="C109"/>
      <c r="D109"/>
    </row>
    <row r="110" spans="2:5" x14ac:dyDescent="0.35">
      <c r="B110"/>
      <c r="C110"/>
      <c r="D110"/>
    </row>
    <row r="111" spans="2:5" x14ac:dyDescent="0.35">
      <c r="B111"/>
      <c r="C111"/>
      <c r="D111"/>
    </row>
    <row r="112" spans="2:5" x14ac:dyDescent="0.35">
      <c r="B112"/>
      <c r="C112"/>
      <c r="D112"/>
    </row>
    <row r="113" spans="2:4" x14ac:dyDescent="0.35">
      <c r="B113"/>
      <c r="C113"/>
      <c r="D113"/>
    </row>
    <row r="114" spans="2:4" x14ac:dyDescent="0.35">
      <c r="B114"/>
      <c r="C114"/>
      <c r="D114"/>
    </row>
    <row r="115" spans="2:4" x14ac:dyDescent="0.35">
      <c r="B115"/>
      <c r="C115"/>
      <c r="D115"/>
    </row>
    <row r="116" spans="2:4" x14ac:dyDescent="0.35">
      <c r="B116"/>
      <c r="C116"/>
      <c r="D116"/>
    </row>
    <row r="117" spans="2:4" x14ac:dyDescent="0.35">
      <c r="B117"/>
      <c r="C117"/>
      <c r="D117"/>
    </row>
    <row r="118" spans="2:4" x14ac:dyDescent="0.35">
      <c r="B118"/>
      <c r="C118"/>
      <c r="D118"/>
    </row>
    <row r="119" spans="2:4" x14ac:dyDescent="0.35">
      <c r="B119"/>
      <c r="C119"/>
      <c r="D119"/>
    </row>
    <row r="120" spans="2:4" x14ac:dyDescent="0.35">
      <c r="B120"/>
      <c r="C120"/>
      <c r="D120"/>
    </row>
    <row r="121" spans="2:4" x14ac:dyDescent="0.35">
      <c r="B121"/>
      <c r="C121"/>
      <c r="D121"/>
    </row>
    <row r="122" spans="2:4" x14ac:dyDescent="0.35">
      <c r="B122"/>
      <c r="C122"/>
      <c r="D122"/>
    </row>
    <row r="123" spans="2:4" x14ac:dyDescent="0.35">
      <c r="B123"/>
      <c r="C123"/>
      <c r="D123"/>
    </row>
    <row r="124" spans="2:4" x14ac:dyDescent="0.35">
      <c r="B124"/>
      <c r="C124"/>
      <c r="D124"/>
    </row>
    <row r="125" spans="2:4" x14ac:dyDescent="0.35">
      <c r="B125"/>
      <c r="C125"/>
      <c r="D125"/>
    </row>
    <row r="126" spans="2:4" x14ac:dyDescent="0.35">
      <c r="B126"/>
      <c r="C126"/>
      <c r="D126"/>
    </row>
    <row r="127" spans="2:4" x14ac:dyDescent="0.35">
      <c r="B127"/>
      <c r="C127"/>
      <c r="D127"/>
    </row>
    <row r="128" spans="2:4" x14ac:dyDescent="0.35">
      <c r="B128"/>
      <c r="C128"/>
      <c r="D128"/>
    </row>
    <row r="129" spans="2:4" x14ac:dyDescent="0.35">
      <c r="B129"/>
      <c r="C129"/>
      <c r="D129"/>
    </row>
    <row r="130" spans="2:4" x14ac:dyDescent="0.35">
      <c r="B130"/>
      <c r="C130"/>
      <c r="D130"/>
    </row>
    <row r="131" spans="2:4" x14ac:dyDescent="0.35">
      <c r="B131"/>
      <c r="C131"/>
      <c r="D131"/>
    </row>
    <row r="132" spans="2:4" x14ac:dyDescent="0.35">
      <c r="B132"/>
      <c r="C132"/>
      <c r="D132"/>
    </row>
    <row r="133" spans="2:4" x14ac:dyDescent="0.35">
      <c r="B133"/>
      <c r="C133"/>
      <c r="D133"/>
    </row>
    <row r="134" spans="2:4" x14ac:dyDescent="0.35">
      <c r="B134"/>
      <c r="C134"/>
    </row>
    <row r="135" spans="2:4" x14ac:dyDescent="0.35">
      <c r="B135"/>
      <c r="C135"/>
    </row>
    <row r="136" spans="2:4" x14ac:dyDescent="0.35">
      <c r="B136"/>
      <c r="C136"/>
    </row>
    <row r="137" spans="2:4" x14ac:dyDescent="0.35">
      <c r="B137"/>
      <c r="C137"/>
    </row>
    <row r="138" spans="2:4" x14ac:dyDescent="0.35">
      <c r="B138"/>
      <c r="C138"/>
    </row>
    <row r="139" spans="2:4" x14ac:dyDescent="0.35">
      <c r="B139"/>
      <c r="C139"/>
    </row>
    <row r="140" spans="2:4" x14ac:dyDescent="0.35">
      <c r="B140"/>
    </row>
    <row r="141" spans="2:4" x14ac:dyDescent="0.35">
      <c r="B141"/>
    </row>
    <row r="142" spans="2:4" x14ac:dyDescent="0.35">
      <c r="B142"/>
    </row>
    <row r="143" spans="2:4" x14ac:dyDescent="0.35">
      <c r="B143"/>
    </row>
    <row r="144" spans="2:4" x14ac:dyDescent="0.35">
      <c r="B144"/>
    </row>
    <row r="145" spans="2:2" x14ac:dyDescent="0.35">
      <c r="B145"/>
    </row>
    <row r="146" spans="2:2" x14ac:dyDescent="0.35">
      <c r="B146"/>
    </row>
    <row r="147" spans="2:2" x14ac:dyDescent="0.35">
      <c r="B147"/>
    </row>
    <row r="148" spans="2:2" x14ac:dyDescent="0.35">
      <c r="B148"/>
    </row>
    <row r="149" spans="2:2" x14ac:dyDescent="0.35">
      <c r="B149"/>
    </row>
    <row r="150" spans="2:2" x14ac:dyDescent="0.35">
      <c r="B150"/>
    </row>
    <row r="151" spans="2:2" x14ac:dyDescent="0.35">
      <c r="B151"/>
    </row>
    <row r="152" spans="2:2" x14ac:dyDescent="0.35">
      <c r="B152"/>
    </row>
    <row r="153" spans="2:2" x14ac:dyDescent="0.35">
      <c r="B153"/>
    </row>
    <row r="154" spans="2:2" x14ac:dyDescent="0.35">
      <c r="B154"/>
    </row>
    <row r="155" spans="2:2" x14ac:dyDescent="0.35">
      <c r="B155"/>
    </row>
    <row r="156" spans="2:2" x14ac:dyDescent="0.35">
      <c r="B156"/>
    </row>
    <row r="157" spans="2:2" x14ac:dyDescent="0.35">
      <c r="B157"/>
    </row>
    <row r="158" spans="2:2" x14ac:dyDescent="0.35">
      <c r="B158"/>
    </row>
    <row r="159" spans="2:2" x14ac:dyDescent="0.35">
      <c r="B159"/>
    </row>
    <row r="160" spans="2:2" x14ac:dyDescent="0.35">
      <c r="B160"/>
    </row>
    <row r="161" spans="2:2" x14ac:dyDescent="0.35">
      <c r="B161"/>
    </row>
    <row r="162" spans="2:2" x14ac:dyDescent="0.35">
      <c r="B162"/>
    </row>
    <row r="163" spans="2:2" x14ac:dyDescent="0.35">
      <c r="B163"/>
    </row>
    <row r="164" spans="2:2" x14ac:dyDescent="0.35">
      <c r="B164"/>
    </row>
    <row r="165" spans="2:2" x14ac:dyDescent="0.35">
      <c r="B165"/>
    </row>
    <row r="166" spans="2:2" x14ac:dyDescent="0.35">
      <c r="B166"/>
    </row>
    <row r="167" spans="2:2" x14ac:dyDescent="0.35">
      <c r="B167"/>
    </row>
    <row r="168" spans="2:2" x14ac:dyDescent="0.35">
      <c r="B168"/>
    </row>
    <row r="169" spans="2:2" x14ac:dyDescent="0.35">
      <c r="B169"/>
    </row>
    <row r="170" spans="2:2" x14ac:dyDescent="0.35">
      <c r="B170"/>
    </row>
    <row r="171" spans="2:2" x14ac:dyDescent="0.35">
      <c r="B171"/>
    </row>
    <row r="172" spans="2:2" x14ac:dyDescent="0.35">
      <c r="B172"/>
    </row>
    <row r="173" spans="2:2" x14ac:dyDescent="0.35">
      <c r="B173"/>
    </row>
    <row r="174" spans="2:2" x14ac:dyDescent="0.35">
      <c r="B174"/>
    </row>
    <row r="175" spans="2:2" x14ac:dyDescent="0.35">
      <c r="B175"/>
    </row>
    <row r="176" spans="2:2" x14ac:dyDescent="0.35">
      <c r="B176"/>
    </row>
    <row r="177" spans="2:2" x14ac:dyDescent="0.35">
      <c r="B177"/>
    </row>
    <row r="178" spans="2:2" x14ac:dyDescent="0.35">
      <c r="B178"/>
    </row>
    <row r="179" spans="2:2" x14ac:dyDescent="0.35">
      <c r="B179"/>
    </row>
    <row r="180" spans="2:2" x14ac:dyDescent="0.35">
      <c r="B180"/>
    </row>
    <row r="181" spans="2:2" x14ac:dyDescent="0.35">
      <c r="B181"/>
    </row>
    <row r="182" spans="2:2" x14ac:dyDescent="0.35">
      <c r="B182"/>
    </row>
    <row r="183" spans="2:2" x14ac:dyDescent="0.35">
      <c r="B183"/>
    </row>
    <row r="184" spans="2:2" x14ac:dyDescent="0.35">
      <c r="B184"/>
    </row>
    <row r="185" spans="2:2" x14ac:dyDescent="0.35">
      <c r="B185"/>
    </row>
    <row r="186" spans="2:2" x14ac:dyDescent="0.35">
      <c r="B186"/>
    </row>
    <row r="187" spans="2:2" x14ac:dyDescent="0.35">
      <c r="B187"/>
    </row>
    <row r="188" spans="2:2" x14ac:dyDescent="0.35">
      <c r="B188"/>
    </row>
    <row r="189" spans="2:2" x14ac:dyDescent="0.35">
      <c r="B189"/>
    </row>
    <row r="190" spans="2:2" x14ac:dyDescent="0.35">
      <c r="B190"/>
    </row>
    <row r="191" spans="2:2" x14ac:dyDescent="0.35">
      <c r="B191"/>
    </row>
    <row r="192" spans="2:2" x14ac:dyDescent="0.35">
      <c r="B192"/>
    </row>
    <row r="193" spans="2:2" x14ac:dyDescent="0.35">
      <c r="B193"/>
    </row>
    <row r="194" spans="2:2" x14ac:dyDescent="0.35">
      <c r="B194"/>
    </row>
    <row r="195" spans="2:2" x14ac:dyDescent="0.35">
      <c r="B195"/>
    </row>
    <row r="196" spans="2:2" x14ac:dyDescent="0.35">
      <c r="B196"/>
    </row>
    <row r="197" spans="2:2" x14ac:dyDescent="0.35">
      <c r="B197"/>
    </row>
    <row r="198" spans="2:2" x14ac:dyDescent="0.35">
      <c r="B198"/>
    </row>
    <row r="199" spans="2:2" x14ac:dyDescent="0.35">
      <c r="B199"/>
    </row>
    <row r="200" spans="2:2" x14ac:dyDescent="0.35">
      <c r="B200"/>
    </row>
    <row r="201" spans="2:2" x14ac:dyDescent="0.35">
      <c r="B201"/>
    </row>
    <row r="202" spans="2:2" x14ac:dyDescent="0.35">
      <c r="B202"/>
    </row>
    <row r="203" spans="2:2" x14ac:dyDescent="0.35">
      <c r="B203"/>
    </row>
    <row r="204" spans="2:2" x14ac:dyDescent="0.35">
      <c r="B204"/>
    </row>
    <row r="205" spans="2:2" x14ac:dyDescent="0.35">
      <c r="B205"/>
    </row>
    <row r="206" spans="2:2" x14ac:dyDescent="0.35">
      <c r="B206"/>
    </row>
    <row r="207" spans="2:2" x14ac:dyDescent="0.35">
      <c r="B207"/>
    </row>
    <row r="208" spans="2:2" x14ac:dyDescent="0.35">
      <c r="B208"/>
    </row>
    <row r="209" spans="2:2" x14ac:dyDescent="0.35">
      <c r="B209"/>
    </row>
    <row r="210" spans="2:2" x14ac:dyDescent="0.35">
      <c r="B210"/>
    </row>
    <row r="211" spans="2:2" x14ac:dyDescent="0.35">
      <c r="B211"/>
    </row>
    <row r="212" spans="2:2" x14ac:dyDescent="0.35">
      <c r="B212"/>
    </row>
    <row r="213" spans="2:2" x14ac:dyDescent="0.35">
      <c r="B213"/>
    </row>
    <row r="214" spans="2:2" x14ac:dyDescent="0.35">
      <c r="B214"/>
    </row>
    <row r="215" spans="2:2" x14ac:dyDescent="0.35">
      <c r="B215"/>
    </row>
    <row r="216" spans="2:2" x14ac:dyDescent="0.35">
      <c r="B216"/>
    </row>
    <row r="217" spans="2:2" x14ac:dyDescent="0.35">
      <c r="B217"/>
    </row>
    <row r="218" spans="2:2" x14ac:dyDescent="0.35">
      <c r="B218"/>
    </row>
    <row r="219" spans="2:2" x14ac:dyDescent="0.35">
      <c r="B219"/>
    </row>
    <row r="220" spans="2:2" x14ac:dyDescent="0.35">
      <c r="B220"/>
    </row>
    <row r="221" spans="2:2" x14ac:dyDescent="0.35">
      <c r="B221"/>
    </row>
    <row r="222" spans="2:2" x14ac:dyDescent="0.35">
      <c r="B222"/>
    </row>
    <row r="223" spans="2:2" x14ac:dyDescent="0.35">
      <c r="B223"/>
    </row>
    <row r="224" spans="2:2" x14ac:dyDescent="0.35">
      <c r="B224"/>
    </row>
    <row r="225" spans="2:2" x14ac:dyDescent="0.35">
      <c r="B225"/>
    </row>
    <row r="226" spans="2:2" x14ac:dyDescent="0.35">
      <c r="B226"/>
    </row>
    <row r="227" spans="2:2" x14ac:dyDescent="0.35">
      <c r="B227"/>
    </row>
    <row r="228" spans="2:2" x14ac:dyDescent="0.35">
      <c r="B228"/>
    </row>
    <row r="229" spans="2:2" x14ac:dyDescent="0.35">
      <c r="B229"/>
    </row>
    <row r="230" spans="2:2" x14ac:dyDescent="0.35">
      <c r="B230"/>
    </row>
    <row r="231" spans="2:2" x14ac:dyDescent="0.35">
      <c r="B231"/>
    </row>
    <row r="232" spans="2:2" x14ac:dyDescent="0.35">
      <c r="B232"/>
    </row>
    <row r="233" spans="2:2" x14ac:dyDescent="0.35">
      <c r="B233"/>
    </row>
    <row r="234" spans="2:2" x14ac:dyDescent="0.35">
      <c r="B234"/>
    </row>
    <row r="235" spans="2:2" x14ac:dyDescent="0.35">
      <c r="B235"/>
    </row>
    <row r="236" spans="2:2" x14ac:dyDescent="0.35">
      <c r="B236"/>
    </row>
    <row r="237" spans="2:2" x14ac:dyDescent="0.35">
      <c r="B237"/>
    </row>
    <row r="238" spans="2:2" x14ac:dyDescent="0.35">
      <c r="B238"/>
    </row>
    <row r="239" spans="2:2" x14ac:dyDescent="0.35">
      <c r="B239"/>
    </row>
    <row r="240" spans="2:2" x14ac:dyDescent="0.35">
      <c r="B240"/>
    </row>
    <row r="241" spans="2:2" x14ac:dyDescent="0.35">
      <c r="B241"/>
    </row>
    <row r="242" spans="2:2" x14ac:dyDescent="0.35">
      <c r="B242"/>
    </row>
    <row r="243" spans="2:2" x14ac:dyDescent="0.35">
      <c r="B243"/>
    </row>
    <row r="244" spans="2:2" x14ac:dyDescent="0.35">
      <c r="B244"/>
    </row>
    <row r="245" spans="2:2" x14ac:dyDescent="0.35">
      <c r="B245"/>
    </row>
    <row r="246" spans="2:2" x14ac:dyDescent="0.35">
      <c r="B246"/>
    </row>
    <row r="247" spans="2:2" x14ac:dyDescent="0.35">
      <c r="B247"/>
    </row>
    <row r="248" spans="2:2" x14ac:dyDescent="0.35">
      <c r="B248"/>
    </row>
    <row r="249" spans="2:2" x14ac:dyDescent="0.35">
      <c r="B249"/>
    </row>
    <row r="250" spans="2:2" x14ac:dyDescent="0.35">
      <c r="B250"/>
    </row>
    <row r="251" spans="2:2" x14ac:dyDescent="0.35">
      <c r="B251"/>
    </row>
    <row r="252" spans="2:2" x14ac:dyDescent="0.35">
      <c r="B252"/>
    </row>
    <row r="253" spans="2:2" x14ac:dyDescent="0.35">
      <c r="B253"/>
    </row>
    <row r="254" spans="2:2" x14ac:dyDescent="0.35">
      <c r="B254"/>
    </row>
    <row r="255" spans="2:2" x14ac:dyDescent="0.35">
      <c r="B255"/>
    </row>
    <row r="256" spans="2:2" x14ac:dyDescent="0.35">
      <c r="B256"/>
    </row>
    <row r="257" spans="2:2" x14ac:dyDescent="0.35">
      <c r="B257"/>
    </row>
    <row r="258" spans="2:2" x14ac:dyDescent="0.35">
      <c r="B258"/>
    </row>
    <row r="259" spans="2:2" x14ac:dyDescent="0.35">
      <c r="B259"/>
    </row>
    <row r="260" spans="2:2" x14ac:dyDescent="0.35">
      <c r="B260"/>
    </row>
    <row r="261" spans="2:2" x14ac:dyDescent="0.35">
      <c r="B261"/>
    </row>
    <row r="262" spans="2:2" x14ac:dyDescent="0.35">
      <c r="B262"/>
    </row>
    <row r="263" spans="2:2" x14ac:dyDescent="0.35">
      <c r="B263"/>
    </row>
    <row r="264" spans="2:2" x14ac:dyDescent="0.35">
      <c r="B264"/>
    </row>
    <row r="265" spans="2:2" x14ac:dyDescent="0.35">
      <c r="B265"/>
    </row>
    <row r="266" spans="2:2" x14ac:dyDescent="0.35">
      <c r="B266"/>
    </row>
    <row r="267" spans="2:2" x14ac:dyDescent="0.35">
      <c r="B267"/>
    </row>
    <row r="268" spans="2:2" x14ac:dyDescent="0.35">
      <c r="B268"/>
    </row>
    <row r="269" spans="2:2" x14ac:dyDescent="0.35">
      <c r="B269"/>
    </row>
    <row r="270" spans="2:2" x14ac:dyDescent="0.35">
      <c r="B270"/>
    </row>
    <row r="271" spans="2:2" x14ac:dyDescent="0.35">
      <c r="B271"/>
    </row>
    <row r="272" spans="2:2" x14ac:dyDescent="0.35">
      <c r="B272"/>
    </row>
    <row r="273" spans="2:2" x14ac:dyDescent="0.35">
      <c r="B273"/>
    </row>
    <row r="274" spans="2:2" x14ac:dyDescent="0.35">
      <c r="B274"/>
    </row>
    <row r="275" spans="2:2" x14ac:dyDescent="0.35">
      <c r="B275"/>
    </row>
    <row r="276" spans="2:2" x14ac:dyDescent="0.35">
      <c r="B276"/>
    </row>
    <row r="277" spans="2:2" x14ac:dyDescent="0.35">
      <c r="B277"/>
    </row>
    <row r="278" spans="2:2" x14ac:dyDescent="0.35">
      <c r="B278"/>
    </row>
    <row r="279" spans="2:2" x14ac:dyDescent="0.35">
      <c r="B279"/>
    </row>
    <row r="280" spans="2:2" x14ac:dyDescent="0.35">
      <c r="B280"/>
    </row>
    <row r="281" spans="2:2" x14ac:dyDescent="0.35">
      <c r="B281"/>
    </row>
    <row r="282" spans="2:2" x14ac:dyDescent="0.35">
      <c r="B282"/>
    </row>
    <row r="283" spans="2:2" x14ac:dyDescent="0.35">
      <c r="B283"/>
    </row>
    <row r="284" spans="2:2" x14ac:dyDescent="0.35">
      <c r="B284"/>
    </row>
    <row r="285" spans="2:2" x14ac:dyDescent="0.35">
      <c r="B285"/>
    </row>
    <row r="286" spans="2:2" x14ac:dyDescent="0.35">
      <c r="B286"/>
    </row>
    <row r="287" spans="2:2" x14ac:dyDescent="0.35">
      <c r="B287"/>
    </row>
    <row r="288" spans="2:2" x14ac:dyDescent="0.35">
      <c r="B288"/>
    </row>
    <row r="289" spans="2:2" x14ac:dyDescent="0.35">
      <c r="B289"/>
    </row>
    <row r="290" spans="2:2" x14ac:dyDescent="0.35">
      <c r="B290"/>
    </row>
    <row r="291" spans="2:2" x14ac:dyDescent="0.35">
      <c r="B291"/>
    </row>
    <row r="292" spans="2:2" x14ac:dyDescent="0.35">
      <c r="B292"/>
    </row>
    <row r="293" spans="2:2" x14ac:dyDescent="0.35">
      <c r="B293"/>
    </row>
    <row r="294" spans="2:2" x14ac:dyDescent="0.35">
      <c r="B294"/>
    </row>
    <row r="295" spans="2:2" x14ac:dyDescent="0.35">
      <c r="B295"/>
    </row>
    <row r="296" spans="2:2" x14ac:dyDescent="0.35">
      <c r="B296"/>
    </row>
    <row r="297" spans="2:2" x14ac:dyDescent="0.35">
      <c r="B297"/>
    </row>
    <row r="298" spans="2:2" x14ac:dyDescent="0.35">
      <c r="B298"/>
    </row>
    <row r="299" spans="2:2" x14ac:dyDescent="0.35">
      <c r="B299"/>
    </row>
    <row r="300" spans="2:2" x14ac:dyDescent="0.35">
      <c r="B300"/>
    </row>
    <row r="301" spans="2:2" x14ac:dyDescent="0.35">
      <c r="B301"/>
    </row>
    <row r="302" spans="2:2" x14ac:dyDescent="0.35">
      <c r="B302"/>
    </row>
    <row r="303" spans="2:2" x14ac:dyDescent="0.35">
      <c r="B303"/>
    </row>
    <row r="304" spans="2:2" x14ac:dyDescent="0.35">
      <c r="B304"/>
    </row>
    <row r="305" spans="2:2" x14ac:dyDescent="0.35">
      <c r="B305"/>
    </row>
    <row r="306" spans="2:2" x14ac:dyDescent="0.35">
      <c r="B306"/>
    </row>
    <row r="307" spans="2:2" x14ac:dyDescent="0.35">
      <c r="B307"/>
    </row>
    <row r="308" spans="2:2" x14ac:dyDescent="0.35">
      <c r="B308"/>
    </row>
    <row r="309" spans="2:2" x14ac:dyDescent="0.35">
      <c r="B309"/>
    </row>
    <row r="310" spans="2:2" x14ac:dyDescent="0.35">
      <c r="B310"/>
    </row>
    <row r="311" spans="2:2" x14ac:dyDescent="0.35">
      <c r="B311"/>
    </row>
    <row r="312" spans="2:2" x14ac:dyDescent="0.35">
      <c r="B312"/>
    </row>
    <row r="313" spans="2:2" x14ac:dyDescent="0.35">
      <c r="B313"/>
    </row>
    <row r="314" spans="2:2" x14ac:dyDescent="0.35">
      <c r="B314"/>
    </row>
    <row r="315" spans="2:2" x14ac:dyDescent="0.35">
      <c r="B315"/>
    </row>
    <row r="316" spans="2:2" x14ac:dyDescent="0.35">
      <c r="B316"/>
    </row>
    <row r="317" spans="2:2" x14ac:dyDescent="0.35">
      <c r="B317"/>
    </row>
    <row r="318" spans="2:2" x14ac:dyDescent="0.35">
      <c r="B318"/>
    </row>
    <row r="319" spans="2:2" x14ac:dyDescent="0.35">
      <c r="B319"/>
    </row>
    <row r="320" spans="2:2" x14ac:dyDescent="0.35">
      <c r="B320"/>
    </row>
    <row r="321" spans="2:2" x14ac:dyDescent="0.35">
      <c r="B321"/>
    </row>
    <row r="322" spans="2:2" x14ac:dyDescent="0.35">
      <c r="B322"/>
    </row>
    <row r="323" spans="2:2" x14ac:dyDescent="0.35">
      <c r="B323"/>
    </row>
    <row r="324" spans="2:2" x14ac:dyDescent="0.35">
      <c r="B324"/>
    </row>
    <row r="325" spans="2:2" x14ac:dyDescent="0.35">
      <c r="B325"/>
    </row>
    <row r="326" spans="2:2" x14ac:dyDescent="0.35">
      <c r="B326"/>
    </row>
    <row r="327" spans="2:2" x14ac:dyDescent="0.35">
      <c r="B327"/>
    </row>
    <row r="328" spans="2:2" x14ac:dyDescent="0.35">
      <c r="B328"/>
    </row>
    <row r="329" spans="2:2" x14ac:dyDescent="0.35">
      <c r="B329"/>
    </row>
    <row r="330" spans="2:2" x14ac:dyDescent="0.35">
      <c r="B330"/>
    </row>
    <row r="331" spans="2:2" x14ac:dyDescent="0.35">
      <c r="B331"/>
    </row>
    <row r="332" spans="2:2" x14ac:dyDescent="0.35">
      <c r="B332"/>
    </row>
    <row r="333" spans="2:2" x14ac:dyDescent="0.35">
      <c r="B333"/>
    </row>
    <row r="334" spans="2:2" x14ac:dyDescent="0.35">
      <c r="B334"/>
    </row>
    <row r="335" spans="2:2" x14ac:dyDescent="0.35">
      <c r="B335"/>
    </row>
    <row r="336" spans="2:2" x14ac:dyDescent="0.35">
      <c r="B336"/>
    </row>
    <row r="337" spans="2:2" x14ac:dyDescent="0.35">
      <c r="B337"/>
    </row>
    <row r="338" spans="2:2" x14ac:dyDescent="0.35">
      <c r="B338"/>
    </row>
    <row r="339" spans="2:2" x14ac:dyDescent="0.35">
      <c r="B339"/>
    </row>
    <row r="340" spans="2:2" x14ac:dyDescent="0.35">
      <c r="B340"/>
    </row>
    <row r="341" spans="2:2" x14ac:dyDescent="0.35">
      <c r="B341"/>
    </row>
    <row r="342" spans="2:2" x14ac:dyDescent="0.35">
      <c r="B342"/>
    </row>
    <row r="343" spans="2:2" x14ac:dyDescent="0.35">
      <c r="B343"/>
    </row>
    <row r="344" spans="2:2" x14ac:dyDescent="0.35">
      <c r="B344"/>
    </row>
    <row r="345" spans="2:2" x14ac:dyDescent="0.35">
      <c r="B345"/>
    </row>
    <row r="346" spans="2:2" x14ac:dyDescent="0.35">
      <c r="B346"/>
    </row>
    <row r="347" spans="2:2" x14ac:dyDescent="0.35">
      <c r="B347"/>
    </row>
    <row r="348" spans="2:2" x14ac:dyDescent="0.35">
      <c r="B348"/>
    </row>
    <row r="349" spans="2:2" x14ac:dyDescent="0.35">
      <c r="B349"/>
    </row>
    <row r="350" spans="2:2" x14ac:dyDescent="0.35">
      <c r="B350"/>
    </row>
    <row r="351" spans="2:2" x14ac:dyDescent="0.35">
      <c r="B351"/>
    </row>
    <row r="352" spans="2:2" x14ac:dyDescent="0.35">
      <c r="B352"/>
    </row>
    <row r="353" spans="2:2" x14ac:dyDescent="0.35">
      <c r="B353"/>
    </row>
    <row r="354" spans="2:2" x14ac:dyDescent="0.35">
      <c r="B354"/>
    </row>
    <row r="355" spans="2:2" x14ac:dyDescent="0.35">
      <c r="B355"/>
    </row>
    <row r="356" spans="2:2" x14ac:dyDescent="0.35">
      <c r="B356"/>
    </row>
    <row r="357" spans="2:2" x14ac:dyDescent="0.35">
      <c r="B357"/>
    </row>
    <row r="358" spans="2:2" x14ac:dyDescent="0.35">
      <c r="B358"/>
    </row>
    <row r="359" spans="2:2" x14ac:dyDescent="0.35">
      <c r="B359"/>
    </row>
    <row r="360" spans="2:2" x14ac:dyDescent="0.35">
      <c r="B360"/>
    </row>
    <row r="361" spans="2:2" x14ac:dyDescent="0.35">
      <c r="B361"/>
    </row>
    <row r="362" spans="2:2" x14ac:dyDescent="0.35">
      <c r="B362"/>
    </row>
    <row r="363" spans="2:2" x14ac:dyDescent="0.35">
      <c r="B363"/>
    </row>
    <row r="364" spans="2:2" x14ac:dyDescent="0.35">
      <c r="B364"/>
    </row>
    <row r="365" spans="2:2" x14ac:dyDescent="0.35">
      <c r="B365"/>
    </row>
    <row r="366" spans="2:2" x14ac:dyDescent="0.35">
      <c r="B366"/>
    </row>
    <row r="367" spans="2:2" x14ac:dyDescent="0.35">
      <c r="B367"/>
    </row>
    <row r="368" spans="2:2" x14ac:dyDescent="0.35">
      <c r="B368"/>
    </row>
    <row r="369" spans="2:2" x14ac:dyDescent="0.35">
      <c r="B369"/>
    </row>
    <row r="370" spans="2:2" x14ac:dyDescent="0.35">
      <c r="B370"/>
    </row>
    <row r="371" spans="2:2" x14ac:dyDescent="0.35">
      <c r="B371"/>
    </row>
    <row r="372" spans="2:2" x14ac:dyDescent="0.35">
      <c r="B372"/>
    </row>
    <row r="373" spans="2:2" x14ac:dyDescent="0.35">
      <c r="B373"/>
    </row>
    <row r="374" spans="2:2" x14ac:dyDescent="0.35">
      <c r="B374"/>
    </row>
    <row r="375" spans="2:2" x14ac:dyDescent="0.35">
      <c r="B375"/>
    </row>
    <row r="376" spans="2:2" x14ac:dyDescent="0.35">
      <c r="B376"/>
    </row>
    <row r="377" spans="2:2" x14ac:dyDescent="0.35">
      <c r="B377"/>
    </row>
    <row r="378" spans="2:2" x14ac:dyDescent="0.35">
      <c r="B378"/>
    </row>
    <row r="379" spans="2:2" x14ac:dyDescent="0.35">
      <c r="B379"/>
    </row>
    <row r="380" spans="2:2" x14ac:dyDescent="0.35">
      <c r="B380"/>
    </row>
    <row r="381" spans="2:2" x14ac:dyDescent="0.35">
      <c r="B381"/>
    </row>
    <row r="382" spans="2:2" x14ac:dyDescent="0.35">
      <c r="B382"/>
    </row>
    <row r="383" spans="2:2" x14ac:dyDescent="0.35">
      <c r="B383"/>
    </row>
    <row r="384" spans="2:2" x14ac:dyDescent="0.35">
      <c r="B384"/>
    </row>
    <row r="385" spans="2:2" x14ac:dyDescent="0.35">
      <c r="B385"/>
    </row>
    <row r="386" spans="2:2" x14ac:dyDescent="0.35">
      <c r="B386"/>
    </row>
    <row r="387" spans="2:2" x14ac:dyDescent="0.35">
      <c r="B387"/>
    </row>
    <row r="388" spans="2:2" x14ac:dyDescent="0.35">
      <c r="B388"/>
    </row>
    <row r="389" spans="2:2" x14ac:dyDescent="0.35">
      <c r="B389"/>
    </row>
    <row r="390" spans="2:2" x14ac:dyDescent="0.35">
      <c r="B390"/>
    </row>
    <row r="391" spans="2:2" x14ac:dyDescent="0.35">
      <c r="B391"/>
    </row>
    <row r="392" spans="2:2" x14ac:dyDescent="0.35">
      <c r="B392"/>
    </row>
    <row r="393" spans="2:2" x14ac:dyDescent="0.35">
      <c r="B393"/>
    </row>
    <row r="394" spans="2:2" x14ac:dyDescent="0.35">
      <c r="B394"/>
    </row>
    <row r="395" spans="2:2" x14ac:dyDescent="0.35">
      <c r="B395"/>
    </row>
    <row r="396" spans="2:2" x14ac:dyDescent="0.35">
      <c r="B396"/>
    </row>
    <row r="397" spans="2:2" x14ac:dyDescent="0.35">
      <c r="B397"/>
    </row>
    <row r="398" spans="2:2" x14ac:dyDescent="0.35">
      <c r="B398"/>
    </row>
    <row r="399" spans="2:2" x14ac:dyDescent="0.35">
      <c r="B399"/>
    </row>
    <row r="400" spans="2:2" x14ac:dyDescent="0.35">
      <c r="B400"/>
    </row>
    <row r="401" spans="2:2" x14ac:dyDescent="0.35">
      <c r="B401"/>
    </row>
    <row r="402" spans="2:2" x14ac:dyDescent="0.35">
      <c r="B402"/>
    </row>
    <row r="403" spans="2:2" x14ac:dyDescent="0.35">
      <c r="B403"/>
    </row>
    <row r="404" spans="2:2" x14ac:dyDescent="0.35">
      <c r="B404"/>
    </row>
    <row r="405" spans="2:2" x14ac:dyDescent="0.35">
      <c r="B405"/>
    </row>
    <row r="406" spans="2:2" x14ac:dyDescent="0.35">
      <c r="B406"/>
    </row>
    <row r="407" spans="2:2" x14ac:dyDescent="0.35">
      <c r="B407"/>
    </row>
    <row r="408" spans="2:2" x14ac:dyDescent="0.35">
      <c r="B408"/>
    </row>
    <row r="409" spans="2:2" x14ac:dyDescent="0.35">
      <c r="B409"/>
    </row>
    <row r="410" spans="2:2" x14ac:dyDescent="0.35">
      <c r="B410"/>
    </row>
    <row r="411" spans="2:2" x14ac:dyDescent="0.35">
      <c r="B411"/>
    </row>
    <row r="412" spans="2:2" x14ac:dyDescent="0.35">
      <c r="B412"/>
    </row>
    <row r="413" spans="2:2" x14ac:dyDescent="0.35">
      <c r="B413"/>
    </row>
    <row r="414" spans="2:2" x14ac:dyDescent="0.35">
      <c r="B414"/>
    </row>
    <row r="415" spans="2:2" x14ac:dyDescent="0.35">
      <c r="B415"/>
    </row>
    <row r="416" spans="2:2" x14ac:dyDescent="0.35">
      <c r="B416"/>
    </row>
    <row r="417" spans="2:2" x14ac:dyDescent="0.35">
      <c r="B417"/>
    </row>
    <row r="418" spans="2:2" x14ac:dyDescent="0.35">
      <c r="B418"/>
    </row>
    <row r="419" spans="2:2" x14ac:dyDescent="0.35">
      <c r="B419"/>
    </row>
    <row r="420" spans="2:2" x14ac:dyDescent="0.35">
      <c r="B420"/>
    </row>
    <row r="421" spans="2:2" x14ac:dyDescent="0.35">
      <c r="B421"/>
    </row>
    <row r="422" spans="2:2" x14ac:dyDescent="0.35">
      <c r="B422"/>
    </row>
    <row r="423" spans="2:2" x14ac:dyDescent="0.35">
      <c r="B423"/>
    </row>
    <row r="424" spans="2:2" x14ac:dyDescent="0.35">
      <c r="B424"/>
    </row>
    <row r="425" spans="2:2" x14ac:dyDescent="0.35">
      <c r="B425"/>
    </row>
    <row r="426" spans="2:2" x14ac:dyDescent="0.35">
      <c r="B426"/>
    </row>
    <row r="427" spans="2:2" x14ac:dyDescent="0.35">
      <c r="B427"/>
    </row>
    <row r="428" spans="2:2" x14ac:dyDescent="0.35">
      <c r="B428"/>
    </row>
    <row r="429" spans="2:2" x14ac:dyDescent="0.35">
      <c r="B429"/>
    </row>
    <row r="430" spans="2:2" x14ac:dyDescent="0.35">
      <c r="B430"/>
    </row>
    <row r="431" spans="2:2" x14ac:dyDescent="0.35">
      <c r="B431"/>
    </row>
    <row r="432" spans="2:2" x14ac:dyDescent="0.35">
      <c r="B432"/>
    </row>
    <row r="433" spans="2:2" x14ac:dyDescent="0.35">
      <c r="B433"/>
    </row>
    <row r="434" spans="2:2" x14ac:dyDescent="0.35">
      <c r="B434"/>
    </row>
    <row r="435" spans="2:2" x14ac:dyDescent="0.35">
      <c r="B435"/>
    </row>
    <row r="436" spans="2:2" x14ac:dyDescent="0.35">
      <c r="B436"/>
    </row>
    <row r="437" spans="2:2" x14ac:dyDescent="0.35">
      <c r="B437"/>
    </row>
    <row r="438" spans="2:2" x14ac:dyDescent="0.35">
      <c r="B438"/>
    </row>
    <row r="439" spans="2:2" x14ac:dyDescent="0.35">
      <c r="B439"/>
    </row>
    <row r="440" spans="2:2" x14ac:dyDescent="0.35">
      <c r="B440"/>
    </row>
    <row r="441" spans="2:2" x14ac:dyDescent="0.35">
      <c r="B441"/>
    </row>
    <row r="442" spans="2:2" x14ac:dyDescent="0.35">
      <c r="B442"/>
    </row>
    <row r="443" spans="2:2" x14ac:dyDescent="0.35">
      <c r="B443"/>
    </row>
    <row r="444" spans="2:2" x14ac:dyDescent="0.35">
      <c r="B444"/>
    </row>
    <row r="445" spans="2:2" x14ac:dyDescent="0.35">
      <c r="B445"/>
    </row>
    <row r="446" spans="2:2" x14ac:dyDescent="0.35">
      <c r="B446"/>
    </row>
    <row r="447" spans="2:2" x14ac:dyDescent="0.35">
      <c r="B447"/>
    </row>
    <row r="448" spans="2:2" x14ac:dyDescent="0.35">
      <c r="B448"/>
    </row>
    <row r="449" spans="2:2" x14ac:dyDescent="0.35">
      <c r="B449"/>
    </row>
    <row r="450" spans="2:2" x14ac:dyDescent="0.35">
      <c r="B450"/>
    </row>
    <row r="451" spans="2:2" x14ac:dyDescent="0.35">
      <c r="B451"/>
    </row>
    <row r="452" spans="2:2" x14ac:dyDescent="0.35">
      <c r="B452"/>
    </row>
    <row r="453" spans="2:2" x14ac:dyDescent="0.35">
      <c r="B453"/>
    </row>
    <row r="454" spans="2:2" x14ac:dyDescent="0.35">
      <c r="B454"/>
    </row>
    <row r="455" spans="2:2" x14ac:dyDescent="0.35">
      <c r="B455"/>
    </row>
    <row r="456" spans="2:2" x14ac:dyDescent="0.35">
      <c r="B456"/>
    </row>
    <row r="457" spans="2:2" x14ac:dyDescent="0.35">
      <c r="B457"/>
    </row>
    <row r="458" spans="2:2" x14ac:dyDescent="0.35">
      <c r="B458"/>
    </row>
    <row r="459" spans="2:2" x14ac:dyDescent="0.35">
      <c r="B459"/>
    </row>
    <row r="460" spans="2:2" x14ac:dyDescent="0.35">
      <c r="B460"/>
    </row>
    <row r="461" spans="2:2" x14ac:dyDescent="0.35">
      <c r="B461"/>
    </row>
    <row r="462" spans="2:2" x14ac:dyDescent="0.35">
      <c r="B462"/>
    </row>
    <row r="463" spans="2:2" x14ac:dyDescent="0.35">
      <c r="B463"/>
    </row>
    <row r="464" spans="2:2" x14ac:dyDescent="0.35">
      <c r="B464"/>
    </row>
    <row r="465" spans="2:2" x14ac:dyDescent="0.35">
      <c r="B465"/>
    </row>
    <row r="466" spans="2:2" x14ac:dyDescent="0.35">
      <c r="B466"/>
    </row>
    <row r="467" spans="2:2" x14ac:dyDescent="0.35">
      <c r="B467"/>
    </row>
    <row r="468" spans="2:2" x14ac:dyDescent="0.35">
      <c r="B468"/>
    </row>
    <row r="469" spans="2:2" x14ac:dyDescent="0.35">
      <c r="B469"/>
    </row>
    <row r="470" spans="2:2" x14ac:dyDescent="0.35">
      <c r="B470"/>
    </row>
    <row r="471" spans="2:2" x14ac:dyDescent="0.35">
      <c r="B471"/>
    </row>
    <row r="472" spans="2:2" x14ac:dyDescent="0.35">
      <c r="B472"/>
    </row>
    <row r="473" spans="2:2" x14ac:dyDescent="0.35">
      <c r="B473"/>
    </row>
    <row r="474" spans="2:2" x14ac:dyDescent="0.35">
      <c r="B474"/>
    </row>
    <row r="475" spans="2:2" x14ac:dyDescent="0.35">
      <c r="B475"/>
    </row>
    <row r="476" spans="2:2" x14ac:dyDescent="0.35">
      <c r="B476"/>
    </row>
    <row r="477" spans="2:2" x14ac:dyDescent="0.35">
      <c r="B477"/>
    </row>
    <row r="478" spans="2:2" x14ac:dyDescent="0.35">
      <c r="B478"/>
    </row>
    <row r="479" spans="2:2" x14ac:dyDescent="0.35">
      <c r="B479"/>
    </row>
    <row r="480" spans="2:2" x14ac:dyDescent="0.35">
      <c r="B480"/>
    </row>
    <row r="481" spans="2:2" x14ac:dyDescent="0.35">
      <c r="B481"/>
    </row>
    <row r="482" spans="2:2" x14ac:dyDescent="0.35">
      <c r="B482"/>
    </row>
    <row r="483" spans="2:2" x14ac:dyDescent="0.35">
      <c r="B483"/>
    </row>
    <row r="484" spans="2:2" x14ac:dyDescent="0.35">
      <c r="B484"/>
    </row>
    <row r="485" spans="2:2" x14ac:dyDescent="0.35">
      <c r="B485"/>
    </row>
    <row r="486" spans="2:2" x14ac:dyDescent="0.35">
      <c r="B486"/>
    </row>
    <row r="487" spans="2:2" x14ac:dyDescent="0.35">
      <c r="B487"/>
    </row>
    <row r="488" spans="2:2" x14ac:dyDescent="0.35">
      <c r="B488"/>
    </row>
    <row r="489" spans="2:2" x14ac:dyDescent="0.35">
      <c r="B489"/>
    </row>
    <row r="490" spans="2:2" x14ac:dyDescent="0.35">
      <c r="B490"/>
    </row>
    <row r="491" spans="2:2" x14ac:dyDescent="0.35">
      <c r="B491"/>
    </row>
    <row r="492" spans="2:2" x14ac:dyDescent="0.35">
      <c r="B492"/>
    </row>
    <row r="493" spans="2:2" x14ac:dyDescent="0.35">
      <c r="B493"/>
    </row>
    <row r="494" spans="2:2" x14ac:dyDescent="0.35">
      <c r="B494"/>
    </row>
    <row r="495" spans="2:2" x14ac:dyDescent="0.35">
      <c r="B495"/>
    </row>
    <row r="496" spans="2:2" x14ac:dyDescent="0.35">
      <c r="B496"/>
    </row>
    <row r="497" spans="2:2" x14ac:dyDescent="0.35">
      <c r="B497"/>
    </row>
    <row r="498" spans="2:2" x14ac:dyDescent="0.35">
      <c r="B498"/>
    </row>
    <row r="499" spans="2:2" x14ac:dyDescent="0.35">
      <c r="B499"/>
    </row>
    <row r="500" spans="2:2" x14ac:dyDescent="0.35">
      <c r="B500"/>
    </row>
    <row r="501" spans="2:2" x14ac:dyDescent="0.35">
      <c r="B501"/>
    </row>
    <row r="502" spans="2:2" x14ac:dyDescent="0.35">
      <c r="B502"/>
    </row>
    <row r="503" spans="2:2" x14ac:dyDescent="0.35">
      <c r="B503"/>
    </row>
    <row r="504" spans="2:2" x14ac:dyDescent="0.35">
      <c r="B504"/>
    </row>
    <row r="505" spans="2:2" x14ac:dyDescent="0.35">
      <c r="B505"/>
    </row>
    <row r="506" spans="2:2" x14ac:dyDescent="0.35">
      <c r="B506"/>
    </row>
    <row r="507" spans="2:2" x14ac:dyDescent="0.35">
      <c r="B507"/>
    </row>
    <row r="508" spans="2:2" x14ac:dyDescent="0.35">
      <c r="B508"/>
    </row>
    <row r="509" spans="2:2" x14ac:dyDescent="0.35">
      <c r="B509"/>
    </row>
    <row r="510" spans="2:2" x14ac:dyDescent="0.35">
      <c r="B510"/>
    </row>
    <row r="511" spans="2:2" x14ac:dyDescent="0.35">
      <c r="B511"/>
    </row>
    <row r="512" spans="2:2" x14ac:dyDescent="0.35">
      <c r="B512"/>
    </row>
    <row r="513" spans="2:2" x14ac:dyDescent="0.35">
      <c r="B513"/>
    </row>
    <row r="514" spans="2:2" x14ac:dyDescent="0.35">
      <c r="B514"/>
    </row>
    <row r="515" spans="2:2" x14ac:dyDescent="0.35">
      <c r="B515"/>
    </row>
    <row r="516" spans="2:2" x14ac:dyDescent="0.35">
      <c r="B516"/>
    </row>
    <row r="517" spans="2:2" x14ac:dyDescent="0.35">
      <c r="B517"/>
    </row>
    <row r="518" spans="2:2" x14ac:dyDescent="0.35">
      <c r="B518"/>
    </row>
    <row r="519" spans="2:2" x14ac:dyDescent="0.35">
      <c r="B519"/>
    </row>
    <row r="520" spans="2:2" x14ac:dyDescent="0.35">
      <c r="B520"/>
    </row>
    <row r="521" spans="2:2" x14ac:dyDescent="0.35">
      <c r="B521"/>
    </row>
    <row r="522" spans="2:2" x14ac:dyDescent="0.35">
      <c r="B522"/>
    </row>
    <row r="523" spans="2:2" x14ac:dyDescent="0.35">
      <c r="B523"/>
    </row>
    <row r="524" spans="2:2" x14ac:dyDescent="0.35">
      <c r="B524"/>
    </row>
    <row r="525" spans="2:2" x14ac:dyDescent="0.35">
      <c r="B525"/>
    </row>
    <row r="526" spans="2:2" x14ac:dyDescent="0.35">
      <c r="B526"/>
    </row>
    <row r="527" spans="2:2" x14ac:dyDescent="0.35">
      <c r="B527"/>
    </row>
    <row r="528" spans="2:2" x14ac:dyDescent="0.35">
      <c r="B528"/>
    </row>
    <row r="529" spans="2:2" x14ac:dyDescent="0.35">
      <c r="B529"/>
    </row>
    <row r="530" spans="2:2" x14ac:dyDescent="0.35">
      <c r="B530"/>
    </row>
    <row r="531" spans="2:2" x14ac:dyDescent="0.35">
      <c r="B531"/>
    </row>
    <row r="532" spans="2:2" x14ac:dyDescent="0.35">
      <c r="B532"/>
    </row>
    <row r="533" spans="2:2" x14ac:dyDescent="0.35">
      <c r="B533"/>
    </row>
    <row r="534" spans="2:2" x14ac:dyDescent="0.35">
      <c r="B534"/>
    </row>
    <row r="535" spans="2:2" x14ac:dyDescent="0.35">
      <c r="B535"/>
    </row>
    <row r="536" spans="2:2" x14ac:dyDescent="0.35">
      <c r="B536"/>
    </row>
    <row r="537" spans="2:2" x14ac:dyDescent="0.35">
      <c r="B537"/>
    </row>
    <row r="538" spans="2:2" x14ac:dyDescent="0.35">
      <c r="B538"/>
    </row>
    <row r="539" spans="2:2" x14ac:dyDescent="0.35">
      <c r="B539"/>
    </row>
    <row r="540" spans="2:2" x14ac:dyDescent="0.35">
      <c r="B540"/>
    </row>
    <row r="541" spans="2:2" x14ac:dyDescent="0.35">
      <c r="B541"/>
    </row>
    <row r="542" spans="2:2" x14ac:dyDescent="0.35">
      <c r="B542"/>
    </row>
    <row r="543" spans="2:2" x14ac:dyDescent="0.35">
      <c r="B543"/>
    </row>
    <row r="544" spans="2:2" x14ac:dyDescent="0.35">
      <c r="B544"/>
    </row>
    <row r="545" spans="2:2" x14ac:dyDescent="0.35">
      <c r="B545"/>
    </row>
    <row r="546" spans="2:2" x14ac:dyDescent="0.35">
      <c r="B546"/>
    </row>
    <row r="547" spans="2:2" x14ac:dyDescent="0.35">
      <c r="B547"/>
    </row>
    <row r="548" spans="2:2" x14ac:dyDescent="0.35">
      <c r="B548"/>
    </row>
    <row r="549" spans="2:2" x14ac:dyDescent="0.35">
      <c r="B549"/>
    </row>
    <row r="550" spans="2:2" x14ac:dyDescent="0.35">
      <c r="B550"/>
    </row>
    <row r="551" spans="2:2" x14ac:dyDescent="0.35">
      <c r="B551"/>
    </row>
    <row r="552" spans="2:2" x14ac:dyDescent="0.35">
      <c r="B552"/>
    </row>
    <row r="553" spans="2:2" x14ac:dyDescent="0.35">
      <c r="B553"/>
    </row>
    <row r="554" spans="2:2" x14ac:dyDescent="0.35">
      <c r="B554"/>
    </row>
    <row r="555" spans="2:2" x14ac:dyDescent="0.35">
      <c r="B555"/>
    </row>
    <row r="556" spans="2:2" x14ac:dyDescent="0.35">
      <c r="B556"/>
    </row>
    <row r="557" spans="2:2" x14ac:dyDescent="0.35">
      <c r="B557"/>
    </row>
    <row r="558" spans="2:2" x14ac:dyDescent="0.35">
      <c r="B558"/>
    </row>
    <row r="559" spans="2:2" x14ac:dyDescent="0.35">
      <c r="B559"/>
    </row>
    <row r="560" spans="2:2" x14ac:dyDescent="0.35">
      <c r="B560"/>
    </row>
    <row r="561" spans="2:2" x14ac:dyDescent="0.35">
      <c r="B561"/>
    </row>
    <row r="562" spans="2:2" x14ac:dyDescent="0.35">
      <c r="B562"/>
    </row>
    <row r="563" spans="2:2" x14ac:dyDescent="0.35">
      <c r="B563"/>
    </row>
    <row r="564" spans="2:2" x14ac:dyDescent="0.35">
      <c r="B564"/>
    </row>
    <row r="565" spans="2:2" x14ac:dyDescent="0.35">
      <c r="B565"/>
    </row>
    <row r="566" spans="2:2" x14ac:dyDescent="0.35">
      <c r="B566"/>
    </row>
    <row r="567" spans="2:2" x14ac:dyDescent="0.35">
      <c r="B567"/>
    </row>
    <row r="568" spans="2:2" x14ac:dyDescent="0.35">
      <c r="B568"/>
    </row>
    <row r="569" spans="2:2" x14ac:dyDescent="0.35">
      <c r="B569"/>
    </row>
    <row r="570" spans="2:2" x14ac:dyDescent="0.35">
      <c r="B570"/>
    </row>
    <row r="571" spans="2:2" x14ac:dyDescent="0.35">
      <c r="B571"/>
    </row>
    <row r="572" spans="2:2" x14ac:dyDescent="0.35">
      <c r="B572"/>
    </row>
    <row r="573" spans="2:2" x14ac:dyDescent="0.35">
      <c r="B573"/>
    </row>
    <row r="574" spans="2:2" x14ac:dyDescent="0.35">
      <c r="B574"/>
    </row>
    <row r="575" spans="2:2" x14ac:dyDescent="0.35">
      <c r="B575"/>
    </row>
    <row r="576" spans="2:2" x14ac:dyDescent="0.35">
      <c r="B576"/>
    </row>
    <row r="577" spans="2:2" x14ac:dyDescent="0.35">
      <c r="B577"/>
    </row>
    <row r="578" spans="2:2" x14ac:dyDescent="0.35">
      <c r="B578"/>
    </row>
    <row r="579" spans="2:2" x14ac:dyDescent="0.35">
      <c r="B579"/>
    </row>
    <row r="580" spans="2:2" x14ac:dyDescent="0.35">
      <c r="B580"/>
    </row>
    <row r="581" spans="2:2" x14ac:dyDescent="0.35">
      <c r="B581"/>
    </row>
    <row r="582" spans="2:2" x14ac:dyDescent="0.35">
      <c r="B582"/>
    </row>
    <row r="583" spans="2:2" x14ac:dyDescent="0.35">
      <c r="B583"/>
    </row>
    <row r="584" spans="2:2" x14ac:dyDescent="0.35">
      <c r="B584"/>
    </row>
    <row r="585" spans="2:2" x14ac:dyDescent="0.35">
      <c r="B585"/>
    </row>
    <row r="586" spans="2:2" x14ac:dyDescent="0.35">
      <c r="B586"/>
    </row>
    <row r="587" spans="2:2" x14ac:dyDescent="0.35">
      <c r="B587"/>
    </row>
    <row r="588" spans="2:2" x14ac:dyDescent="0.35">
      <c r="B588"/>
    </row>
    <row r="589" spans="2:2" x14ac:dyDescent="0.35">
      <c r="B589"/>
    </row>
    <row r="590" spans="2:2" x14ac:dyDescent="0.35">
      <c r="B590"/>
    </row>
    <row r="591" spans="2:2" x14ac:dyDescent="0.35">
      <c r="B591"/>
    </row>
    <row r="592" spans="2:2" x14ac:dyDescent="0.35">
      <c r="B592"/>
    </row>
    <row r="593" spans="2:2" x14ac:dyDescent="0.35">
      <c r="B593"/>
    </row>
    <row r="594" spans="2:2" x14ac:dyDescent="0.35">
      <c r="B594"/>
    </row>
    <row r="595" spans="2:2" x14ac:dyDescent="0.35">
      <c r="B595"/>
    </row>
    <row r="596" spans="2:2" x14ac:dyDescent="0.35">
      <c r="B596"/>
    </row>
    <row r="597" spans="2:2" x14ac:dyDescent="0.35">
      <c r="B597"/>
    </row>
    <row r="598" spans="2:2" x14ac:dyDescent="0.35">
      <c r="B598"/>
    </row>
    <row r="599" spans="2:2" x14ac:dyDescent="0.35">
      <c r="B599"/>
    </row>
    <row r="600" spans="2:2" x14ac:dyDescent="0.35">
      <c r="B600"/>
    </row>
    <row r="601" spans="2:2" x14ac:dyDescent="0.35">
      <c r="B601"/>
    </row>
    <row r="602" spans="2:2" x14ac:dyDescent="0.35">
      <c r="B602"/>
    </row>
    <row r="603" spans="2:2" x14ac:dyDescent="0.35">
      <c r="B603"/>
    </row>
    <row r="604" spans="2:2" x14ac:dyDescent="0.35">
      <c r="B604"/>
    </row>
    <row r="605" spans="2:2" x14ac:dyDescent="0.35">
      <c r="B605"/>
    </row>
    <row r="606" spans="2:2" x14ac:dyDescent="0.35">
      <c r="B606"/>
    </row>
    <row r="607" spans="2:2" x14ac:dyDescent="0.35">
      <c r="B607"/>
    </row>
    <row r="608" spans="2:2" x14ac:dyDescent="0.35">
      <c r="B608"/>
    </row>
    <row r="609" spans="2:2" x14ac:dyDescent="0.35">
      <c r="B609"/>
    </row>
    <row r="610" spans="2:2" x14ac:dyDescent="0.35">
      <c r="B610"/>
    </row>
    <row r="611" spans="2:2" x14ac:dyDescent="0.35">
      <c r="B611"/>
    </row>
    <row r="612" spans="2:2" x14ac:dyDescent="0.35">
      <c r="B612"/>
    </row>
    <row r="613" spans="2:2" x14ac:dyDescent="0.35">
      <c r="B613"/>
    </row>
    <row r="614" spans="2:2" x14ac:dyDescent="0.35">
      <c r="B614"/>
    </row>
    <row r="615" spans="2:2" x14ac:dyDescent="0.35">
      <c r="B615"/>
    </row>
    <row r="616" spans="2:2" x14ac:dyDescent="0.35">
      <c r="B616"/>
    </row>
    <row r="617" spans="2:2" x14ac:dyDescent="0.35">
      <c r="B617"/>
    </row>
    <row r="618" spans="2:2" x14ac:dyDescent="0.35">
      <c r="B618"/>
    </row>
    <row r="619" spans="2:2" x14ac:dyDescent="0.35">
      <c r="B619"/>
    </row>
    <row r="620" spans="2:2" x14ac:dyDescent="0.35">
      <c r="B620"/>
    </row>
    <row r="621" spans="2:2" x14ac:dyDescent="0.35">
      <c r="B621"/>
    </row>
    <row r="622" spans="2:2" x14ac:dyDescent="0.35">
      <c r="B622"/>
    </row>
    <row r="623" spans="2:2" x14ac:dyDescent="0.35">
      <c r="B623"/>
    </row>
    <row r="624" spans="2:2" x14ac:dyDescent="0.35">
      <c r="B624"/>
    </row>
    <row r="625" spans="2:2" x14ac:dyDescent="0.35">
      <c r="B625"/>
    </row>
    <row r="626" spans="2:2" x14ac:dyDescent="0.35">
      <c r="B626"/>
    </row>
    <row r="627" spans="2:2" x14ac:dyDescent="0.35">
      <c r="B627"/>
    </row>
    <row r="628" spans="2:2" x14ac:dyDescent="0.35">
      <c r="B628"/>
    </row>
    <row r="629" spans="2:2" x14ac:dyDescent="0.35">
      <c r="B629"/>
    </row>
    <row r="630" spans="2:2" x14ac:dyDescent="0.35">
      <c r="B630"/>
    </row>
    <row r="631" spans="2:2" x14ac:dyDescent="0.35">
      <c r="B631"/>
    </row>
    <row r="632" spans="2:2" x14ac:dyDescent="0.35">
      <c r="B632"/>
    </row>
    <row r="633" spans="2:2" x14ac:dyDescent="0.35">
      <c r="B633"/>
    </row>
    <row r="634" spans="2:2" x14ac:dyDescent="0.35">
      <c r="B634"/>
    </row>
    <row r="635" spans="2:2" x14ac:dyDescent="0.35">
      <c r="B635"/>
    </row>
    <row r="636" spans="2:2" x14ac:dyDescent="0.35">
      <c r="B636"/>
    </row>
    <row r="637" spans="2:2" x14ac:dyDescent="0.35">
      <c r="B637"/>
    </row>
    <row r="638" spans="2:2" x14ac:dyDescent="0.35">
      <c r="B638"/>
    </row>
    <row r="639" spans="2:2" x14ac:dyDescent="0.35">
      <c r="B639"/>
    </row>
    <row r="640" spans="2:2" x14ac:dyDescent="0.35">
      <c r="B640"/>
    </row>
    <row r="641" spans="2:2" x14ac:dyDescent="0.35">
      <c r="B641"/>
    </row>
    <row r="642" spans="2:2" x14ac:dyDescent="0.35">
      <c r="B642"/>
    </row>
    <row r="643" spans="2:2" x14ac:dyDescent="0.35">
      <c r="B6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I657"/>
  <sheetViews>
    <sheetView showGridLines="0" tabSelected="1" zoomScale="70" zoomScaleNormal="70" zoomScaleSheetLayoutView="55" workbookViewId="0">
      <selection activeCell="B11" sqref="B11"/>
    </sheetView>
  </sheetViews>
  <sheetFormatPr baseColWidth="10" defaultColWidth="17.453125" defaultRowHeight="14" x14ac:dyDescent="0.35"/>
  <cols>
    <col min="1" max="1" width="9.81640625" style="35" customWidth="1"/>
    <col min="2" max="2" width="17.453125" style="54" customWidth="1"/>
    <col min="3" max="3" width="57.7265625" style="54" customWidth="1"/>
    <col min="4" max="4" width="18.54296875" style="54" customWidth="1"/>
    <col min="5" max="5" width="16" style="54" customWidth="1"/>
    <col min="6" max="6" width="24.7265625" style="54" customWidth="1"/>
    <col min="7" max="7" width="19.7265625" style="54" customWidth="1"/>
    <col min="8" max="8" width="14.08984375" style="54" customWidth="1"/>
    <col min="9" max="9" width="20.26953125" style="141" customWidth="1"/>
    <col min="10" max="10" width="21.26953125" style="55" customWidth="1"/>
    <col min="11" max="11" width="23.36328125" style="54" customWidth="1"/>
    <col min="12" max="12" width="17.453125" style="35" customWidth="1"/>
    <col min="13" max="13" width="23.08984375" style="35" customWidth="1"/>
    <col min="14" max="14" width="39.6328125" style="35" customWidth="1"/>
    <col min="15" max="15" width="22.90625" style="35" customWidth="1"/>
    <col min="16" max="16" width="20.26953125" style="35" customWidth="1"/>
    <col min="17" max="17" width="26.36328125" style="35" customWidth="1"/>
    <col min="18" max="18" width="43.81640625" style="55" customWidth="1"/>
    <col min="19" max="19" width="20.1796875" style="55" hidden="1" customWidth="1"/>
    <col min="20" max="20" width="21.36328125" style="55" hidden="1" customWidth="1"/>
    <col min="21" max="21" width="21.81640625" style="35" customWidth="1"/>
    <col min="22" max="22" width="22.6328125" style="37" customWidth="1"/>
    <col min="23" max="23" width="20.1796875" style="37" customWidth="1"/>
    <col min="24" max="24" width="21" style="37" customWidth="1"/>
    <col min="25" max="25" width="43.7265625" style="35" customWidth="1"/>
    <col min="26" max="26" width="25.453125" style="37" hidden="1" customWidth="1"/>
    <col min="27" max="27" width="20.7265625" style="56" customWidth="1"/>
    <col min="28" max="28" width="34" style="35" customWidth="1"/>
    <col min="29" max="29" width="23.54296875" style="37" hidden="1" customWidth="1"/>
    <col min="30" max="30" width="41" style="56" hidden="1" customWidth="1"/>
    <col min="31" max="31" width="36.453125" style="56" customWidth="1"/>
    <col min="32" max="32" width="32.453125" style="37" customWidth="1"/>
    <col min="33" max="33" width="40.1796875" style="37" customWidth="1"/>
    <col min="34" max="34" width="27.1796875" style="55" customWidth="1"/>
    <col min="35" max="35" width="64.1796875" style="35" customWidth="1"/>
    <col min="36" max="16384" width="17.453125" style="35"/>
  </cols>
  <sheetData>
    <row r="1" spans="1:35" x14ac:dyDescent="0.35">
      <c r="B1" s="34"/>
      <c r="C1" s="34"/>
      <c r="D1" s="34"/>
      <c r="E1" s="34"/>
      <c r="F1" s="34"/>
      <c r="G1" s="34"/>
      <c r="H1" s="34"/>
      <c r="I1" s="138"/>
      <c r="J1" s="36"/>
      <c r="K1" s="34"/>
      <c r="R1" s="36"/>
      <c r="S1" s="36"/>
      <c r="T1" s="36"/>
      <c r="AH1" s="36"/>
    </row>
    <row r="2" spans="1:35" s="65" customFormat="1" ht="15" x14ac:dyDescent="0.35">
      <c r="B2" s="208"/>
      <c r="C2" s="208"/>
      <c r="D2" s="208"/>
      <c r="E2" s="208"/>
      <c r="F2" s="208"/>
      <c r="G2" s="101"/>
      <c r="H2" s="72"/>
      <c r="I2" s="139"/>
      <c r="J2" s="95"/>
      <c r="K2" s="72"/>
      <c r="L2" s="73"/>
      <c r="Q2" s="73"/>
      <c r="R2" s="73"/>
      <c r="S2" s="73"/>
      <c r="T2" s="73"/>
      <c r="U2" s="73"/>
      <c r="V2" s="64"/>
      <c r="W2" s="64"/>
      <c r="X2" s="64"/>
      <c r="Z2" s="62"/>
      <c r="AA2" s="74"/>
      <c r="AC2" s="62"/>
      <c r="AD2" s="74"/>
      <c r="AE2" s="74"/>
      <c r="AF2" s="62"/>
      <c r="AG2" s="116"/>
      <c r="AH2" s="73"/>
    </row>
    <row r="3" spans="1:35" s="65" customFormat="1" ht="17.5" x14ac:dyDescent="0.35">
      <c r="C3" s="84"/>
      <c r="F3" s="207" t="s">
        <v>66</v>
      </c>
      <c r="G3" s="207"/>
      <c r="H3" s="207"/>
      <c r="I3" s="207"/>
      <c r="J3" s="207"/>
      <c r="K3" s="207"/>
      <c r="L3" s="207"/>
      <c r="M3" s="207"/>
      <c r="N3" s="147" t="s">
        <v>67</v>
      </c>
      <c r="O3" s="148">
        <v>2026</v>
      </c>
      <c r="P3" s="62"/>
      <c r="Q3" s="63"/>
      <c r="R3" s="64"/>
      <c r="S3" s="64"/>
      <c r="T3" s="64"/>
      <c r="Y3" s="75"/>
      <c r="Z3" s="76"/>
      <c r="AA3" s="74"/>
      <c r="AC3" s="62"/>
      <c r="AD3" s="74"/>
      <c r="AE3" s="74"/>
      <c r="AF3" s="62"/>
      <c r="AG3" s="116"/>
    </row>
    <row r="4" spans="1:35" s="65" customFormat="1" ht="15.5" x14ac:dyDescent="0.35">
      <c r="C4" s="84"/>
      <c r="F4" s="207" t="s">
        <v>359</v>
      </c>
      <c r="G4" s="207"/>
      <c r="H4" s="207"/>
      <c r="I4" s="207"/>
      <c r="J4" s="207"/>
      <c r="K4" s="207"/>
      <c r="L4" s="207"/>
      <c r="M4" s="207"/>
      <c r="N4" s="60"/>
      <c r="O4" s="61"/>
      <c r="P4" s="62"/>
      <c r="Q4" s="63"/>
      <c r="R4" s="64"/>
      <c r="S4" s="64"/>
      <c r="T4" s="64"/>
      <c r="Y4" s="75"/>
      <c r="Z4" s="76"/>
      <c r="AA4" s="74"/>
      <c r="AC4" s="62"/>
      <c r="AD4" s="74"/>
      <c r="AE4" s="74"/>
      <c r="AF4" s="62"/>
      <c r="AG4" s="116"/>
    </row>
    <row r="5" spans="1:35" s="65" customFormat="1" ht="15.5" x14ac:dyDescent="0.35">
      <c r="C5" s="84"/>
      <c r="F5" s="207" t="s">
        <v>358</v>
      </c>
      <c r="G5" s="207"/>
      <c r="H5" s="207"/>
      <c r="I5" s="207"/>
      <c r="J5" s="207"/>
      <c r="K5" s="207"/>
      <c r="L5" s="207"/>
      <c r="M5" s="207"/>
      <c r="N5" s="209" t="s">
        <v>575</v>
      </c>
      <c r="O5" s="209"/>
      <c r="P5" s="209"/>
      <c r="Q5" s="98">
        <f ca="1">IFERROR(SUMIF($N$12:$N$1997,"8126-Fortalecimiento institucional de la UAECOB para un gobierno confiable Bogotá D.C.",PAA[Valor apropiacion vigencia actual]),0)</f>
        <v>25167465000</v>
      </c>
      <c r="R5" s="123" t="s">
        <v>286</v>
      </c>
      <c r="S5" s="67"/>
      <c r="T5" s="67"/>
      <c r="U5" s="97">
        <f>IFERROR(SUMIF($N$12:$N$657,"131- Funcionamiento",PAA[Valor apropiacion vigencia actual]),0)</f>
        <v>15338910000</v>
      </c>
      <c r="V5" s="143">
        <v>25167465000</v>
      </c>
      <c r="W5" s="144">
        <f ca="1">Q5-V5</f>
        <v>0</v>
      </c>
      <c r="Y5" s="76"/>
      <c r="Z5" s="76"/>
      <c r="AA5" s="77"/>
      <c r="AC5" s="62"/>
      <c r="AD5" s="74"/>
      <c r="AE5" s="74"/>
      <c r="AF5" s="62"/>
      <c r="AG5" s="116"/>
    </row>
    <row r="6" spans="1:35" s="65" customFormat="1" ht="15.5" x14ac:dyDescent="0.35">
      <c r="A6" s="65" t="s">
        <v>350</v>
      </c>
      <c r="B6" s="78"/>
      <c r="C6" s="102"/>
      <c r="D6" s="78"/>
      <c r="E6" s="78"/>
      <c r="F6" s="207" t="s">
        <v>1011</v>
      </c>
      <c r="G6" s="207"/>
      <c r="H6" s="207"/>
      <c r="I6" s="207"/>
      <c r="J6" s="207"/>
      <c r="K6" s="207"/>
      <c r="L6" s="207"/>
      <c r="M6" s="207"/>
      <c r="N6" s="209" t="s">
        <v>576</v>
      </c>
      <c r="O6" s="209"/>
      <c r="P6" s="209"/>
      <c r="Q6" s="98">
        <f ca="1">IFERROR(SUMIF($N$12:$N$1997,"8173-Modernización de las capacidades del Cuerpo Oficial de Bomberos Bogotá D.C.",PAA[Valor apropiacion vigencia actual]),0)</f>
        <v>42767306000</v>
      </c>
      <c r="R6" s="68"/>
      <c r="S6" s="68"/>
      <c r="T6" s="68"/>
      <c r="V6" s="143">
        <v>42767306000</v>
      </c>
      <c r="W6" s="144">
        <f ca="1">Q6-V6</f>
        <v>0</v>
      </c>
      <c r="Y6" s="76"/>
      <c r="Z6" s="76"/>
      <c r="AA6" s="77"/>
      <c r="AC6" s="62"/>
      <c r="AD6" s="74"/>
      <c r="AE6" s="74"/>
      <c r="AF6" s="62"/>
      <c r="AG6" s="116"/>
    </row>
    <row r="7" spans="1:35" s="65" customFormat="1" ht="15.5" x14ac:dyDescent="0.35">
      <c r="B7" s="79"/>
      <c r="C7" s="119"/>
      <c r="D7" s="79"/>
      <c r="E7" s="79"/>
      <c r="F7" s="207" t="s">
        <v>1013</v>
      </c>
      <c r="G7" s="207"/>
      <c r="H7" s="207"/>
      <c r="I7" s="207"/>
      <c r="J7" s="207"/>
      <c r="K7" s="207"/>
      <c r="L7" s="207"/>
      <c r="M7" s="207"/>
      <c r="N7" s="60"/>
      <c r="O7" s="69"/>
      <c r="P7" s="62"/>
      <c r="Q7" s="62"/>
      <c r="R7" s="68"/>
      <c r="S7" s="68"/>
      <c r="T7" s="68"/>
      <c r="Y7" s="80"/>
      <c r="Z7" s="80"/>
      <c r="AA7" s="77"/>
      <c r="AC7" s="62"/>
      <c r="AD7" s="74"/>
      <c r="AE7" s="74"/>
      <c r="AF7" s="62"/>
      <c r="AG7" s="116"/>
    </row>
    <row r="8" spans="1:35" s="65" customFormat="1" ht="15.5" x14ac:dyDescent="0.35">
      <c r="B8" s="78"/>
      <c r="C8" s="102"/>
      <c r="D8" s="78"/>
      <c r="E8" s="78"/>
      <c r="F8" s="78"/>
      <c r="G8" s="102"/>
      <c r="H8" s="78"/>
      <c r="I8" s="140"/>
      <c r="J8" s="96"/>
      <c r="K8" s="78"/>
      <c r="L8" s="70"/>
      <c r="M8" s="81"/>
      <c r="N8" s="66" t="s">
        <v>577</v>
      </c>
      <c r="O8" s="70">
        <f ca="1">+Q5+Q6</f>
        <v>67934771000</v>
      </c>
      <c r="P8" s="62"/>
      <c r="Q8" s="66" t="s">
        <v>287</v>
      </c>
      <c r="R8" s="71">
        <f ca="1">+U5+O8</f>
        <v>83273681000</v>
      </c>
      <c r="S8" s="71"/>
      <c r="T8" s="71"/>
      <c r="Y8" s="76"/>
      <c r="Z8" s="76"/>
      <c r="AA8" s="74"/>
      <c r="AC8" s="62"/>
      <c r="AD8" s="74"/>
      <c r="AE8" s="74"/>
      <c r="AF8" s="62"/>
      <c r="AG8" s="116"/>
    </row>
    <row r="9" spans="1:35" s="65" customFormat="1" ht="15" x14ac:dyDescent="0.35">
      <c r="B9" s="78"/>
      <c r="C9" s="102"/>
      <c r="D9" s="78"/>
      <c r="E9" s="78"/>
      <c r="F9" s="78"/>
      <c r="G9" s="102"/>
      <c r="H9" s="78"/>
      <c r="I9" s="140"/>
      <c r="J9" s="96"/>
      <c r="K9" s="78"/>
      <c r="L9" s="70"/>
      <c r="M9" s="81"/>
      <c r="N9" s="81"/>
      <c r="O9" s="81"/>
      <c r="P9" s="81"/>
      <c r="Q9" s="59"/>
      <c r="U9" s="82"/>
      <c r="V9" s="83"/>
      <c r="W9" s="83"/>
      <c r="X9" s="64"/>
      <c r="Z9" s="62"/>
      <c r="AA9" s="74"/>
      <c r="AC9" s="62"/>
      <c r="AD9" s="74"/>
      <c r="AE9" s="74"/>
      <c r="AF9" s="62"/>
      <c r="AG9" s="116"/>
      <c r="AH9" s="70"/>
    </row>
    <row r="10" spans="1:35" s="65" customFormat="1" ht="15" x14ac:dyDescent="0.35">
      <c r="B10" s="78"/>
      <c r="C10" s="102"/>
      <c r="D10" s="78"/>
      <c r="E10" s="78"/>
      <c r="F10" s="78"/>
      <c r="G10" s="102"/>
      <c r="H10" s="78"/>
      <c r="I10" s="140"/>
      <c r="J10" s="96"/>
      <c r="K10" s="78"/>
      <c r="L10" s="84"/>
      <c r="M10" s="72"/>
      <c r="N10" s="72"/>
      <c r="O10" s="72"/>
      <c r="P10" s="72"/>
      <c r="U10" s="85"/>
      <c r="V10" s="86"/>
      <c r="W10" s="86"/>
      <c r="X10" s="86"/>
      <c r="Y10" s="87"/>
      <c r="Z10" s="62"/>
      <c r="AA10" s="74"/>
      <c r="AC10" s="62"/>
      <c r="AD10" s="74"/>
      <c r="AE10" s="74"/>
      <c r="AF10" s="62"/>
      <c r="AG10" s="116"/>
    </row>
    <row r="11" spans="1:35" s="103" customFormat="1" ht="84" x14ac:dyDescent="0.35">
      <c r="B11" s="104" t="s">
        <v>360</v>
      </c>
      <c r="C11" s="120" t="s">
        <v>361</v>
      </c>
      <c r="D11" s="104" t="s">
        <v>70</v>
      </c>
      <c r="E11" s="104" t="s">
        <v>364</v>
      </c>
      <c r="F11" s="104" t="s">
        <v>75</v>
      </c>
      <c r="G11" s="105" t="s">
        <v>365</v>
      </c>
      <c r="H11" s="106" t="s">
        <v>69</v>
      </c>
      <c r="I11" s="106" t="s">
        <v>334</v>
      </c>
      <c r="J11" s="108" t="s">
        <v>400</v>
      </c>
      <c r="K11" s="107" t="s">
        <v>399</v>
      </c>
      <c r="L11" s="109" t="s">
        <v>366</v>
      </c>
      <c r="M11" s="110" t="s">
        <v>367</v>
      </c>
      <c r="N11" s="111" t="s">
        <v>368</v>
      </c>
      <c r="O11" s="110" t="s">
        <v>369</v>
      </c>
      <c r="P11" s="112" t="s">
        <v>68</v>
      </c>
      <c r="Q11" s="110" t="s">
        <v>1</v>
      </c>
      <c r="R11" s="110" t="s">
        <v>2</v>
      </c>
      <c r="S11" s="110" t="s">
        <v>371</v>
      </c>
      <c r="T11" s="110" t="s">
        <v>372</v>
      </c>
      <c r="U11" s="113" t="s">
        <v>184</v>
      </c>
      <c r="V11" s="113" t="s">
        <v>185</v>
      </c>
      <c r="W11" s="113" t="s">
        <v>163</v>
      </c>
      <c r="X11" s="111" t="s">
        <v>72</v>
      </c>
      <c r="Y11" s="113" t="s">
        <v>73</v>
      </c>
      <c r="Z11" s="114" t="s">
        <v>285</v>
      </c>
      <c r="AA11" s="111" t="s">
        <v>74</v>
      </c>
      <c r="AB11" s="113" t="s">
        <v>233</v>
      </c>
      <c r="AC11" s="114" t="s">
        <v>263</v>
      </c>
      <c r="AD11" s="114" t="s">
        <v>284</v>
      </c>
      <c r="AE11" s="113" t="s">
        <v>195</v>
      </c>
      <c r="AF11" s="113" t="s">
        <v>220</v>
      </c>
      <c r="AG11" s="117" t="s">
        <v>77</v>
      </c>
      <c r="AH11" s="110" t="s">
        <v>71</v>
      </c>
      <c r="AI11" s="115" t="s">
        <v>370</v>
      </c>
    </row>
    <row r="12" spans="1:35" s="145" customFormat="1" ht="70" x14ac:dyDescent="0.35">
      <c r="B12" s="185">
        <v>20260001</v>
      </c>
      <c r="C12" s="186" t="s">
        <v>590</v>
      </c>
      <c r="D12" s="185" t="s">
        <v>105</v>
      </c>
      <c r="E12" s="185" t="s">
        <v>363</v>
      </c>
      <c r="F12" s="187" t="s">
        <v>144</v>
      </c>
      <c r="G12" s="188" t="s">
        <v>373</v>
      </c>
      <c r="H12" s="189">
        <v>12</v>
      </c>
      <c r="I12" s="189">
        <v>0</v>
      </c>
      <c r="J12" s="190">
        <v>120000000</v>
      </c>
      <c r="K12" s="191" t="s">
        <v>398</v>
      </c>
      <c r="L12" s="187" t="s">
        <v>151</v>
      </c>
      <c r="M12" s="184" t="s">
        <v>401</v>
      </c>
      <c r="N12" s="185" t="s">
        <v>197</v>
      </c>
      <c r="O12" s="154" t="s">
        <v>963</v>
      </c>
      <c r="P12" s="187" t="s">
        <v>348</v>
      </c>
      <c r="Q12" s="192">
        <v>80111600</v>
      </c>
      <c r="R12" s="184" t="s">
        <v>204</v>
      </c>
      <c r="S12" s="180" t="str">
        <f>MID(PAA[[#This Row],[Meta Proyecto de Inversión]],1,4)</f>
        <v>8126</v>
      </c>
      <c r="T12" s="180" t="str">
        <f>MID(PAA[[#This Row],[Meta Proyecto de Inversión]],6,1)</f>
        <v>5</v>
      </c>
      <c r="U12" s="155" t="str">
        <f>IFERROR(VLOOKUP(N12,TD!$B$50:$F$54,2,0)," ")</f>
        <v>O230117</v>
      </c>
      <c r="V12" s="155" t="str">
        <f>IFERROR(VLOOKUP(N12,TD!$B$50:$F$54,3,0)," ")</f>
        <v>4599</v>
      </c>
      <c r="W12" s="155">
        <f>IFERROR(VLOOKUP(N12,TD!$B$50:$F$54,4,0)," ")</f>
        <v>20240207</v>
      </c>
      <c r="X12" s="184" t="s">
        <v>168</v>
      </c>
      <c r="Y12" s="155" t="str">
        <f>IFERROR(VLOOKUP(X12,TD!$J$51:$K$64,2,0)," ")</f>
        <v>Infraestructura Tecnológica   (Sistemas de Información y Tecnologia)</v>
      </c>
      <c r="Z12" s="181" t="str">
        <f>CONCATENATE(X12,"-",Y12)</f>
        <v>11-Infraestructura Tecnológica   (Sistemas de Información y Tecnologia)</v>
      </c>
      <c r="AA12" s="184" t="s">
        <v>228</v>
      </c>
      <c r="AB12" s="155" t="str">
        <f>IFERROR(VLOOKUP(AA12,TD!$N$51:$O$66,2,0)," ")</f>
        <v>Servicios tecnológicos</v>
      </c>
      <c r="AC12" s="181" t="str">
        <f>CONCATENATE(AA12,"_",AB12)</f>
        <v>007_Servicios tecnológicos</v>
      </c>
      <c r="AD12" s="181" t="str">
        <f>CONCATENATE(Z12," ",AC12)</f>
        <v>11-Infraestructura Tecnológica   (Sistemas de Información y Tecnologia) 007_Servicios tecnológicos</v>
      </c>
      <c r="AE12" s="155" t="str">
        <f>CONCATENATE(U12,V12,W12,X12,AA12)</f>
        <v>O23011745992024020711007</v>
      </c>
      <c r="AF12" s="155" t="str">
        <f>IFERROR(VLOOKUP(AD12,TD!$J$66:$K$89,2,0)," ")</f>
        <v>PM/0131/0111/45990070207</v>
      </c>
      <c r="AG12" s="193" t="s">
        <v>385</v>
      </c>
      <c r="AH12" s="184" t="s">
        <v>193</v>
      </c>
      <c r="AI12" s="194" t="str">
        <f>CONCATENATE(PAA[[#This Row],[Id Interno]],"-",PAA[[#This Row],[tipo de Contrato (TH talento humano - B/S bienes y/o servicios)]],"-",S12,"-",T12,"-",PAA[[#This Row],[Objeto de la contratación]])</f>
        <v>20260001-TH-8126-5-Prestar servicios profesionales especializado estableciendo lineamientos en el  seguimiento y fortalecimiento de los procesos, proyectos y contratos tecnológicos a cargo del área de Tecnologías de la Información y las Comunicaciones de la U.A.E. Cuerpo Oficial de Bomberos de Bogotá.</v>
      </c>
    </row>
    <row r="13" spans="1:35" s="145" customFormat="1" ht="84" x14ac:dyDescent="0.35">
      <c r="B13" s="185">
        <v>20260032</v>
      </c>
      <c r="C13" s="186" t="s">
        <v>429</v>
      </c>
      <c r="D13" s="185" t="s">
        <v>114</v>
      </c>
      <c r="E13" s="185" t="s">
        <v>402</v>
      </c>
      <c r="F13" s="187" t="s">
        <v>89</v>
      </c>
      <c r="G13" s="188" t="s">
        <v>374</v>
      </c>
      <c r="H13" s="189">
        <v>12</v>
      </c>
      <c r="I13" s="189">
        <v>0</v>
      </c>
      <c r="J13" s="190">
        <f>103000000</f>
        <v>103000000</v>
      </c>
      <c r="K13" s="191" t="s">
        <v>398</v>
      </c>
      <c r="L13" s="187" t="s">
        <v>151</v>
      </c>
      <c r="M13" s="184" t="s">
        <v>401</v>
      </c>
      <c r="N13" s="185" t="s">
        <v>197</v>
      </c>
      <c r="O13" s="154" t="s">
        <v>963</v>
      </c>
      <c r="P13" s="187" t="s">
        <v>348</v>
      </c>
      <c r="Q13" s="192" t="s">
        <v>446</v>
      </c>
      <c r="R13" s="184" t="s">
        <v>203</v>
      </c>
      <c r="S13" s="180" t="str">
        <f>MID(PAA[[#This Row],[Meta Proyecto de Inversión]],1,4)</f>
        <v>8126</v>
      </c>
      <c r="T13" s="180" t="str">
        <f>MID(PAA[[#This Row],[Meta Proyecto de Inversión]],6,1)</f>
        <v>4</v>
      </c>
      <c r="U13" s="155" t="str">
        <f>IFERROR(VLOOKUP(N13,TD!$B$50:$F$54,2,0)," ")</f>
        <v>O230117</v>
      </c>
      <c r="V13" s="155" t="str">
        <f>IFERROR(VLOOKUP(N13,TD!$B$50:$F$54,3,0)," ")</f>
        <v>4599</v>
      </c>
      <c r="W13" s="155">
        <f>IFERROR(VLOOKUP(N13,TD!$B$50:$F$54,4,0)," ")</f>
        <v>20240207</v>
      </c>
      <c r="X13" s="184" t="s">
        <v>168</v>
      </c>
      <c r="Y13" s="155" t="str">
        <f>IFERROR(VLOOKUP(X13,TD!$J$51:$K$64,2,0)," ")</f>
        <v>Infraestructura Tecnológica   (Sistemas de Información y Tecnologia)</v>
      </c>
      <c r="Z13" s="181" t="str">
        <f>CONCATENATE(X13,"-",Y13)</f>
        <v>11-Infraestructura Tecnológica   (Sistemas de Información y Tecnologia)</v>
      </c>
      <c r="AA13" s="184" t="s">
        <v>228</v>
      </c>
      <c r="AB13" s="155" t="str">
        <f>IFERROR(VLOOKUP(AA13,TD!$N$51:$O$66,2,0)," ")</f>
        <v>Servicios tecnológicos</v>
      </c>
      <c r="AC13" s="181" t="str">
        <f>CONCATENATE(AA13,"_",AB13)</f>
        <v>007_Servicios tecnológicos</v>
      </c>
      <c r="AD13" s="181" t="str">
        <f>CONCATENATE(Z13," ",AC13)</f>
        <v>11-Infraestructura Tecnológica   (Sistemas de Información y Tecnologia) 007_Servicios tecnológicos</v>
      </c>
      <c r="AE13" s="155" t="str">
        <f>CONCATENATE(U13,V13,W13,X13,AA13)</f>
        <v>O23011745992024020711007</v>
      </c>
      <c r="AF13" s="155" t="str">
        <f>IFERROR(VLOOKUP(AD13,TD!$J$66:$K$89,2,0)," ")</f>
        <v>PM/0131/0111/45990070207</v>
      </c>
      <c r="AG13" s="193" t="s">
        <v>116</v>
      </c>
      <c r="AH13" s="184" t="s">
        <v>193</v>
      </c>
      <c r="AI13" s="194" t="str">
        <f>CONCATENATE(PAA[[#This Row],[Id Interno]],"-",PAA[[#This Row],[tipo de Contrato (TH talento humano - B/S bienes y/o servicios)]],"-",S13,"-",T13,"-",PAA[[#This Row],[Objeto de la contratación]])</f>
        <v>20260032-BS-8126-4-Contratar la prestación del servicio de monitoreo, control y seguimiento satelital a los vehículos de propiedad de la U.A.E. Cuerpo Oficial de Bomberos de Bogotá - TIC</v>
      </c>
    </row>
    <row r="14" spans="1:35" s="145" customFormat="1" ht="98" x14ac:dyDescent="0.35">
      <c r="B14" s="185">
        <v>20260059</v>
      </c>
      <c r="C14" s="186" t="s">
        <v>862</v>
      </c>
      <c r="D14" s="185" t="s">
        <v>105</v>
      </c>
      <c r="E14" s="185" t="s">
        <v>363</v>
      </c>
      <c r="F14" s="187" t="s">
        <v>145</v>
      </c>
      <c r="G14" s="188" t="s">
        <v>373</v>
      </c>
      <c r="H14" s="189">
        <v>12</v>
      </c>
      <c r="I14" s="189">
        <v>0</v>
      </c>
      <c r="J14" s="190">
        <f>64612464-10722672</f>
        <v>53889792</v>
      </c>
      <c r="K14" s="191" t="s">
        <v>398</v>
      </c>
      <c r="L14" s="187" t="s">
        <v>36</v>
      </c>
      <c r="M14" s="184" t="s">
        <v>495</v>
      </c>
      <c r="N14" s="185" t="s">
        <v>197</v>
      </c>
      <c r="O14" s="154" t="s">
        <v>963</v>
      </c>
      <c r="P14" s="187" t="s">
        <v>348</v>
      </c>
      <c r="Q14" s="192">
        <v>80111600</v>
      </c>
      <c r="R14" s="184" t="s">
        <v>200</v>
      </c>
      <c r="S14" s="159" t="str">
        <f>MID(PAA[[#This Row],[Meta Proyecto de Inversión]],1,4)</f>
        <v>8126</v>
      </c>
      <c r="T14" s="159" t="str">
        <f>MID(PAA[[#This Row],[Meta Proyecto de Inversión]],6,1)</f>
        <v>1</v>
      </c>
      <c r="U14" s="155" t="str">
        <f>IFERROR(VLOOKUP(N14,TD!$B$50:$F$54,2,0)," ")</f>
        <v>O230117</v>
      </c>
      <c r="V14" s="155" t="str">
        <f>IFERROR(VLOOKUP(N14,TD!$B$50:$F$54,3,0)," ")</f>
        <v>4599</v>
      </c>
      <c r="W14" s="155">
        <f>IFERROR(VLOOKUP(N14,TD!$B$50:$F$54,4,0)," ")</f>
        <v>20240207</v>
      </c>
      <c r="X14" s="184" t="s">
        <v>182</v>
      </c>
      <c r="Y14" s="155" t="str">
        <f>IFERROR(VLOOKUP(X14,TD!$J$51:$K$64,2,0)," ")</f>
        <v>Servicios para la planeación y sistemas de gestión y comunicación estratégica</v>
      </c>
      <c r="Z14" s="161" t="str">
        <f>CONCATENATE(X14,"-",Y14)</f>
        <v>13-Servicios para la planeación y sistemas de gestión y comunicación estratégica</v>
      </c>
      <c r="AA14" s="184" t="s">
        <v>229</v>
      </c>
      <c r="AB14" s="155" t="str">
        <f>IFERROR(VLOOKUP(AA14,TD!$N$51:$O$66,2,0)," ")</f>
        <v>Servicio de asistencia técnica</v>
      </c>
      <c r="AC14" s="161" t="str">
        <f>CONCATENATE(AA14,"_",AB14)</f>
        <v>031_Servicio de asistencia técnica</v>
      </c>
      <c r="AD14" s="161" t="str">
        <f>CONCATENATE(Z14," ",AC14)</f>
        <v>13-Servicios para la planeación y sistemas de gestión y comunicación estratégica 031_Servicio de asistencia técnica</v>
      </c>
      <c r="AE14" s="155" t="str">
        <f>CONCATENATE(U14,V14,W14,X14,AA14)</f>
        <v>O23011745992024020713031</v>
      </c>
      <c r="AF14" s="155" t="str">
        <f>IFERROR(VLOOKUP(AD14,TD!$J$66:$K$89,2,0)," ")</f>
        <v>PM/0131/0113/45990310207</v>
      </c>
      <c r="AG14" s="193" t="s">
        <v>385</v>
      </c>
      <c r="AH14" s="184" t="s">
        <v>193</v>
      </c>
      <c r="AI14" s="194" t="str">
        <f>CONCATENATE(PAA[[#This Row],[Id Interno]],"-",PAA[[#This Row],[tipo de Contrato (TH talento humano - B/S bienes y/o servicios)]],"-",S14,"-",T14,"-",PAA[[#This Row],[Objeto de la contratación]])</f>
        <v>20260059-TH-8126-1-Prestar servicios de apoyo a la gestión administrativa, orientados al control, organización y seguimiento de la documentación institucional, en cumplimiento de las políticas de planeación y de los lineamientos establecidos en el Modelo Integrado de Planeación y Gestión - MIPG.</v>
      </c>
    </row>
    <row r="15" spans="1:35" s="145" customFormat="1" ht="70" x14ac:dyDescent="0.35">
      <c r="B15" s="185">
        <v>20260060</v>
      </c>
      <c r="C15" s="186" t="s">
        <v>863</v>
      </c>
      <c r="D15" s="185" t="s">
        <v>105</v>
      </c>
      <c r="E15" s="185" t="s">
        <v>363</v>
      </c>
      <c r="F15" s="187" t="s">
        <v>144</v>
      </c>
      <c r="G15" s="188" t="s">
        <v>373</v>
      </c>
      <c r="H15" s="189">
        <v>11</v>
      </c>
      <c r="I15" s="189">
        <v>0</v>
      </c>
      <c r="J15" s="190">
        <f>114000000-4000000</f>
        <v>110000000</v>
      </c>
      <c r="K15" s="191" t="s">
        <v>398</v>
      </c>
      <c r="L15" s="187" t="s">
        <v>36</v>
      </c>
      <c r="M15" s="184" t="s">
        <v>495</v>
      </c>
      <c r="N15" s="185" t="s">
        <v>197</v>
      </c>
      <c r="O15" s="154" t="s">
        <v>963</v>
      </c>
      <c r="P15" s="187" t="s">
        <v>348</v>
      </c>
      <c r="Q15" s="192">
        <v>80111600</v>
      </c>
      <c r="R15" s="184" t="s">
        <v>200</v>
      </c>
      <c r="S15" s="159" t="str">
        <f>MID(PAA[[#This Row],[Meta Proyecto de Inversión]],1,4)</f>
        <v>8126</v>
      </c>
      <c r="T15" s="159" t="str">
        <f>MID(PAA[[#This Row],[Meta Proyecto de Inversión]],6,1)</f>
        <v>1</v>
      </c>
      <c r="U15" s="155" t="str">
        <f>IFERROR(VLOOKUP(N15,TD!$B$50:$F$54,2,0)," ")</f>
        <v>O230117</v>
      </c>
      <c r="V15" s="155" t="str">
        <f>IFERROR(VLOOKUP(N15,TD!$B$50:$F$54,3,0)," ")</f>
        <v>4599</v>
      </c>
      <c r="W15" s="155">
        <f>IFERROR(VLOOKUP(N15,TD!$B$50:$F$54,4,0)," ")</f>
        <v>20240207</v>
      </c>
      <c r="X15" s="184" t="s">
        <v>182</v>
      </c>
      <c r="Y15" s="155" t="str">
        <f>IFERROR(VLOOKUP(X15,TD!$J$51:$K$64,2,0)," ")</f>
        <v>Servicios para la planeación y sistemas de gestión y comunicación estratégica</v>
      </c>
      <c r="Z15" s="161" t="str">
        <f>CONCATENATE(X15,"-",Y15)</f>
        <v>13-Servicios para la planeación y sistemas de gestión y comunicación estratégica</v>
      </c>
      <c r="AA15" s="184" t="s">
        <v>229</v>
      </c>
      <c r="AB15" s="155" t="str">
        <f>IFERROR(VLOOKUP(AA15,TD!$N$51:$O$66,2,0)," ")</f>
        <v>Servicio de asistencia técnica</v>
      </c>
      <c r="AC15" s="161" t="str">
        <f>CONCATENATE(AA15,"_",AB15)</f>
        <v>031_Servicio de asistencia técnica</v>
      </c>
      <c r="AD15" s="161" t="str">
        <f>CONCATENATE(Z15," ",AC15)</f>
        <v>13-Servicios para la planeación y sistemas de gestión y comunicación estratégica 031_Servicio de asistencia técnica</v>
      </c>
      <c r="AE15" s="155" t="str">
        <f>CONCATENATE(U15,V15,W15,X15,AA15)</f>
        <v>O23011745992024020713031</v>
      </c>
      <c r="AF15" s="155" t="str">
        <f>IFERROR(VLOOKUP(AD15,TD!$J$66:$K$89,2,0)," ")</f>
        <v>PM/0131/0113/45990310207</v>
      </c>
      <c r="AG15" s="193" t="s">
        <v>385</v>
      </c>
      <c r="AH15" s="184" t="s">
        <v>193</v>
      </c>
      <c r="AI15" s="194" t="str">
        <f>CONCATENATE(PAA[[#This Row],[Id Interno]],"-",PAA[[#This Row],[tipo de Contrato (TH talento humano - B/S bienes y/o servicios)]],"-",S15,"-",T15,"-",PAA[[#This Row],[Objeto de la contratación]])</f>
        <v>20260060-TH-8126-1-Prestar servicios profesionales para la gestión, formulación, actualización y seguimiento de los proyectos de inversión asignados, en el marco de la política de Gestión Presupuestal y Eficiencia del Gasto Público del Modelo Integrado de Planeación y Gestión - MIPG.</v>
      </c>
    </row>
    <row r="16" spans="1:35" s="145" customFormat="1" ht="70" x14ac:dyDescent="0.35">
      <c r="B16" s="185">
        <v>20260071</v>
      </c>
      <c r="C16" s="186" t="s">
        <v>874</v>
      </c>
      <c r="D16" s="185" t="s">
        <v>105</v>
      </c>
      <c r="E16" s="185" t="s">
        <v>363</v>
      </c>
      <c r="F16" s="187" t="s">
        <v>144</v>
      </c>
      <c r="G16" s="188" t="s">
        <v>373</v>
      </c>
      <c r="H16" s="189">
        <v>11</v>
      </c>
      <c r="I16" s="189">
        <v>0</v>
      </c>
      <c r="J16" s="190">
        <f>102000000-800000</f>
        <v>101200000</v>
      </c>
      <c r="K16" s="191" t="s">
        <v>398</v>
      </c>
      <c r="L16" s="187" t="s">
        <v>36</v>
      </c>
      <c r="M16" s="184" t="s">
        <v>495</v>
      </c>
      <c r="N16" s="185" t="s">
        <v>197</v>
      </c>
      <c r="O16" s="154" t="s">
        <v>963</v>
      </c>
      <c r="P16" s="187" t="s">
        <v>348</v>
      </c>
      <c r="Q16" s="192">
        <v>80111600</v>
      </c>
      <c r="R16" s="184" t="s">
        <v>202</v>
      </c>
      <c r="S16" s="159" t="str">
        <f>MID(PAA[[#This Row],[Meta Proyecto de Inversión]],1,4)</f>
        <v>8126</v>
      </c>
      <c r="T16" s="159" t="str">
        <f>MID(PAA[[#This Row],[Meta Proyecto de Inversión]],6,1)</f>
        <v>3</v>
      </c>
      <c r="U16" s="155" t="str">
        <f>IFERROR(VLOOKUP(N16,TD!$B$50:$F$54,2,0)," ")</f>
        <v>O230117</v>
      </c>
      <c r="V16" s="155" t="str">
        <f>IFERROR(VLOOKUP(N16,TD!$B$50:$F$54,3,0)," ")</f>
        <v>4599</v>
      </c>
      <c r="W16" s="155">
        <f>IFERROR(VLOOKUP(N16,TD!$B$50:$F$54,4,0)," ")</f>
        <v>20240207</v>
      </c>
      <c r="X16" s="184" t="s">
        <v>182</v>
      </c>
      <c r="Y16" s="155" t="str">
        <f>IFERROR(VLOOKUP(X16,TD!$J$51:$K$64,2,0)," ")</f>
        <v>Servicios para la planeación y sistemas de gestión y comunicación estratégica</v>
      </c>
      <c r="Z16" s="161" t="str">
        <f>CONCATENATE(X16,"-",Y16)</f>
        <v>13-Servicios para la planeación y sistemas de gestión y comunicación estratégica</v>
      </c>
      <c r="AA16" s="184" t="s">
        <v>229</v>
      </c>
      <c r="AB16" s="155" t="str">
        <f>IFERROR(VLOOKUP(AA16,TD!$N$51:$O$66,2,0)," ")</f>
        <v>Servicio de asistencia técnica</v>
      </c>
      <c r="AC16" s="161" t="str">
        <f>CONCATENATE(AA16,"_",AB16)</f>
        <v>031_Servicio de asistencia técnica</v>
      </c>
      <c r="AD16" s="161" t="str">
        <f>CONCATENATE(Z16," ",AC16)</f>
        <v>13-Servicios para la planeación y sistemas de gestión y comunicación estratégica 031_Servicio de asistencia técnica</v>
      </c>
      <c r="AE16" s="155" t="str">
        <f>CONCATENATE(U16,V16,W16,X16,AA16)</f>
        <v>O23011745992024020713031</v>
      </c>
      <c r="AF16" s="155" t="str">
        <f>IFERROR(VLOOKUP(AD16,TD!$J$66:$K$89,2,0)," ")</f>
        <v>PM/0131/0113/45990310207</v>
      </c>
      <c r="AG16" s="193" t="s">
        <v>385</v>
      </c>
      <c r="AH16" s="184" t="s">
        <v>193</v>
      </c>
      <c r="AI16" s="194" t="str">
        <f>CONCATENATE(PAA[[#This Row],[Id Interno]],"-",PAA[[#This Row],[tipo de Contrato (TH talento humano - B/S bienes y/o servicios)]],"-",S16,"-",T16,"-",PAA[[#This Row],[Objeto de la contratación]])</f>
        <v>20260071-TH-8126-3-Prestar servicios profesionales para realizar el seguimiento y control a la implementación del Sistema de Gestión de la Calidad, así como para coordinar, monitorear y evaluar la ejecución de las políticas y herramientas de gestión lideradas por el proceso de Gestión Estratégica, en el marco del Modelo Integrado de Planeación y Gestión - MIPG.</v>
      </c>
    </row>
    <row r="17" spans="2:35" s="145" customFormat="1" ht="84" x14ac:dyDescent="0.35">
      <c r="B17" s="185">
        <v>20260072</v>
      </c>
      <c r="C17" s="186" t="s">
        <v>946</v>
      </c>
      <c r="D17" s="185" t="s">
        <v>105</v>
      </c>
      <c r="E17" s="185" t="s">
        <v>363</v>
      </c>
      <c r="F17" s="187" t="s">
        <v>144</v>
      </c>
      <c r="G17" s="188" t="s">
        <v>373</v>
      </c>
      <c r="H17" s="189">
        <v>8</v>
      </c>
      <c r="I17" s="189">
        <v>0</v>
      </c>
      <c r="J17" s="190">
        <f>53889792-1889792</f>
        <v>52000000</v>
      </c>
      <c r="K17" s="191" t="s">
        <v>398</v>
      </c>
      <c r="L17" s="187" t="s">
        <v>36</v>
      </c>
      <c r="M17" s="184" t="s">
        <v>495</v>
      </c>
      <c r="N17" s="185" t="s">
        <v>197</v>
      </c>
      <c r="O17" s="154" t="s">
        <v>963</v>
      </c>
      <c r="P17" s="187" t="s">
        <v>348</v>
      </c>
      <c r="Q17" s="192">
        <v>80111600</v>
      </c>
      <c r="R17" s="184" t="s">
        <v>200</v>
      </c>
      <c r="S17" s="159" t="str">
        <f>MID(PAA[[#This Row],[Meta Proyecto de Inversión]],1,4)</f>
        <v>8126</v>
      </c>
      <c r="T17" s="159" t="str">
        <f>MID(PAA[[#This Row],[Meta Proyecto de Inversión]],6,1)</f>
        <v>1</v>
      </c>
      <c r="U17" s="155" t="str">
        <f>IFERROR(VLOOKUP(N17,TD!$B$50:$F$54,2,0)," ")</f>
        <v>O230117</v>
      </c>
      <c r="V17" s="155" t="str">
        <f>IFERROR(VLOOKUP(N17,TD!$B$50:$F$54,3,0)," ")</f>
        <v>4599</v>
      </c>
      <c r="W17" s="155">
        <f>IFERROR(VLOOKUP(N17,TD!$B$50:$F$54,4,0)," ")</f>
        <v>20240207</v>
      </c>
      <c r="X17" s="184" t="s">
        <v>182</v>
      </c>
      <c r="Y17" s="155" t="str">
        <f>IFERROR(VLOOKUP(X17,TD!$J$51:$K$64,2,0)," ")</f>
        <v>Servicios para la planeación y sistemas de gestión y comunicación estratégica</v>
      </c>
      <c r="Z17" s="161" t="str">
        <f>CONCATENATE(X17,"-",Y17)</f>
        <v>13-Servicios para la planeación y sistemas de gestión y comunicación estratégica</v>
      </c>
      <c r="AA17" s="184" t="s">
        <v>229</v>
      </c>
      <c r="AB17" s="155" t="str">
        <f>IFERROR(VLOOKUP(AA17,TD!$N$51:$O$66,2,0)," ")</f>
        <v>Servicio de asistencia técnica</v>
      </c>
      <c r="AC17" s="161" t="str">
        <f>CONCATENATE(AA17,"_",AB17)</f>
        <v>031_Servicio de asistencia técnica</v>
      </c>
      <c r="AD17" s="161" t="str">
        <f>CONCATENATE(Z17," ",AC17)</f>
        <v>13-Servicios para la planeación y sistemas de gestión y comunicación estratégica 031_Servicio de asistencia técnica</v>
      </c>
      <c r="AE17" s="155" t="str">
        <f>CONCATENATE(U17,V17,W17,X17,AA17)</f>
        <v>O23011745992024020713031</v>
      </c>
      <c r="AF17" s="155" t="str">
        <f>IFERROR(VLOOKUP(AD17,TD!$J$66:$K$89,2,0)," ")</f>
        <v>PM/0131/0113/45990310207</v>
      </c>
      <c r="AG17" s="193" t="s">
        <v>385</v>
      </c>
      <c r="AH17" s="184" t="s">
        <v>193</v>
      </c>
      <c r="AI17" s="194" t="str">
        <f>CONCATENATE(PAA[[#This Row],[Id Interno]],"-",PAA[[#This Row],[tipo de Contrato (TH talento humano - B/S bienes y/o servicios)]],"-",S17,"-",T17,"-",PAA[[#This Row],[Objeto de la contratación]])</f>
        <v>20260072-TH-8126-1-Prestar servicios profesionales para apoyar a la Oficina Asesora de Planeación para el acompañamiento de los proyectos de inversión de la entidad, en el marco de la política de gestión presupuestal y eficiencia del gasto público, dentro del Modelo Integrado de Planeación y Gestión (MIPG).</v>
      </c>
    </row>
    <row r="18" spans="2:35" s="145" customFormat="1" ht="70" x14ac:dyDescent="0.35">
      <c r="B18" s="185">
        <v>20260074</v>
      </c>
      <c r="C18" s="186" t="s">
        <v>876</v>
      </c>
      <c r="D18" s="185" t="s">
        <v>105</v>
      </c>
      <c r="E18" s="185" t="s">
        <v>363</v>
      </c>
      <c r="F18" s="187" t="s">
        <v>144</v>
      </c>
      <c r="G18" s="188" t="s">
        <v>373</v>
      </c>
      <c r="H18" s="189">
        <v>6</v>
      </c>
      <c r="I18" s="189">
        <v>0</v>
      </c>
      <c r="J18" s="190">
        <f>60000000</f>
        <v>60000000</v>
      </c>
      <c r="K18" s="191" t="s">
        <v>398</v>
      </c>
      <c r="L18" s="187" t="s">
        <v>36</v>
      </c>
      <c r="M18" s="184" t="s">
        <v>495</v>
      </c>
      <c r="N18" s="185" t="s">
        <v>197</v>
      </c>
      <c r="O18" s="154" t="s">
        <v>963</v>
      </c>
      <c r="P18" s="187" t="s">
        <v>348</v>
      </c>
      <c r="Q18" s="192">
        <v>80111600</v>
      </c>
      <c r="R18" s="184" t="s">
        <v>201</v>
      </c>
      <c r="S18" s="159" t="str">
        <f>MID(PAA[[#This Row],[Meta Proyecto de Inversión]],1,4)</f>
        <v>8126</v>
      </c>
      <c r="T18" s="159" t="str">
        <f>MID(PAA[[#This Row],[Meta Proyecto de Inversión]],6,1)</f>
        <v>2</v>
      </c>
      <c r="U18" s="155" t="str">
        <f>IFERROR(VLOOKUP(N18,TD!$B$50:$F$54,2,0)," ")</f>
        <v>O230117</v>
      </c>
      <c r="V18" s="155" t="str">
        <f>IFERROR(VLOOKUP(N18,TD!$B$50:$F$54,3,0)," ")</f>
        <v>4599</v>
      </c>
      <c r="W18" s="155">
        <f>IFERROR(VLOOKUP(N18,TD!$B$50:$F$54,4,0)," ")</f>
        <v>20240207</v>
      </c>
      <c r="X18" s="184" t="s">
        <v>182</v>
      </c>
      <c r="Y18" s="155" t="str">
        <f>IFERROR(VLOOKUP(X18,TD!$J$51:$K$64,2,0)," ")</f>
        <v>Servicios para la planeación y sistemas de gestión y comunicación estratégica</v>
      </c>
      <c r="Z18" s="161" t="str">
        <f>CONCATENATE(X18,"-",Y18)</f>
        <v>13-Servicios para la planeación y sistemas de gestión y comunicación estratégica</v>
      </c>
      <c r="AA18" s="184" t="s">
        <v>230</v>
      </c>
      <c r="AB18" s="155" t="str">
        <f>IFERROR(VLOOKUP(AA18,TD!$N$51:$O$66,2,0)," ")</f>
        <v>Servicio de Implementación Sistemas de Gestión</v>
      </c>
      <c r="AC18" s="161" t="str">
        <f>CONCATENATE(AA18,"_",AB18)</f>
        <v>023_Servicio de Implementación Sistemas de Gestión</v>
      </c>
      <c r="AD18" s="161" t="str">
        <f>CONCATENATE(Z18," ",AC18)</f>
        <v>13-Servicios para la planeación y sistemas de gestión y comunicación estratégica 023_Servicio de Implementación Sistemas de Gestión</v>
      </c>
      <c r="AE18" s="155" t="str">
        <f>CONCATENATE(U18,V18,W18,X18,AA18)</f>
        <v>O23011745992024020713023</v>
      </c>
      <c r="AF18" s="155" t="str">
        <f>IFERROR(VLOOKUP(AD18,TD!$J$66:$K$89,2,0)," ")</f>
        <v>PM/0131/0113/45990230207</v>
      </c>
      <c r="AG18" s="193" t="s">
        <v>385</v>
      </c>
      <c r="AH18" s="184" t="s">
        <v>193</v>
      </c>
      <c r="AI18" s="194" t="str">
        <f>CONCATENATE(PAA[[#This Row],[Id Interno]],"-",PAA[[#This Row],[tipo de Contrato (TH talento humano - B/S bienes y/o servicios)]],"-",S18,"-",T18,"-",PAA[[#This Row],[Objeto de la contratación]])</f>
        <v>20260074-TH-8126-2-Prestar servicios profesionales para realizar el seguimiento y control de los riesgos relacionados con el Sistema de Gestión de Riesgos para la Integridad Pública (SIGRIP). Asimismo, apoyar con el monitoreo y consolidación de la información del Programa de Transparencia y Ética Pública, en el marco del Modelo Integrado de Planeación y Gestión - MIPG.</v>
      </c>
    </row>
    <row r="19" spans="2:35" s="145" customFormat="1" ht="56" x14ac:dyDescent="0.35">
      <c r="B19" s="185">
        <v>20260078</v>
      </c>
      <c r="C19" s="186" t="s">
        <v>916</v>
      </c>
      <c r="D19" s="185" t="s">
        <v>105</v>
      </c>
      <c r="E19" s="185" t="s">
        <v>363</v>
      </c>
      <c r="F19" s="187" t="s">
        <v>144</v>
      </c>
      <c r="G19" s="188" t="s">
        <v>373</v>
      </c>
      <c r="H19" s="189">
        <v>8</v>
      </c>
      <c r="I19" s="189">
        <v>0</v>
      </c>
      <c r="J19" s="190">
        <f>56000000</f>
        <v>56000000</v>
      </c>
      <c r="K19" s="191" t="s">
        <v>398</v>
      </c>
      <c r="L19" s="187" t="s">
        <v>36</v>
      </c>
      <c r="M19" s="184" t="s">
        <v>495</v>
      </c>
      <c r="N19" s="185" t="s">
        <v>197</v>
      </c>
      <c r="O19" s="154" t="s">
        <v>963</v>
      </c>
      <c r="P19" s="187" t="s">
        <v>348</v>
      </c>
      <c r="Q19" s="192">
        <v>80111600</v>
      </c>
      <c r="R19" s="184" t="s">
        <v>200</v>
      </c>
      <c r="S19" s="159" t="str">
        <f>MID(PAA[[#This Row],[Meta Proyecto de Inversión]],1,4)</f>
        <v>8126</v>
      </c>
      <c r="T19" s="159" t="str">
        <f>MID(PAA[[#This Row],[Meta Proyecto de Inversión]],6,1)</f>
        <v>1</v>
      </c>
      <c r="U19" s="155" t="str">
        <f>IFERROR(VLOOKUP(N19,TD!$B$50:$F$54,2,0)," ")</f>
        <v>O230117</v>
      </c>
      <c r="V19" s="155" t="str">
        <f>IFERROR(VLOOKUP(N19,TD!$B$50:$F$54,3,0)," ")</f>
        <v>4599</v>
      </c>
      <c r="W19" s="155">
        <f>IFERROR(VLOOKUP(N19,TD!$B$50:$F$54,4,0)," ")</f>
        <v>20240207</v>
      </c>
      <c r="X19" s="184" t="s">
        <v>182</v>
      </c>
      <c r="Y19" s="155" t="str">
        <f>IFERROR(VLOOKUP(X19,TD!$J$51:$K$64,2,0)," ")</f>
        <v>Servicios para la planeación y sistemas de gestión y comunicación estratégica</v>
      </c>
      <c r="Z19" s="161" t="str">
        <f>CONCATENATE(X19,"-",Y19)</f>
        <v>13-Servicios para la planeación y sistemas de gestión y comunicación estratégica</v>
      </c>
      <c r="AA19" s="184" t="s">
        <v>229</v>
      </c>
      <c r="AB19" s="155" t="str">
        <f>IFERROR(VLOOKUP(AA19,TD!$N$51:$O$66,2,0)," ")</f>
        <v>Servicio de asistencia técnica</v>
      </c>
      <c r="AC19" s="161" t="str">
        <f>CONCATENATE(AA19,"_",AB19)</f>
        <v>031_Servicio de asistencia técnica</v>
      </c>
      <c r="AD19" s="161" t="str">
        <f>CONCATENATE(Z19," ",AC19)</f>
        <v>13-Servicios para la planeación y sistemas de gestión y comunicación estratégica 031_Servicio de asistencia técnica</v>
      </c>
      <c r="AE19" s="155" t="str">
        <f>CONCATENATE(U19,V19,W19,X19,AA19)</f>
        <v>O23011745992024020713031</v>
      </c>
      <c r="AF19" s="155" t="str">
        <f>IFERROR(VLOOKUP(AD19,TD!$J$66:$K$89,2,0)," ")</f>
        <v>PM/0131/0113/45990310207</v>
      </c>
      <c r="AG19" s="193" t="s">
        <v>385</v>
      </c>
      <c r="AH19" s="184" t="s">
        <v>193</v>
      </c>
      <c r="AI19" s="194" t="str">
        <f>CONCATENATE(PAA[[#This Row],[Id Interno]],"-",PAA[[#This Row],[tipo de Contrato (TH talento humano - B/S bienes y/o servicios)]],"-",S19,"-",T19,"-",PAA[[#This Row],[Objeto de la contratación]])</f>
        <v>20260078-TH-8126-1-Prestar servicios profesionales para apoyar a la Oficina Asesora de Planeación en el seguimiento de los proyectos de inversión de la entidad, para la consolidación de información y la elaboración de reportes, conforme a los lineamientos del Modelo Integrado de Planeación y Gestión - MIPG.</v>
      </c>
    </row>
    <row r="20" spans="2:35" s="145" customFormat="1" ht="56" x14ac:dyDescent="0.35">
      <c r="B20" s="185">
        <v>20260220</v>
      </c>
      <c r="C20" s="186" t="s">
        <v>850</v>
      </c>
      <c r="D20" s="185" t="s">
        <v>105</v>
      </c>
      <c r="E20" s="185" t="s">
        <v>363</v>
      </c>
      <c r="F20" s="187" t="s">
        <v>145</v>
      </c>
      <c r="G20" s="188" t="s">
        <v>373</v>
      </c>
      <c r="H20" s="189">
        <v>5</v>
      </c>
      <c r="I20" s="189">
        <v>0</v>
      </c>
      <c r="J20" s="190">
        <v>20600000</v>
      </c>
      <c r="K20" s="191" t="s">
        <v>398</v>
      </c>
      <c r="L20" s="187" t="s">
        <v>157</v>
      </c>
      <c r="M20" s="184" t="s">
        <v>512</v>
      </c>
      <c r="N20" s="185" t="s">
        <v>198</v>
      </c>
      <c r="O20" s="154" t="s">
        <v>964</v>
      </c>
      <c r="P20" s="187" t="s">
        <v>348</v>
      </c>
      <c r="Q20" s="192">
        <v>80111600</v>
      </c>
      <c r="R20" s="184" t="s">
        <v>213</v>
      </c>
      <c r="S20" s="159" t="str">
        <f>MID(PAA[[#This Row],[Meta Proyecto de Inversión]],1,4)</f>
        <v>8173</v>
      </c>
      <c r="T20" s="159" t="str">
        <f>MID(PAA[[#This Row],[Meta Proyecto de Inversión]],6,1)</f>
        <v>4</v>
      </c>
      <c r="U20" s="155" t="str">
        <f>IFERROR(VLOOKUP(N20,TD!$B$50:$F$54,2,0)," ")</f>
        <v>O230117</v>
      </c>
      <c r="V20" s="155" t="str">
        <f>IFERROR(VLOOKUP(N20,TD!$B$50:$F$54,3,0)," ")</f>
        <v>4503</v>
      </c>
      <c r="W20" s="155">
        <f>IFERROR(VLOOKUP(N20,TD!$B$50:$F$54,4,0)," ")</f>
        <v>20240255</v>
      </c>
      <c r="X20" s="184" t="s">
        <v>180</v>
      </c>
      <c r="Y20" s="155" t="str">
        <f>IFERROR(VLOOKUP(X20,TD!$J$51:$K$64,2,0)," ")</f>
        <v>Servicio de apoyo   logístico  en eventos operativos y/o emergencias.</v>
      </c>
      <c r="Z20" s="161" t="str">
        <f>CONCATENATE(X20,"-",Y20)</f>
        <v>12-Servicio de apoyo   logístico  en eventos operativos y/o emergencias.</v>
      </c>
      <c r="AA20" s="184" t="s">
        <v>221</v>
      </c>
      <c r="AB20" s="155" t="str">
        <f>IFERROR(VLOOKUP(AA20,TD!$N$51:$O$66,2,0)," ")</f>
        <v>Servicio de atención a emergencias y desastres</v>
      </c>
      <c r="AC20" s="161" t="str">
        <f>CONCATENATE(AA20,"_",AB20)</f>
        <v>004_Servicio de atención a emergencias y desastres</v>
      </c>
      <c r="AD20" s="161" t="str">
        <f>CONCATENATE(Z20," ",AC20)</f>
        <v>12-Servicio de apoyo   logístico  en eventos operativos y/o emergencias. 004_Servicio de atención a emergencias y desastres</v>
      </c>
      <c r="AE20" s="155" t="str">
        <f>CONCATENATE(U20,V20,W20,X20,AA20)</f>
        <v>O23011745032024025512004</v>
      </c>
      <c r="AF20" s="155" t="str">
        <f>IFERROR(VLOOKUP(AD20,TD!$J$66:$K$89,2,0)," ")</f>
        <v>PM/0131/0112/45030040255</v>
      </c>
      <c r="AG20" s="193" t="s">
        <v>385</v>
      </c>
      <c r="AH20" s="184" t="s">
        <v>193</v>
      </c>
      <c r="AI20" s="194" t="str">
        <f>CONCATENATE(PAA[[#This Row],[Id Interno]],"-",PAA[[#This Row],[tipo de Contrato (TH talento humano - B/S bienes y/o servicios)]],"-",S20,"-",T20,"-",PAA[[#This Row],[Objeto de la contratación]])</f>
        <v>20260220-TH-8173-4-Prestar servicios como conductor para apoyar en la gestiónes tecnicas y operativas para la Subdirección Logistica- SBLG.</v>
      </c>
    </row>
    <row r="21" spans="2:35" s="145" customFormat="1" ht="70" x14ac:dyDescent="0.35">
      <c r="B21" s="185">
        <v>20260389</v>
      </c>
      <c r="C21" s="186" t="s">
        <v>1010</v>
      </c>
      <c r="D21" s="185" t="s">
        <v>101</v>
      </c>
      <c r="E21" s="185" t="s">
        <v>402</v>
      </c>
      <c r="F21" s="187" t="s">
        <v>101</v>
      </c>
      <c r="G21" s="188" t="s">
        <v>375</v>
      </c>
      <c r="H21" s="189">
        <v>3</v>
      </c>
      <c r="I21" s="189">
        <v>0</v>
      </c>
      <c r="J21" s="190">
        <v>50000000</v>
      </c>
      <c r="K21" s="191" t="s">
        <v>398</v>
      </c>
      <c r="L21" s="187" t="s">
        <v>156</v>
      </c>
      <c r="M21" s="184" t="s">
        <v>513</v>
      </c>
      <c r="N21" s="185" t="s">
        <v>198</v>
      </c>
      <c r="O21" s="154" t="s">
        <v>964</v>
      </c>
      <c r="P21" s="187" t="s">
        <v>348</v>
      </c>
      <c r="Q21" s="197" t="s">
        <v>544</v>
      </c>
      <c r="R21" s="184" t="s">
        <v>210</v>
      </c>
      <c r="S21" s="159" t="str">
        <f>MID(PAA[[#This Row],[Meta Proyecto de Inversión]],1,4)</f>
        <v>8173</v>
      </c>
      <c r="T21" s="159" t="str">
        <f>MID(PAA[[#This Row],[Meta Proyecto de Inversión]],6,1)</f>
        <v>1</v>
      </c>
      <c r="U21" s="155" t="str">
        <f>IFERROR(VLOOKUP(N21,TD!$B$50:$F$54,2,0)," ")</f>
        <v>O230117</v>
      </c>
      <c r="V21" s="155" t="str">
        <f>IFERROR(VLOOKUP(N21,TD!$B$50:$F$54,3,0)," ")</f>
        <v>4503</v>
      </c>
      <c r="W21" s="155">
        <f>IFERROR(VLOOKUP(N21,TD!$B$50:$F$54,4,0)," ")</f>
        <v>20240255</v>
      </c>
      <c r="X21" s="184" t="s">
        <v>166</v>
      </c>
      <c r="Y21" s="155" t="str">
        <f>IFERROR(VLOOKUP(X21,TD!$J$51:$K$64,2,0)," ")</f>
        <v>Servicio de capacitaciones en gestión del riesgo de incendios  a la ciudadania.</v>
      </c>
      <c r="Z21" s="161" t="str">
        <f>CONCATENATE(X21,"-",Y21)</f>
        <v>05-Servicio de capacitaciones en gestión del riesgo de incendios  a la ciudadania.</v>
      </c>
      <c r="AA21" s="184" t="s">
        <v>223</v>
      </c>
      <c r="AB21" s="155" t="str">
        <f>IFERROR(VLOOKUP(AA21,TD!$N$51:$O$66,2,0)," ")</f>
        <v>Servicio prevención y control de incendios</v>
      </c>
      <c r="AC21" s="161" t="str">
        <f>CONCATENATE(AA21,"_",AB21)</f>
        <v>035_Servicio prevención y control de incendios</v>
      </c>
      <c r="AD21" s="161" t="str">
        <f>CONCATENATE(Z21," ",AC21)</f>
        <v>05-Servicio de capacitaciones en gestión del riesgo de incendios  a la ciudadania. 035_Servicio prevención y control de incendios</v>
      </c>
      <c r="AE21" s="155" t="str">
        <f>CONCATENATE(U21,V21,W21,X21,AA21)</f>
        <v>O23011745032024025505035</v>
      </c>
      <c r="AF21" s="155" t="str">
        <f>IFERROR(VLOOKUP(AD21,TD!$J$66:$K$89,2,0)," ")</f>
        <v>PM/0131/0105/45030350255</v>
      </c>
      <c r="AG21" s="193" t="s">
        <v>938</v>
      </c>
      <c r="AH21" s="184" t="s">
        <v>193</v>
      </c>
      <c r="AI21" s="194" t="str">
        <f>CONCATENATE(PAA[[#This Row],[Id Interno]],"-",PAA[[#This Row],[tipo de Contrato (TH talento humano - B/S bienes y/o servicios)]],"-",S21,"-",T21,"-",PAA[[#This Row],[Objeto de la contratación]])</f>
        <v>20260389-BS-8173-1-Adquisición de materiales y elementos especializados para el desarrollo de actividades de reduccion del riesgo adelantados por la Subdirección de Gestión del Riesgo_SGR</v>
      </c>
    </row>
    <row r="22" spans="2:35" s="145" customFormat="1" ht="84" x14ac:dyDescent="0.35">
      <c r="B22" s="186">
        <v>20260505</v>
      </c>
      <c r="C22" s="186" t="s">
        <v>755</v>
      </c>
      <c r="D22" s="186" t="s">
        <v>78</v>
      </c>
      <c r="E22" s="186" t="s">
        <v>402</v>
      </c>
      <c r="F22" s="188" t="s">
        <v>97</v>
      </c>
      <c r="G22" s="188" t="s">
        <v>375</v>
      </c>
      <c r="H22" s="232">
        <v>10</v>
      </c>
      <c r="I22" s="232">
        <v>0</v>
      </c>
      <c r="J22" s="193">
        <f>1300000000-386527500-113000000</f>
        <v>800472500</v>
      </c>
      <c r="K22" s="233" t="s">
        <v>398</v>
      </c>
      <c r="L22" s="188" t="s">
        <v>155</v>
      </c>
      <c r="M22" s="234" t="s">
        <v>422</v>
      </c>
      <c r="N22" s="186" t="s">
        <v>197</v>
      </c>
      <c r="O22" s="154" t="s">
        <v>963</v>
      </c>
      <c r="P22" s="188" t="s">
        <v>348</v>
      </c>
      <c r="Q22" s="235" t="s">
        <v>793</v>
      </c>
      <c r="R22" s="234" t="s">
        <v>207</v>
      </c>
      <c r="S22" s="182" t="str">
        <f>MID(PAA[[#This Row],[Meta Proyecto de Inversión]],1,4)</f>
        <v>8126</v>
      </c>
      <c r="T22" s="182" t="str">
        <f>MID(PAA[[#This Row],[Meta Proyecto de Inversión]],6,1)</f>
        <v>8</v>
      </c>
      <c r="U22" s="236" t="str">
        <f>IFERROR(VLOOKUP(N22,TD!$B$50:$F$54,2,0)," ")</f>
        <v>O230117</v>
      </c>
      <c r="V22" s="236" t="str">
        <f>IFERROR(VLOOKUP(N22,TD!$B$50:$F$54,3,0)," ")</f>
        <v>4599</v>
      </c>
      <c r="W22" s="236">
        <f>IFERROR(VLOOKUP(N22,TD!$B$50:$F$54,4,0)," ")</f>
        <v>20240207</v>
      </c>
      <c r="X22" s="234" t="s">
        <v>174</v>
      </c>
      <c r="Y22" s="236" t="str">
        <f>IFERROR(VLOOKUP(X22,TD!$J$51:$K$64,2,0)," ")</f>
        <v>Infraestructura física, mantenimiento y dotación (Sedes construidas, mantenidas reforzadas)</v>
      </c>
      <c r="Z22" s="183" t="str">
        <f>CONCATENATE(X22,"-",Y22)</f>
        <v>08-Infraestructura física, mantenimiento y dotación (Sedes construidas, mantenidas reforzadas)</v>
      </c>
      <c r="AA22" s="234" t="s">
        <v>227</v>
      </c>
      <c r="AB22" s="236" t="str">
        <f>IFERROR(VLOOKUP(AA22,TD!$N$51:$O$66,2,0)," ")</f>
        <v>Sedes mantenidas</v>
      </c>
      <c r="AC22" s="183" t="str">
        <f>CONCATENATE(AA22,"_",AB22)</f>
        <v>016_Sedes mantenidas</v>
      </c>
      <c r="AD22" s="183" t="str">
        <f>CONCATENATE(Z22," ",AC22)</f>
        <v>08-Infraestructura física, mantenimiento y dotación (Sedes construidas, mantenidas reforzadas) 016_Sedes mantenidas</v>
      </c>
      <c r="AE22" s="236" t="str">
        <f>CONCATENATE(U22,V22,W22,X22,AA22)</f>
        <v>O23011745992024020708016</v>
      </c>
      <c r="AF22" s="236" t="str">
        <f>IFERROR(VLOOKUP(AD22,TD!$J$66:$K$89,2,0)," ")</f>
        <v>PM/0131/0108/45990160207</v>
      </c>
      <c r="AG22" s="193" t="s">
        <v>94</v>
      </c>
      <c r="AH22" s="234" t="s">
        <v>193</v>
      </c>
      <c r="AI22" s="237" t="str">
        <f>CONCATENATE(PAA[[#This Row],[Id Interno]],"-",PAA[[#This Row],[tipo de Contrato (TH talento humano - B/S bienes y/o servicios)]],"-",S22,"-",T22,"-",PAA[[#This Row],[Objeto de la contratación]])</f>
        <v>20260505-BS-8126-8-Realizar el mantenimiento predictivo, preventivo, correctivo y mejoras a las instalaciones de las dependencias de la Unidad Administrativa Especial Cuerpo Oficial de Bomberos Bogotá -SGC</v>
      </c>
    </row>
    <row r="23" spans="2:35" s="145" customFormat="1" ht="70" x14ac:dyDescent="0.35">
      <c r="B23" s="185">
        <v>20260506</v>
      </c>
      <c r="C23" s="186" t="s">
        <v>957</v>
      </c>
      <c r="D23" s="185" t="s">
        <v>100</v>
      </c>
      <c r="E23" s="185" t="s">
        <v>402</v>
      </c>
      <c r="F23" s="185" t="s">
        <v>131</v>
      </c>
      <c r="G23" s="195" t="s">
        <v>375</v>
      </c>
      <c r="H23" s="196">
        <v>10</v>
      </c>
      <c r="I23" s="189">
        <v>0</v>
      </c>
      <c r="J23" s="190">
        <f>375000000-175000000</f>
        <v>200000000</v>
      </c>
      <c r="K23" s="191" t="s">
        <v>398</v>
      </c>
      <c r="L23" s="187" t="s">
        <v>155</v>
      </c>
      <c r="M23" s="184" t="s">
        <v>422</v>
      </c>
      <c r="N23" s="185" t="s">
        <v>197</v>
      </c>
      <c r="O23" s="154" t="s">
        <v>963</v>
      </c>
      <c r="P23" s="184" t="s">
        <v>348</v>
      </c>
      <c r="Q23" s="192" t="s">
        <v>794</v>
      </c>
      <c r="R23" s="184" t="s">
        <v>207</v>
      </c>
      <c r="S23" s="159" t="str">
        <f>MID(PAA[[#This Row],[Meta Proyecto de Inversión]],1,4)</f>
        <v>8126</v>
      </c>
      <c r="T23" s="159" t="str">
        <f>MID(PAA[[#This Row],[Meta Proyecto de Inversión]],6,1)</f>
        <v>8</v>
      </c>
      <c r="U23" s="155" t="str">
        <f>IFERROR(VLOOKUP(N23,TD!$B$50:$F$54,2,0)," ")</f>
        <v>O230117</v>
      </c>
      <c r="V23" s="155" t="str">
        <f>IFERROR(VLOOKUP(N23,TD!$B$50:$F$54,3,0)," ")</f>
        <v>4599</v>
      </c>
      <c r="W23" s="155">
        <f>IFERROR(VLOOKUP(N23,TD!$B$50:$F$54,4,0)," ")</f>
        <v>20240207</v>
      </c>
      <c r="X23" s="184" t="s">
        <v>174</v>
      </c>
      <c r="Y23" s="155" t="str">
        <f>IFERROR(VLOOKUP(X23,TD!$J$51:$K$64,2,0)," ")</f>
        <v>Infraestructura física, mantenimiento y dotación (Sedes construidas, mantenidas reforzadas)</v>
      </c>
      <c r="Z23" s="161" t="str">
        <f>CONCATENATE(X23,"-",Y23)</f>
        <v>08-Infraestructura física, mantenimiento y dotación (Sedes construidas, mantenidas reforzadas)</v>
      </c>
      <c r="AA23" s="184" t="s">
        <v>227</v>
      </c>
      <c r="AB23" s="155" t="str">
        <f>IFERROR(VLOOKUP(AA23,TD!$N$51:$O$66,2,0)," ")</f>
        <v>Sedes mantenidas</v>
      </c>
      <c r="AC23" s="161" t="str">
        <f>CONCATENATE(AA23,"_",AB23)</f>
        <v>016_Sedes mantenidas</v>
      </c>
      <c r="AD23" s="161" t="str">
        <f>CONCATENATE(Z23," ",AC23)</f>
        <v>08-Infraestructura física, mantenimiento y dotación (Sedes construidas, mantenidas reforzadas) 016_Sedes mantenidas</v>
      </c>
      <c r="AE23" s="155" t="str">
        <f>CONCATENATE(U23,V23,W23,X23,AA23)</f>
        <v>O23011745992024020708016</v>
      </c>
      <c r="AF23" s="155" t="str">
        <f>IFERROR(VLOOKUP(AD23,TD!$J$66:$K$89,2,0)," ")</f>
        <v>PM/0131/0108/45990160207</v>
      </c>
      <c r="AG23" s="193" t="s">
        <v>94</v>
      </c>
      <c r="AH23" s="184" t="s">
        <v>193</v>
      </c>
      <c r="AI23" s="194" t="str">
        <f>CONCATENATE(PAA[[#This Row],[Id Interno]],"-",PAA[[#This Row],[tipo de Contrato (TH talento humano - B/S bienes y/o servicios)]],"-",S23,"-",T23,"-",PAA[[#This Row],[Objeto de la contratación]])</f>
        <v>20260506-BS-8126-8-Interventoría técnica, administrativa, financiera, contable, jurídica y ambiental  para la realización del mantenimiento predictivo, preventivo, correctivo y mejoras a las instalaciones de las dependencias de la Unidad Administrativa Especial Cuerpo Oficial de Bomberos Bogotá -SGC</v>
      </c>
    </row>
    <row r="24" spans="2:35" s="145" customFormat="1" ht="84" x14ac:dyDescent="0.35">
      <c r="B24" s="185">
        <v>20260509</v>
      </c>
      <c r="C24" s="186" t="s">
        <v>758</v>
      </c>
      <c r="D24" s="185" t="s">
        <v>119</v>
      </c>
      <c r="E24" s="185" t="s">
        <v>402</v>
      </c>
      <c r="F24" s="185" t="s">
        <v>128</v>
      </c>
      <c r="G24" s="195" t="s">
        <v>377</v>
      </c>
      <c r="H24" s="196">
        <v>0</v>
      </c>
      <c r="I24" s="189">
        <v>0</v>
      </c>
      <c r="J24" s="190">
        <v>60990220</v>
      </c>
      <c r="K24" s="191" t="s">
        <v>398</v>
      </c>
      <c r="L24" s="187" t="s">
        <v>155</v>
      </c>
      <c r="M24" s="184" t="s">
        <v>422</v>
      </c>
      <c r="N24" s="185" t="s">
        <v>197</v>
      </c>
      <c r="O24" s="154" t="s">
        <v>963</v>
      </c>
      <c r="P24" s="184" t="s">
        <v>348</v>
      </c>
      <c r="Q24" s="192" t="s">
        <v>335</v>
      </c>
      <c r="R24" s="184" t="s">
        <v>207</v>
      </c>
      <c r="S24" s="159" t="str">
        <f>MID(PAA[[#This Row],[Meta Proyecto de Inversión]],1,4)</f>
        <v>8126</v>
      </c>
      <c r="T24" s="159" t="str">
        <f>MID(PAA[[#This Row],[Meta Proyecto de Inversión]],6,1)</f>
        <v>8</v>
      </c>
      <c r="U24" s="155" t="str">
        <f>IFERROR(VLOOKUP(N24,TD!$B$50:$F$54,2,0)," ")</f>
        <v>O230117</v>
      </c>
      <c r="V24" s="155" t="str">
        <f>IFERROR(VLOOKUP(N24,TD!$B$50:$F$54,3,0)," ")</f>
        <v>4599</v>
      </c>
      <c r="W24" s="155">
        <f>IFERROR(VLOOKUP(N24,TD!$B$50:$F$54,4,0)," ")</f>
        <v>20240207</v>
      </c>
      <c r="X24" s="184" t="s">
        <v>174</v>
      </c>
      <c r="Y24" s="155" t="str">
        <f>IFERROR(VLOOKUP(X24,TD!$J$51:$K$64,2,0)," ")</f>
        <v>Infraestructura física, mantenimiento y dotación (Sedes construidas, mantenidas reforzadas)</v>
      </c>
      <c r="Z24" s="161" t="str">
        <f>CONCATENATE(X24,"-",Y24)</f>
        <v>08-Infraestructura física, mantenimiento y dotación (Sedes construidas, mantenidas reforzadas)</v>
      </c>
      <c r="AA24" s="184" t="s">
        <v>227</v>
      </c>
      <c r="AB24" s="155" t="str">
        <f>IFERROR(VLOOKUP(AA24,TD!$N$51:$O$66,2,0)," ")</f>
        <v>Sedes mantenidas</v>
      </c>
      <c r="AC24" s="161" t="str">
        <f>CONCATENATE(AA24,"_",AB24)</f>
        <v>016_Sedes mantenidas</v>
      </c>
      <c r="AD24" s="161" t="str">
        <f>CONCATENATE(Z24," ",AC24)</f>
        <v>08-Infraestructura física, mantenimiento y dotación (Sedes construidas, mantenidas reforzadas) 016_Sedes mantenidas</v>
      </c>
      <c r="AE24" s="155" t="str">
        <f>CONCATENATE(U24,V24,W24,X24,AA24)</f>
        <v>O23011745992024020708016</v>
      </c>
      <c r="AF24" s="155" t="str">
        <f>IFERROR(VLOOKUP(AD24,TD!$J$66:$K$89,2,0)," ")</f>
        <v>PM/0131/0108/45990160207</v>
      </c>
      <c r="AG24" s="193" t="s">
        <v>134</v>
      </c>
      <c r="AH24" s="184" t="s">
        <v>194</v>
      </c>
      <c r="AI24" s="194" t="str">
        <f>CONCATENATE(PAA[[#This Row],[Id Interno]],"-",PAA[[#This Row],[tipo de Contrato (TH talento humano - B/S bienes y/o servicios)]],"-",S24,"-",T24,"-",PAA[[#This Row],[Objeto de la contratación]])</f>
        <v xml:space="preserve">20260509-BS-8126-8-Proceso para amparar el Pago de Pasivos exigibles </v>
      </c>
    </row>
    <row r="25" spans="2:35" s="145" customFormat="1" ht="84" x14ac:dyDescent="0.35">
      <c r="B25" s="185">
        <v>20260511</v>
      </c>
      <c r="C25" s="186" t="s">
        <v>760</v>
      </c>
      <c r="D25" s="185" t="s">
        <v>78</v>
      </c>
      <c r="E25" s="185" t="s">
        <v>402</v>
      </c>
      <c r="F25" s="185" t="s">
        <v>97</v>
      </c>
      <c r="G25" s="195" t="s">
        <v>379</v>
      </c>
      <c r="H25" s="196">
        <v>15</v>
      </c>
      <c r="I25" s="189">
        <v>0</v>
      </c>
      <c r="J25" s="190">
        <f>2869187130-3760200</f>
        <v>2865426930</v>
      </c>
      <c r="K25" s="191" t="s">
        <v>398</v>
      </c>
      <c r="L25" s="187" t="s">
        <v>155</v>
      </c>
      <c r="M25" s="184" t="s">
        <v>422</v>
      </c>
      <c r="N25" s="185" t="s">
        <v>198</v>
      </c>
      <c r="O25" s="154" t="s">
        <v>964</v>
      </c>
      <c r="P25" s="184" t="s">
        <v>348</v>
      </c>
      <c r="Q25" s="192" t="s">
        <v>781</v>
      </c>
      <c r="R25" s="184" t="s">
        <v>216</v>
      </c>
      <c r="S25" s="182" t="str">
        <f>MID(PAA[[#This Row],[Meta Proyecto de Inversión]],1,4)</f>
        <v>8173</v>
      </c>
      <c r="T25" s="182" t="str">
        <f>MID(PAA[[#This Row],[Meta Proyecto de Inversión]],6,1)</f>
        <v>7</v>
      </c>
      <c r="U25" s="155" t="str">
        <f>IFERROR(VLOOKUP(N25,TD!$B$50:$F$54,2,0)," ")</f>
        <v>O230117</v>
      </c>
      <c r="V25" s="155" t="str">
        <f>IFERROR(VLOOKUP(N25,TD!$B$50:$F$54,3,0)," ")</f>
        <v>4503</v>
      </c>
      <c r="W25" s="155">
        <f>IFERROR(VLOOKUP(N25,TD!$B$50:$F$54,4,0)," ")</f>
        <v>20240255</v>
      </c>
      <c r="X25" s="184">
        <v>14</v>
      </c>
      <c r="Y25" s="155" t="str">
        <f>IFERROR(VLOOKUP(X25,TD!$J$51:$K$64,2,0)," ")</f>
        <v xml:space="preserve">Infraestructura física misional construida mantenida y dotada </v>
      </c>
      <c r="Z25" s="183" t="str">
        <f>CONCATENATE(X25,"-",Y25)</f>
        <v xml:space="preserve">14-Infraestructura física misional construida mantenida y dotada </v>
      </c>
      <c r="AA25" s="184" t="s">
        <v>225</v>
      </c>
      <c r="AB25" s="155" t="str">
        <f>IFERROR(VLOOKUP(AA25,TD!$N$51:$O$66,2,0)," ")</f>
        <v>Estaciones de bomberos adecuadas</v>
      </c>
      <c r="AC25" s="183" t="str">
        <f>CONCATENATE(AA25,"_",AB25)</f>
        <v>014_Estaciones de bomberos adecuadas</v>
      </c>
      <c r="AD25" s="183" t="str">
        <f>CONCATENATE(Z25," ",AC25)</f>
        <v>14-Infraestructura física misional construida mantenida y dotada  014_Estaciones de bomberos adecuadas</v>
      </c>
      <c r="AE25" s="155" t="str">
        <f>CONCATENATE(U25,V25,W25,X25,AA25)</f>
        <v>O23011745032024025514014</v>
      </c>
      <c r="AF25" s="155" t="str">
        <f>IFERROR(VLOOKUP(AD25,TD!$J$66:$K$89,2,0)," ")</f>
        <v>PM/0131/0114/45030140255</v>
      </c>
      <c r="AG25" s="193" t="s">
        <v>94</v>
      </c>
      <c r="AH25" s="184" t="s">
        <v>193</v>
      </c>
      <c r="AI25" s="194" t="str">
        <f>CONCATENATE(PAA[[#This Row],[Id Interno]],"-",PAA[[#This Row],[tipo de Contrato (TH talento humano - B/S bienes y/o servicios)]],"-",S25,"-",T25,"-",PAA[[#This Row],[Objeto de la contratación]])</f>
        <v>20260511-BS-8173-7-Construcción de la estación  Ferias  B-7  UAE Cuerpo Oficial de Bomberos de Bogotá – SGC</v>
      </c>
    </row>
    <row r="26" spans="2:35" s="145" customFormat="1" ht="56" x14ac:dyDescent="0.35">
      <c r="B26" s="185">
        <v>20260556</v>
      </c>
      <c r="C26" s="186" t="s">
        <v>825</v>
      </c>
      <c r="D26" s="185" t="s">
        <v>105</v>
      </c>
      <c r="E26" s="185" t="s">
        <v>363</v>
      </c>
      <c r="F26" s="185" t="s">
        <v>144</v>
      </c>
      <c r="G26" s="195" t="s">
        <v>374</v>
      </c>
      <c r="H26" s="196">
        <v>10</v>
      </c>
      <c r="I26" s="196">
        <v>0</v>
      </c>
      <c r="J26" s="190">
        <f>32000000-32000000</f>
        <v>0</v>
      </c>
      <c r="K26" s="191" t="s">
        <v>398</v>
      </c>
      <c r="L26" s="187" t="s">
        <v>150</v>
      </c>
      <c r="M26" s="184" t="s">
        <v>401</v>
      </c>
      <c r="N26" s="185" t="s">
        <v>197</v>
      </c>
      <c r="O26" s="154" t="s">
        <v>963</v>
      </c>
      <c r="P26" s="184" t="s">
        <v>348</v>
      </c>
      <c r="Q26" s="192">
        <v>80111600</v>
      </c>
      <c r="R26" s="184" t="s">
        <v>209</v>
      </c>
      <c r="S26" s="182" t="str">
        <f>MID(PAA[[#This Row],[Meta Proyecto de Inversión]],1,4)</f>
        <v>8126</v>
      </c>
      <c r="T26" s="182" t="str">
        <f>MID(PAA[[#This Row],[Meta Proyecto de Inversión]],6,1)</f>
        <v>1</v>
      </c>
      <c r="U26" s="155" t="str">
        <f>IFERROR(VLOOKUP(N26,TD!$B$50:$F$54,2,0)," ")</f>
        <v>O230117</v>
      </c>
      <c r="V26" s="155" t="str">
        <f>IFERROR(VLOOKUP(N26,TD!$B$50:$F$54,3,0)," ")</f>
        <v>4599</v>
      </c>
      <c r="W26" s="155">
        <f>IFERROR(VLOOKUP(N26,TD!$B$50:$F$54,4,0)," ")</f>
        <v>20240207</v>
      </c>
      <c r="X26" s="184" t="s">
        <v>182</v>
      </c>
      <c r="Y26" s="155" t="str">
        <f>IFERROR(VLOOKUP(X26,TD!$J$51:$K$64,2,0)," ")</f>
        <v>Servicios para la planeación y sistemas de gestión y comunicación estratégica</v>
      </c>
      <c r="Z26" s="183" t="str">
        <f>CONCATENATE(X26,"-",Y26)</f>
        <v>13-Servicios para la planeación y sistemas de gestión y comunicación estratégica</v>
      </c>
      <c r="AA26" s="184" t="s">
        <v>231</v>
      </c>
      <c r="AB26" s="155" t="str">
        <f>IFERROR(VLOOKUP(AA26,TD!$N$51:$O$66,2,0)," ")</f>
        <v>Documentos de planeación</v>
      </c>
      <c r="AC26" s="183" t="str">
        <f>CONCATENATE(AA26,"_",AB26)</f>
        <v>019_Documentos de planeación</v>
      </c>
      <c r="AD26" s="183" t="str">
        <f>CONCATENATE(Z26," ",AC26)</f>
        <v>13-Servicios para la planeación y sistemas de gestión y comunicación estratégica 019_Documentos de planeación</v>
      </c>
      <c r="AE26" s="155" t="str">
        <f>CONCATENATE(U26,V26,W26,X26,AA26)</f>
        <v>O23011745992024020713019</v>
      </c>
      <c r="AF26" s="155" t="str">
        <f>IFERROR(VLOOKUP(AD26,TD!$J$66:$K$89,2,0)," ")</f>
        <v>PM/0131/0113/45990190207</v>
      </c>
      <c r="AG26" s="193" t="s">
        <v>385</v>
      </c>
      <c r="AH26" s="184" t="s">
        <v>193</v>
      </c>
      <c r="AI26" s="194" t="str">
        <f>CONCATENATE(PAA[[#This Row],[Id Interno]],"-",PAA[[#This Row],[tipo de Contrato (TH talento humano - B/S bienes y/o servicios)]],"-",S26,"-",T26,"-",PAA[[#This Row],[Objeto de la contratación]])</f>
        <v>20260556-TH-8126-1-Prestación de servicios profesionales en la Dirección en comunicaciones y prensa, para apoyar la difusión de la información al público interno y externo de la UAECOB.</v>
      </c>
    </row>
    <row r="27" spans="2:35" s="145" customFormat="1" ht="70" x14ac:dyDescent="0.35">
      <c r="B27" s="185">
        <v>20260567</v>
      </c>
      <c r="C27" s="186" t="s">
        <v>836</v>
      </c>
      <c r="D27" s="185" t="s">
        <v>105</v>
      </c>
      <c r="E27" s="185" t="s">
        <v>363</v>
      </c>
      <c r="F27" s="185" t="s">
        <v>145</v>
      </c>
      <c r="G27" s="195" t="s">
        <v>374</v>
      </c>
      <c r="H27" s="196">
        <v>10</v>
      </c>
      <c r="I27" s="196">
        <v>0</v>
      </c>
      <c r="J27" s="190">
        <f>19500000-17322500</f>
        <v>2177500</v>
      </c>
      <c r="K27" s="191" t="s">
        <v>398</v>
      </c>
      <c r="L27" s="187" t="s">
        <v>150</v>
      </c>
      <c r="M27" s="184" t="s">
        <v>401</v>
      </c>
      <c r="N27" s="185" t="s">
        <v>197</v>
      </c>
      <c r="O27" s="154" t="s">
        <v>963</v>
      </c>
      <c r="P27" s="184" t="s">
        <v>348</v>
      </c>
      <c r="Q27" s="192">
        <v>80111600</v>
      </c>
      <c r="R27" s="184" t="s">
        <v>209</v>
      </c>
      <c r="S27" s="182" t="str">
        <f>MID(PAA[[#This Row],[Meta Proyecto de Inversión]],1,4)</f>
        <v>8126</v>
      </c>
      <c r="T27" s="182" t="str">
        <f>MID(PAA[[#This Row],[Meta Proyecto de Inversión]],6,1)</f>
        <v>1</v>
      </c>
      <c r="U27" s="155" t="str">
        <f>IFERROR(VLOOKUP(N27,TD!$B$50:$F$54,2,0)," ")</f>
        <v>O230117</v>
      </c>
      <c r="V27" s="155" t="str">
        <f>IFERROR(VLOOKUP(N27,TD!$B$50:$F$54,3,0)," ")</f>
        <v>4599</v>
      </c>
      <c r="W27" s="155">
        <f>IFERROR(VLOOKUP(N27,TD!$B$50:$F$54,4,0)," ")</f>
        <v>20240207</v>
      </c>
      <c r="X27" s="184" t="s">
        <v>182</v>
      </c>
      <c r="Y27" s="155" t="str">
        <f>IFERROR(VLOOKUP(X27,TD!$J$51:$K$64,2,0)," ")</f>
        <v>Servicios para la planeación y sistemas de gestión y comunicación estratégica</v>
      </c>
      <c r="Z27" s="183" t="str">
        <f>CONCATENATE(X27,"-",Y27)</f>
        <v>13-Servicios para la planeación y sistemas de gestión y comunicación estratégica</v>
      </c>
      <c r="AA27" s="184" t="s">
        <v>231</v>
      </c>
      <c r="AB27" s="155" t="str">
        <f>IFERROR(VLOOKUP(AA27,TD!$N$51:$O$66,2,0)," ")</f>
        <v>Documentos de planeación</v>
      </c>
      <c r="AC27" s="183" t="str">
        <f>CONCATENATE(AA27,"_",AB27)</f>
        <v>019_Documentos de planeación</v>
      </c>
      <c r="AD27" s="183" t="str">
        <f>CONCATENATE(Z27," ",AC27)</f>
        <v>13-Servicios para la planeación y sistemas de gestión y comunicación estratégica 019_Documentos de planeación</v>
      </c>
      <c r="AE27" s="155" t="str">
        <f>CONCATENATE(U27,V27,W27,X27,AA27)</f>
        <v>O23011745992024020713019</v>
      </c>
      <c r="AF27" s="155" t="str">
        <f>IFERROR(VLOOKUP(AD27,TD!$J$66:$K$89,2,0)," ")</f>
        <v>PM/0131/0113/45990190207</v>
      </c>
      <c r="AG27" s="193" t="s">
        <v>385</v>
      </c>
      <c r="AH27" s="184" t="s">
        <v>193</v>
      </c>
      <c r="AI27" s="194" t="str">
        <f>CONCATENATE(PAA[[#This Row],[Id Interno]],"-",PAA[[#This Row],[tipo de Contrato (TH talento humano - B/S bienes y/o servicios)]],"-",S27,"-",T27,"-",PAA[[#This Row],[Objeto de la contratación]])</f>
        <v>20260567-TH-8126-1-Prestar servicios a la Dirección General en la conducción, traslado y movilización de personal, equipos y materiales, garantizando el cumplimiento de las operaciones logísticas y misionales del Cuerpo Oficial de Bomberos de Bogotá</v>
      </c>
    </row>
    <row r="28" spans="2:35" s="145" customFormat="1" ht="70" x14ac:dyDescent="0.35">
      <c r="B28" s="185">
        <v>20260568</v>
      </c>
      <c r="C28" s="186" t="s">
        <v>835</v>
      </c>
      <c r="D28" s="185" t="s">
        <v>105</v>
      </c>
      <c r="E28" s="185" t="s">
        <v>363</v>
      </c>
      <c r="F28" s="185" t="s">
        <v>144</v>
      </c>
      <c r="G28" s="195" t="s">
        <v>374</v>
      </c>
      <c r="H28" s="196">
        <v>10</v>
      </c>
      <c r="I28" s="196">
        <v>0</v>
      </c>
      <c r="J28" s="190">
        <f>28000000-28000000</f>
        <v>0</v>
      </c>
      <c r="K28" s="191" t="s">
        <v>398</v>
      </c>
      <c r="L28" s="187" t="s">
        <v>150</v>
      </c>
      <c r="M28" s="184" t="s">
        <v>401</v>
      </c>
      <c r="N28" s="185" t="s">
        <v>197</v>
      </c>
      <c r="O28" s="154" t="s">
        <v>963</v>
      </c>
      <c r="P28" s="184" t="s">
        <v>348</v>
      </c>
      <c r="Q28" s="192">
        <v>80111600</v>
      </c>
      <c r="R28" s="184" t="s">
        <v>209</v>
      </c>
      <c r="S28" s="182" t="str">
        <f>MID(PAA[[#This Row],[Meta Proyecto de Inversión]],1,4)</f>
        <v>8126</v>
      </c>
      <c r="T28" s="182" t="str">
        <f>MID(PAA[[#This Row],[Meta Proyecto de Inversión]],6,1)</f>
        <v>1</v>
      </c>
      <c r="U28" s="155" t="str">
        <f>IFERROR(VLOOKUP(N28,TD!$B$50:$F$54,2,0)," ")</f>
        <v>O230117</v>
      </c>
      <c r="V28" s="155" t="str">
        <f>IFERROR(VLOOKUP(N28,TD!$B$50:$F$54,3,0)," ")</f>
        <v>4599</v>
      </c>
      <c r="W28" s="155">
        <f>IFERROR(VLOOKUP(N28,TD!$B$50:$F$54,4,0)," ")</f>
        <v>20240207</v>
      </c>
      <c r="X28" s="184" t="s">
        <v>182</v>
      </c>
      <c r="Y28" s="155" t="str">
        <f>IFERROR(VLOOKUP(X28,TD!$J$51:$K$64,2,0)," ")</f>
        <v>Servicios para la planeación y sistemas de gestión y comunicación estratégica</v>
      </c>
      <c r="Z28" s="183" t="str">
        <f>CONCATENATE(X28,"-",Y28)</f>
        <v>13-Servicios para la planeación y sistemas de gestión y comunicación estratégica</v>
      </c>
      <c r="AA28" s="184" t="s">
        <v>231</v>
      </c>
      <c r="AB28" s="155" t="str">
        <f>IFERROR(VLOOKUP(AA28,TD!$N$51:$O$66,2,0)," ")</f>
        <v>Documentos de planeación</v>
      </c>
      <c r="AC28" s="183" t="str">
        <f>CONCATENATE(AA28,"_",AB28)</f>
        <v>019_Documentos de planeación</v>
      </c>
      <c r="AD28" s="183" t="str">
        <f>CONCATENATE(Z28," ",AC28)</f>
        <v>13-Servicios para la planeación y sistemas de gestión y comunicación estratégica 019_Documentos de planeación</v>
      </c>
      <c r="AE28" s="155" t="str">
        <f>CONCATENATE(U28,V28,W28,X28,AA28)</f>
        <v>O23011745992024020713019</v>
      </c>
      <c r="AF28" s="155" t="str">
        <f>IFERROR(VLOOKUP(AD28,TD!$J$66:$K$89,2,0)," ")</f>
        <v>PM/0131/0113/45990190207</v>
      </c>
      <c r="AG28" s="193" t="s">
        <v>385</v>
      </c>
      <c r="AH28" s="184" t="s">
        <v>193</v>
      </c>
      <c r="AI28" s="194" t="str">
        <f>CONCATENATE(PAA[[#This Row],[Id Interno]],"-",PAA[[#This Row],[tipo de Contrato (TH talento humano - B/S bienes y/o servicios)]],"-",S28,"-",T28,"-",PAA[[#This Row],[Objeto de la contratación]])</f>
        <v>20260568-TH-8126-1-Prestación de servicios profesionales en asuntos de comunicaciones para realizar el cubrimiento periodístico, fotográfico y audiovisual de las actividades operativas y misionales de la UAECOB, así como la elaboración de contenidos informativos para su difusión.</v>
      </c>
    </row>
    <row r="29" spans="2:35" s="145" customFormat="1" ht="84" x14ac:dyDescent="0.35">
      <c r="B29" s="185">
        <v>20260569</v>
      </c>
      <c r="C29" s="186" t="s">
        <v>914</v>
      </c>
      <c r="D29" s="185" t="s">
        <v>105</v>
      </c>
      <c r="E29" s="185" t="s">
        <v>363</v>
      </c>
      <c r="F29" s="185" t="s">
        <v>144</v>
      </c>
      <c r="G29" s="195" t="s">
        <v>379</v>
      </c>
      <c r="H29" s="196">
        <v>7</v>
      </c>
      <c r="I29" s="196">
        <v>0</v>
      </c>
      <c r="J29" s="190">
        <f>36050000-36050000</f>
        <v>0</v>
      </c>
      <c r="K29" s="191" t="s">
        <v>398</v>
      </c>
      <c r="L29" s="187" t="s">
        <v>150</v>
      </c>
      <c r="M29" s="184" t="s">
        <v>401</v>
      </c>
      <c r="N29" s="185" t="s">
        <v>197</v>
      </c>
      <c r="O29" s="154" t="s">
        <v>963</v>
      </c>
      <c r="P29" s="184" t="s">
        <v>348</v>
      </c>
      <c r="Q29" s="192">
        <v>80111600</v>
      </c>
      <c r="R29" s="184" t="s">
        <v>209</v>
      </c>
      <c r="S29" s="182" t="str">
        <f>MID(PAA[[#This Row],[Meta Proyecto de Inversión]],1,4)</f>
        <v>8126</v>
      </c>
      <c r="T29" s="182" t="str">
        <f>MID(PAA[[#This Row],[Meta Proyecto de Inversión]],6,1)</f>
        <v>1</v>
      </c>
      <c r="U29" s="155" t="str">
        <f>IFERROR(VLOOKUP(N29,TD!$B$50:$F$54,2,0)," ")</f>
        <v>O230117</v>
      </c>
      <c r="V29" s="155" t="str">
        <f>IFERROR(VLOOKUP(N29,TD!$B$50:$F$54,3,0)," ")</f>
        <v>4599</v>
      </c>
      <c r="W29" s="155">
        <f>IFERROR(VLOOKUP(N29,TD!$B$50:$F$54,4,0)," ")</f>
        <v>20240207</v>
      </c>
      <c r="X29" s="184" t="s">
        <v>182</v>
      </c>
      <c r="Y29" s="155" t="str">
        <f>IFERROR(VLOOKUP(X29,TD!$J$51:$K$64,2,0)," ")</f>
        <v>Servicios para la planeación y sistemas de gestión y comunicación estratégica</v>
      </c>
      <c r="Z29" s="183" t="str">
        <f>CONCATENATE(X29,"-",Y29)</f>
        <v>13-Servicios para la planeación y sistemas de gestión y comunicación estratégica</v>
      </c>
      <c r="AA29" s="184" t="s">
        <v>231</v>
      </c>
      <c r="AB29" s="155" t="str">
        <f>IFERROR(VLOOKUP(AA29,TD!$N$51:$O$66,2,0)," ")</f>
        <v>Documentos de planeación</v>
      </c>
      <c r="AC29" s="183" t="str">
        <f>CONCATENATE(AA29,"_",AB29)</f>
        <v>019_Documentos de planeación</v>
      </c>
      <c r="AD29" s="183" t="str">
        <f>CONCATENATE(Z29," ",AC29)</f>
        <v>13-Servicios para la planeación y sistemas de gestión y comunicación estratégica 019_Documentos de planeación</v>
      </c>
      <c r="AE29" s="155" t="str">
        <f>CONCATENATE(U29,V29,W29,X29,AA29)</f>
        <v>O23011745992024020713019</v>
      </c>
      <c r="AF29" s="155" t="str">
        <f>IFERROR(VLOOKUP(AD29,TD!$J$66:$K$89,2,0)," ")</f>
        <v>PM/0131/0113/45990190207</v>
      </c>
      <c r="AG29" s="193" t="s">
        <v>385</v>
      </c>
      <c r="AH29" s="184" t="s">
        <v>193</v>
      </c>
      <c r="AI29" s="194" t="str">
        <f>CONCATENATE(PAA[[#This Row],[Id Interno]],"-",PAA[[#This Row],[tipo de Contrato (TH talento humano - B/S bienes y/o servicios)]],"-",S29,"-",T29,"-",PAA[[#This Row],[Objeto de la contratación]])</f>
        <v>20260569-TH-8126-1-Prestación de servicios profesionales en la Dirección para el acompañamiento en las labores de gestión administrativa, en asuntos propios de comunicaciones y prensa de la UAECOB</v>
      </c>
    </row>
    <row r="30" spans="2:35" s="145" customFormat="1" ht="84" x14ac:dyDescent="0.35">
      <c r="B30" s="185">
        <v>20260584</v>
      </c>
      <c r="C30" s="186" t="s">
        <v>880</v>
      </c>
      <c r="D30" s="185" t="s">
        <v>105</v>
      </c>
      <c r="E30" s="185" t="s">
        <v>363</v>
      </c>
      <c r="F30" s="185" t="s">
        <v>145</v>
      </c>
      <c r="G30" s="195" t="s">
        <v>373</v>
      </c>
      <c r="H30" s="196">
        <v>7</v>
      </c>
      <c r="I30" s="196">
        <v>0</v>
      </c>
      <c r="J30" s="190">
        <v>21700000</v>
      </c>
      <c r="K30" s="191" t="s">
        <v>398</v>
      </c>
      <c r="L30" s="187" t="s">
        <v>158</v>
      </c>
      <c r="M30" s="184" t="s">
        <v>421</v>
      </c>
      <c r="N30" s="185" t="s">
        <v>198</v>
      </c>
      <c r="O30" s="154" t="s">
        <v>964</v>
      </c>
      <c r="P30" s="184" t="s">
        <v>348</v>
      </c>
      <c r="Q30" s="192">
        <v>80111600</v>
      </c>
      <c r="R30" s="184" t="s">
        <v>211</v>
      </c>
      <c r="S30" s="159" t="str">
        <f>MID(PAA[[#This Row],[Meta Proyecto de Inversión]],1,4)</f>
        <v>8173</v>
      </c>
      <c r="T30" s="159" t="str">
        <f>MID(PAA[[#This Row],[Meta Proyecto de Inversión]],6,1)</f>
        <v>2</v>
      </c>
      <c r="U30" s="155" t="str">
        <f>IFERROR(VLOOKUP(N30,TD!$B$50:$F$54,2,0)," ")</f>
        <v>O230117</v>
      </c>
      <c r="V30" s="155" t="str">
        <f>IFERROR(VLOOKUP(N30,TD!$B$50:$F$54,3,0)," ")</f>
        <v>4503</v>
      </c>
      <c r="W30" s="155">
        <f>IFERROR(VLOOKUP(N30,TD!$B$50:$F$54,4,0)," ")</f>
        <v>20240255</v>
      </c>
      <c r="X30" s="184" t="s">
        <v>164</v>
      </c>
      <c r="Y30" s="155" t="str">
        <f>IFERROR(VLOOKUP(X30,TD!$J$51:$K$64,2,0)," ")</f>
        <v>Servicio de atención a incidentes y emergencias.</v>
      </c>
      <c r="Z30" s="161" t="str">
        <f>CONCATENATE(X30,"-",Y30)</f>
        <v>04-Servicio de atención a incidentes y emergencias.</v>
      </c>
      <c r="AA30" s="184" t="s">
        <v>221</v>
      </c>
      <c r="AB30" s="155" t="str">
        <f>IFERROR(VLOOKUP(AA30,TD!$N$51:$O$66,2,0)," ")</f>
        <v>Servicio de atención a emergencias y desastres</v>
      </c>
      <c r="AC30" s="161" t="str">
        <f>CONCATENATE(AA30,"_",AB30)</f>
        <v>004_Servicio de atención a emergencias y desastres</v>
      </c>
      <c r="AD30" s="161" t="str">
        <f>CONCATENATE(Z30," ",AC30)</f>
        <v>04-Servicio de atención a incidentes y emergencias. 004_Servicio de atención a emergencias y desastres</v>
      </c>
      <c r="AE30" s="155" t="str">
        <f>CONCATENATE(U30,V30,W30,X30,AA30)</f>
        <v>O23011745032024025504004</v>
      </c>
      <c r="AF30" s="155" t="str">
        <f>IFERROR(VLOOKUP(AD30,TD!$J$66:$K$89,2,0)," ")</f>
        <v>PM/0131/0104/45030040255</v>
      </c>
      <c r="AG30" s="193" t="s">
        <v>385</v>
      </c>
      <c r="AH30" s="184" t="s">
        <v>193</v>
      </c>
      <c r="AI30" s="247" t="str">
        <f>CONCATENATE(PAA[[#This Row],[Id Interno]],"-",PAA[[#This Row],[tipo de Contrato (TH talento humano - B/S bienes y/o servicios)]],"-",S30,"-",T30,"-",PAA[[#This Row],[Objeto de la contratación]])</f>
        <v>20260584-TH-8173-2-Prestación de servicios de apoyo al proceso de comunicaciones en emergencias del centro de coordinación y comunicaciones (c.c.c.), para el desarrollo de los programas a cargo de la Subdirección Operativa-S.O.</v>
      </c>
    </row>
    <row r="31" spans="2:35" s="145" customFormat="1" ht="84" x14ac:dyDescent="0.35">
      <c r="B31" s="185">
        <v>20260625</v>
      </c>
      <c r="C31" s="186" t="s">
        <v>998</v>
      </c>
      <c r="D31" s="185" t="s">
        <v>105</v>
      </c>
      <c r="E31" s="185" t="s">
        <v>363</v>
      </c>
      <c r="F31" s="185" t="s">
        <v>144</v>
      </c>
      <c r="G31" s="195" t="s">
        <v>373</v>
      </c>
      <c r="H31" s="196">
        <v>7</v>
      </c>
      <c r="I31" s="196">
        <v>0</v>
      </c>
      <c r="J31" s="190">
        <v>54600000</v>
      </c>
      <c r="K31" s="191" t="s">
        <v>398</v>
      </c>
      <c r="L31" s="187" t="s">
        <v>154</v>
      </c>
      <c r="M31" s="184" t="s">
        <v>460</v>
      </c>
      <c r="N31" s="185" t="s">
        <v>198</v>
      </c>
      <c r="O31" s="184" t="s">
        <v>964</v>
      </c>
      <c r="P31" s="184" t="s">
        <v>348</v>
      </c>
      <c r="Q31" s="192">
        <v>80111600</v>
      </c>
      <c r="R31" s="184" t="s">
        <v>218</v>
      </c>
      <c r="S31" s="184" t="str">
        <f>MID(PAA[[#This Row],[Meta Proyecto de Inversión]],1,4)</f>
        <v>8173</v>
      </c>
      <c r="T31" s="184" t="str">
        <f>MID(PAA[[#This Row],[Meta Proyecto de Inversión]],6,1)</f>
        <v>9</v>
      </c>
      <c r="U31" s="155" t="str">
        <f>IFERROR(VLOOKUP(N31,TD!$B$50:$F$54,2,0)," ")</f>
        <v>O230117</v>
      </c>
      <c r="V31" s="155" t="str">
        <f>IFERROR(VLOOKUP(N31,TD!$B$50:$F$54,3,0)," ")</f>
        <v>4503</v>
      </c>
      <c r="W31" s="155">
        <f>IFERROR(VLOOKUP(N31,TD!$B$50:$F$54,4,0)," ")</f>
        <v>20240255</v>
      </c>
      <c r="X31" s="184" t="s">
        <v>172</v>
      </c>
      <c r="Y31" s="155" t="str">
        <f>IFERROR(VLOOKUP(X31,TD!$J$51:$K$64,2,0)," ")</f>
        <v>Servicio de formación en gestión del riesgo de incendios para el personal UAECOB</v>
      </c>
      <c r="Z31" s="244" t="str">
        <f>CONCATENATE(X31,"-",Y31)</f>
        <v>07-Servicio de formación en gestión del riesgo de incendios para el personal UAECOB</v>
      </c>
      <c r="AA31" s="184" t="s">
        <v>222</v>
      </c>
      <c r="AB31" s="155" t="str">
        <f>IFERROR(VLOOKUP(AA31,TD!$N$51:$O$66,2,0)," ")</f>
        <v>Servicio de educación informal</v>
      </c>
      <c r="AC31" s="244" t="str">
        <f>CONCATENATE(AA31,"_",AB31)</f>
        <v>002_Servicio de educación informal</v>
      </c>
      <c r="AD31" s="244" t="str">
        <f>CONCATENATE(Z31," ",AC31)</f>
        <v>07-Servicio de formación en gestión del riesgo de incendios para el personal UAECOB 002_Servicio de educación informal</v>
      </c>
      <c r="AE31" s="155" t="str">
        <f>CONCATENATE(U31,V31,W31,X31,AA31)</f>
        <v>O23011745032024025507002</v>
      </c>
      <c r="AF31" s="155" t="str">
        <f>IFERROR(VLOOKUP(AD31,TD!$J$66:$K$89,2,0)," ")</f>
        <v>PM/0131/0107/45030020255</v>
      </c>
      <c r="AG31" s="193" t="s">
        <v>385</v>
      </c>
      <c r="AH31" s="184" t="s">
        <v>193</v>
      </c>
      <c r="AI31" s="247" t="str">
        <f>CONCATENATE(PAA[[#This Row],[Id Interno]],"-",PAA[[#This Row],[tipo de Contrato (TH talento humano - B/S bienes y/o servicios)]],"-",S31,"-",T31,"-",PAA[[#This Row],[Objeto de la contratación]])</f>
        <v xml:space="preserve">20260625-TH-8173-9-SGH - Prestar servicios profesionales jurídicos a la Subdirección de Gestión Humana, para la estructuración y formalización de instrumentos de cooperación interinstitucional con entidades nacionales y extranjeras del sector de atención de emergencias, destinados al desarrollo de procesos de capacitación y fortalecimiento institucional. </v>
      </c>
    </row>
    <row r="32" spans="2:35" s="145" customFormat="1" ht="70" x14ac:dyDescent="0.35">
      <c r="B32" s="185">
        <v>20260626</v>
      </c>
      <c r="C32" s="186" t="s">
        <v>999</v>
      </c>
      <c r="D32" s="185" t="s">
        <v>105</v>
      </c>
      <c r="E32" s="185" t="s">
        <v>363</v>
      </c>
      <c r="F32" s="185" t="s">
        <v>145</v>
      </c>
      <c r="G32" s="195" t="s">
        <v>373</v>
      </c>
      <c r="H32" s="196">
        <v>7</v>
      </c>
      <c r="I32" s="196">
        <v>0</v>
      </c>
      <c r="J32" s="190">
        <v>25830000</v>
      </c>
      <c r="K32" s="191" t="s">
        <v>398</v>
      </c>
      <c r="L32" s="187" t="s">
        <v>154</v>
      </c>
      <c r="M32" s="184" t="s">
        <v>460</v>
      </c>
      <c r="N32" s="185" t="s">
        <v>198</v>
      </c>
      <c r="O32" s="184" t="s">
        <v>964</v>
      </c>
      <c r="P32" s="184" t="s">
        <v>348</v>
      </c>
      <c r="Q32" s="192">
        <v>80111600</v>
      </c>
      <c r="R32" s="184" t="s">
        <v>218</v>
      </c>
      <c r="S32" s="184" t="str">
        <f>MID(PAA[[#This Row],[Meta Proyecto de Inversión]],1,4)</f>
        <v>8173</v>
      </c>
      <c r="T32" s="184" t="str">
        <f>MID(PAA[[#This Row],[Meta Proyecto de Inversión]],6,1)</f>
        <v>9</v>
      </c>
      <c r="U32" s="155" t="str">
        <f>IFERROR(VLOOKUP(N32,TD!$B$50:$F$54,2,0)," ")</f>
        <v>O230117</v>
      </c>
      <c r="V32" s="155" t="str">
        <f>IFERROR(VLOOKUP(N32,TD!$B$50:$F$54,3,0)," ")</f>
        <v>4503</v>
      </c>
      <c r="W32" s="155">
        <f>IFERROR(VLOOKUP(N32,TD!$B$50:$F$54,4,0)," ")</f>
        <v>20240255</v>
      </c>
      <c r="X32" s="184" t="s">
        <v>172</v>
      </c>
      <c r="Y32" s="155" t="str">
        <f>IFERROR(VLOOKUP(X32,TD!$J$51:$K$64,2,0)," ")</f>
        <v>Servicio de formación en gestión del riesgo de incendios para el personal UAECOB</v>
      </c>
      <c r="Z32" s="244" t="str">
        <f>CONCATENATE(X32,"-",Y32)</f>
        <v>07-Servicio de formación en gestión del riesgo de incendios para el personal UAECOB</v>
      </c>
      <c r="AA32" s="184" t="s">
        <v>222</v>
      </c>
      <c r="AB32" s="155" t="str">
        <f>IFERROR(VLOOKUP(AA32,TD!$N$51:$O$66,2,0)," ")</f>
        <v>Servicio de educación informal</v>
      </c>
      <c r="AC32" s="244" t="str">
        <f>CONCATENATE(AA32,"_",AB32)</f>
        <v>002_Servicio de educación informal</v>
      </c>
      <c r="AD32" s="244" t="str">
        <f>CONCATENATE(Z32," ",AC32)</f>
        <v>07-Servicio de formación en gestión del riesgo de incendios para el personal UAECOB 002_Servicio de educación informal</v>
      </c>
      <c r="AE32" s="155" t="str">
        <f>CONCATENATE(U32,V32,W32,X32,AA32)</f>
        <v>O23011745032024025507002</v>
      </c>
      <c r="AF32" s="155" t="str">
        <f>IFERROR(VLOOKUP(AD32,TD!$J$66:$K$89,2,0)," ")</f>
        <v>PM/0131/0107/45030020255</v>
      </c>
      <c r="AG32" s="193" t="s">
        <v>385</v>
      </c>
      <c r="AH32" s="184" t="s">
        <v>193</v>
      </c>
      <c r="AI32" s="247" t="str">
        <f>CONCATENATE(PAA[[#This Row],[Id Interno]],"-",PAA[[#This Row],[tipo de Contrato (TH talento humano - B/S bienes y/o servicios)]],"-",S32,"-",T32,"-",PAA[[#This Row],[Objeto de la contratación]])</f>
        <v>20260626-TH-8173-9-SGH - Prestar servicios de apoyo a la gestión a la Escuela de Formación Bomberil – Academia, en el seguimiento, organización y sistematización de la ejecución de los procesos formativos, la consolidación y actualización de la información en las bases de datos institucionales, así como el apoyo a la gestión documental asociada a dichos procesos, de conformidad con los procedimientos y lineamientos establecidos por la entidad.</v>
      </c>
    </row>
    <row r="33" spans="2:35" s="145" customFormat="1" ht="56" x14ac:dyDescent="0.35">
      <c r="B33" s="185">
        <v>20260634</v>
      </c>
      <c r="C33" s="186" t="s">
        <v>1009</v>
      </c>
      <c r="D33" s="185" t="s">
        <v>105</v>
      </c>
      <c r="E33" s="185" t="s">
        <v>363</v>
      </c>
      <c r="F33" s="185" t="s">
        <v>145</v>
      </c>
      <c r="G33" s="195" t="s">
        <v>373</v>
      </c>
      <c r="H33" s="196">
        <v>5</v>
      </c>
      <c r="I33" s="196">
        <v>0</v>
      </c>
      <c r="J33" s="190">
        <v>16400000</v>
      </c>
      <c r="K33" s="191" t="s">
        <v>398</v>
      </c>
      <c r="L33" s="187" t="s">
        <v>157</v>
      </c>
      <c r="M33" s="184" t="s">
        <v>512</v>
      </c>
      <c r="N33" s="185" t="s">
        <v>198</v>
      </c>
      <c r="O33" s="184" t="s">
        <v>964</v>
      </c>
      <c r="P33" s="184" t="s">
        <v>348</v>
      </c>
      <c r="Q33" s="192">
        <v>80111600</v>
      </c>
      <c r="R33" s="184" t="s">
        <v>213</v>
      </c>
      <c r="S33" s="180" t="str">
        <f>MID(PAA[[#This Row],[Meta Proyecto de Inversión]],1,4)</f>
        <v>8173</v>
      </c>
      <c r="T33" s="180" t="str">
        <f>MID(PAA[[#This Row],[Meta Proyecto de Inversión]],6,1)</f>
        <v>4</v>
      </c>
      <c r="U33" s="155" t="str">
        <f>IFERROR(VLOOKUP(N33,TD!$B$50:$F$54,2,0)," ")</f>
        <v>O230117</v>
      </c>
      <c r="V33" s="155" t="str">
        <f>IFERROR(VLOOKUP(N33,TD!$B$50:$F$54,3,0)," ")</f>
        <v>4503</v>
      </c>
      <c r="W33" s="155">
        <f>IFERROR(VLOOKUP(N33,TD!$B$50:$F$54,4,0)," ")</f>
        <v>20240255</v>
      </c>
      <c r="X33" s="184" t="s">
        <v>176</v>
      </c>
      <c r="Y33" s="155" t="str">
        <f>IFERROR(VLOOKUP(X33,TD!$J$51:$K$64,2,0)," ")</f>
        <v>Servicio de mantenimiento, dotación (HEA´s y equipo menor) y adquisición de vehiculos   especializados para la atención de emergencias.</v>
      </c>
      <c r="Z33" s="181" t="str">
        <f>CONCATENATE(X33,"-",Y33)</f>
        <v>09-Servicio de mantenimiento, dotación (HEA´s y equipo menor) y adquisición de vehiculos   especializados para la atención de emergencias.</v>
      </c>
      <c r="AA33" s="184" t="s">
        <v>221</v>
      </c>
      <c r="AB33" s="155" t="str">
        <f>IFERROR(VLOOKUP(AA33,TD!$N$51:$O$66,2,0)," ")</f>
        <v>Servicio de atención a emergencias y desastres</v>
      </c>
      <c r="AC33" s="181" t="str">
        <f>CONCATENATE(AA33,"_",AB33)</f>
        <v>004_Servicio de atención a emergencias y desastres</v>
      </c>
      <c r="AD33" s="181" t="str">
        <f>CONCATENATE(Z33," ",AC33)</f>
        <v>09-Servicio de mantenimiento, dotación (HEA´s y equipo menor) y adquisición de vehiculos   especializados para la atención de emergencias. 004_Servicio de atención a emergencias y desastres</v>
      </c>
      <c r="AE33" s="155" t="str">
        <f>CONCATENATE(U33,V33,W33,X33,AA33)</f>
        <v>O23011745032024025509004</v>
      </c>
      <c r="AF33" s="155" t="str">
        <f>IFERROR(VLOOKUP(AD33,TD!$J$66:$K$89,2,0)," ")</f>
        <v>PM/0131/0109/45030040255</v>
      </c>
      <c r="AG33" s="193" t="s">
        <v>385</v>
      </c>
      <c r="AH33" s="184" t="s">
        <v>193</v>
      </c>
      <c r="AI33" s="247" t="str">
        <f>CONCATENATE(PAA[[#This Row],[Id Interno]],"-",PAA[[#This Row],[tipo de Contrato (TH talento humano - B/S bienes y/o servicios)]],"-",S33,"-",T33,"-",PAA[[#This Row],[Objeto de la contratación]])</f>
        <v>20260634-TH-8173-4-Prestar servicio de apoyo a la gestión administrativa y operativa de los mantenimientos requeridos a los equipos menores y/o parque automotor de la Subdirección Logística - SBLG</v>
      </c>
    </row>
    <row r="34" spans="2:35" s="145" customFormat="1" ht="84" x14ac:dyDescent="0.35">
      <c r="B34" s="185">
        <v>20260635</v>
      </c>
      <c r="C34" s="186" t="s">
        <v>1014</v>
      </c>
      <c r="D34" s="185" t="s">
        <v>78</v>
      </c>
      <c r="E34" s="185" t="s">
        <v>402</v>
      </c>
      <c r="F34" s="185" t="s">
        <v>89</v>
      </c>
      <c r="G34" s="195" t="s">
        <v>377</v>
      </c>
      <c r="H34" s="196">
        <v>0</v>
      </c>
      <c r="I34" s="196">
        <v>0</v>
      </c>
      <c r="J34" s="190">
        <v>288000000</v>
      </c>
      <c r="K34" s="191" t="s">
        <v>398</v>
      </c>
      <c r="L34" s="187" t="s">
        <v>155</v>
      </c>
      <c r="M34" s="184" t="s">
        <v>422</v>
      </c>
      <c r="N34" s="185" t="s">
        <v>197</v>
      </c>
      <c r="O34" s="184" t="s">
        <v>963</v>
      </c>
      <c r="P34" s="184" t="s">
        <v>348</v>
      </c>
      <c r="Q34" s="192" t="s">
        <v>780</v>
      </c>
      <c r="R34" s="184" t="s">
        <v>207</v>
      </c>
      <c r="S34" s="182" t="str">
        <f>MID(PAA[[#This Row],[Meta Proyecto de Inversión]],1,4)</f>
        <v>8126</v>
      </c>
      <c r="T34" s="182" t="str">
        <f>MID(PAA[[#This Row],[Meta Proyecto de Inversión]],6,1)</f>
        <v>8</v>
      </c>
      <c r="U34" s="155" t="str">
        <f>IFERROR(VLOOKUP(N34,TD!$B$50:$F$54,2,0)," ")</f>
        <v>O230117</v>
      </c>
      <c r="V34" s="155" t="str">
        <f>IFERROR(VLOOKUP(N34,TD!$B$50:$F$54,3,0)," ")</f>
        <v>4599</v>
      </c>
      <c r="W34" s="155">
        <f>IFERROR(VLOOKUP(N34,TD!$B$50:$F$54,4,0)," ")</f>
        <v>20240207</v>
      </c>
      <c r="X34" s="184" t="s">
        <v>174</v>
      </c>
      <c r="Y34" s="155" t="str">
        <f>IFERROR(VLOOKUP(X34,TD!$J$51:$K$64,2,0)," ")</f>
        <v>Infraestructura física, mantenimiento y dotación (Sedes construidas, mantenidas reforzadas)</v>
      </c>
      <c r="Z34" s="183" t="str">
        <f>CONCATENATE(X34,"-",Y34)</f>
        <v>08-Infraestructura física, mantenimiento y dotación (Sedes construidas, mantenidas reforzadas)</v>
      </c>
      <c r="AA34" s="184" t="s">
        <v>227</v>
      </c>
      <c r="AB34" s="155" t="str">
        <f>IFERROR(VLOOKUP(AA34,TD!$N$51:$O$66,2,0)," ")</f>
        <v>Sedes mantenidas</v>
      </c>
      <c r="AC34" s="183" t="str">
        <f>CONCATENATE(AA34,"_",AB34)</f>
        <v>016_Sedes mantenidas</v>
      </c>
      <c r="AD34" s="183" t="str">
        <f>CONCATENATE(Z34," ",AC34)</f>
        <v>08-Infraestructura física, mantenimiento y dotación (Sedes construidas, mantenidas reforzadas) 016_Sedes mantenidas</v>
      </c>
      <c r="AE34" s="155" t="str">
        <f>CONCATENATE(U34,V34,W34,X34,AA34)</f>
        <v>O23011745992024020708016</v>
      </c>
      <c r="AF34" s="155" t="str">
        <f>IFERROR(VLOOKUP(AD34,TD!$J$66:$K$89,2,0)," ")</f>
        <v>PM/0131/0108/45990160207</v>
      </c>
      <c r="AG34" s="193" t="s">
        <v>132</v>
      </c>
      <c r="AH34" s="184" t="s">
        <v>194</v>
      </c>
      <c r="AI34" s="247" t="str">
        <f>CONCATENATE(PAA[[#This Row],[Id Interno]],"-",PAA[[#This Row],[tipo de Contrato (TH talento humano - B/S bienes y/o servicios)]],"-",S34,"-",T34,"-",PAA[[#This Row],[Objeto de la contratación]])</f>
        <v>20260635-BS-8126-8-Adición No. 1 al contrato 629 de 2025 que tiene como objeto “Prestar el servicio de vigilancia y seguridad privada en la modalidad de vigilancia fija, según especificaciones técnicas, en las instalaciones donde la UAE Especial Cuerpo Oficial de Bomberos requiera-SGC</v>
      </c>
    </row>
    <row r="35" spans="2:35" s="145" customFormat="1" ht="56" x14ac:dyDescent="0.35">
      <c r="B35" s="185">
        <v>20260636</v>
      </c>
      <c r="C35" s="186" t="s">
        <v>1007</v>
      </c>
      <c r="D35" s="185" t="s">
        <v>105</v>
      </c>
      <c r="E35" s="185" t="s">
        <v>363</v>
      </c>
      <c r="F35" s="185" t="s">
        <v>144</v>
      </c>
      <c r="G35" s="195" t="s">
        <v>1012</v>
      </c>
      <c r="H35" s="196">
        <v>0</v>
      </c>
      <c r="I35" s="196">
        <v>0</v>
      </c>
      <c r="J35" s="190">
        <v>95000000</v>
      </c>
      <c r="K35" s="191" t="s">
        <v>398</v>
      </c>
      <c r="L35" s="187" t="s">
        <v>151</v>
      </c>
      <c r="M35" s="184" t="s">
        <v>401</v>
      </c>
      <c r="N35" s="185" t="s">
        <v>197</v>
      </c>
      <c r="O35" s="184" t="s">
        <v>963</v>
      </c>
      <c r="P35" s="184" t="s">
        <v>348</v>
      </c>
      <c r="Q35" s="192">
        <v>80111600</v>
      </c>
      <c r="R35" s="184" t="s">
        <v>204</v>
      </c>
      <c r="S35" s="206" t="str">
        <f>MID(PAA[[#This Row],[Meta Proyecto de Inversión]],1,4)</f>
        <v>8126</v>
      </c>
      <c r="T35" s="206" t="str">
        <f>MID(PAA[[#This Row],[Meta Proyecto de Inversión]],6,1)</f>
        <v>5</v>
      </c>
      <c r="U35" s="155" t="str">
        <f>IFERROR(VLOOKUP(N35,TD!$B$50:$F$54,2,0)," ")</f>
        <v>O230117</v>
      </c>
      <c r="V35" s="155" t="str">
        <f>IFERROR(VLOOKUP(N35,TD!$B$50:$F$54,3,0)," ")</f>
        <v>4599</v>
      </c>
      <c r="W35" s="155">
        <f>IFERROR(VLOOKUP(N35,TD!$B$50:$F$54,4,0)," ")</f>
        <v>20240207</v>
      </c>
      <c r="X35" s="184" t="s">
        <v>168</v>
      </c>
      <c r="Y35" s="155" t="str">
        <f>IFERROR(VLOOKUP(X35,TD!$J$51:$K$64,2,0)," ")</f>
        <v>Infraestructura Tecnológica   (Sistemas de Información y Tecnologia)</v>
      </c>
      <c r="Z35" s="243" t="str">
        <f>CONCATENATE(X35,"-",Y35)</f>
        <v>11-Infraestructura Tecnológica   (Sistemas de Información y Tecnologia)</v>
      </c>
      <c r="AA35" s="184" t="s">
        <v>228</v>
      </c>
      <c r="AB35" s="155" t="str">
        <f>IFERROR(VLOOKUP(AA35,TD!$N$51:$O$66,2,0)," ")</f>
        <v>Servicios tecnológicos</v>
      </c>
      <c r="AC35" s="243" t="str">
        <f>CONCATENATE(AA35,"_",AB35)</f>
        <v>007_Servicios tecnológicos</v>
      </c>
      <c r="AD35" s="243" t="str">
        <f>CONCATENATE(Z35," ",AC35)</f>
        <v>11-Infraestructura Tecnológica   (Sistemas de Información y Tecnologia) 007_Servicios tecnológicos</v>
      </c>
      <c r="AE35" s="155" t="str">
        <f>CONCATENATE(U35,V35,W35,X35,AA35)</f>
        <v>O23011745992024020711007</v>
      </c>
      <c r="AF35" s="155" t="str">
        <f>IFERROR(VLOOKUP(AD35,TD!$J$66:$K$89,2,0)," ")</f>
        <v>PM/0131/0111/45990070207</v>
      </c>
      <c r="AG35" s="193" t="s">
        <v>385</v>
      </c>
      <c r="AH35" s="184" t="s">
        <v>194</v>
      </c>
      <c r="AI35" s="245" t="str">
        <f>CONCATENATE(PAA[[#This Row],[Id Interno]],"-",PAA[[#This Row],[tipo de Contrato (TH talento humano - B/S bienes y/o servicios)]],"-",S35,"-",T35,"-",PAA[[#This Row],[Objeto de la contratación]])</f>
        <v>20260636-TH-8126-5-Congelamiento recursos 5% proyecto 8126</v>
      </c>
    </row>
    <row r="36" spans="2:35" s="145" customFormat="1" ht="84" x14ac:dyDescent="0.35">
      <c r="B36" s="185">
        <v>20260637</v>
      </c>
      <c r="C36" s="186" t="s">
        <v>1007</v>
      </c>
      <c r="D36" s="185" t="s">
        <v>114</v>
      </c>
      <c r="E36" s="185" t="s">
        <v>402</v>
      </c>
      <c r="F36" s="185" t="s">
        <v>89</v>
      </c>
      <c r="G36" s="195" t="s">
        <v>1012</v>
      </c>
      <c r="H36" s="196">
        <v>0</v>
      </c>
      <c r="I36" s="196">
        <v>0</v>
      </c>
      <c r="J36" s="190">
        <v>65650000</v>
      </c>
      <c r="K36" s="191" t="s">
        <v>398</v>
      </c>
      <c r="L36" s="187" t="s">
        <v>151</v>
      </c>
      <c r="M36" s="184" t="s">
        <v>401</v>
      </c>
      <c r="N36" s="185" t="s">
        <v>197</v>
      </c>
      <c r="O36" s="184" t="s">
        <v>963</v>
      </c>
      <c r="P36" s="184" t="s">
        <v>348</v>
      </c>
      <c r="Q36" s="192" t="s">
        <v>446</v>
      </c>
      <c r="R36" s="184" t="s">
        <v>203</v>
      </c>
      <c r="S36" s="206" t="str">
        <f>MID(PAA[[#This Row],[Meta Proyecto de Inversión]],1,4)</f>
        <v>8126</v>
      </c>
      <c r="T36" s="206" t="str">
        <f>MID(PAA[[#This Row],[Meta Proyecto de Inversión]],6,1)</f>
        <v>4</v>
      </c>
      <c r="U36" s="155" t="str">
        <f>IFERROR(VLOOKUP(N36,TD!$B$50:$F$54,2,0)," ")</f>
        <v>O230117</v>
      </c>
      <c r="V36" s="155" t="str">
        <f>IFERROR(VLOOKUP(N36,TD!$B$50:$F$54,3,0)," ")</f>
        <v>4599</v>
      </c>
      <c r="W36" s="155">
        <f>IFERROR(VLOOKUP(N36,TD!$B$50:$F$54,4,0)," ")</f>
        <v>20240207</v>
      </c>
      <c r="X36" s="184" t="s">
        <v>168</v>
      </c>
      <c r="Y36" s="155" t="str">
        <f>IFERROR(VLOOKUP(X36,TD!$J$51:$K$64,2,0)," ")</f>
        <v>Infraestructura Tecnológica   (Sistemas de Información y Tecnologia)</v>
      </c>
      <c r="Z36" s="243" t="str">
        <f>CONCATENATE(X36,"-",Y36)</f>
        <v>11-Infraestructura Tecnológica   (Sistemas de Información y Tecnologia)</v>
      </c>
      <c r="AA36" s="184" t="s">
        <v>228</v>
      </c>
      <c r="AB36" s="155" t="str">
        <f>IFERROR(VLOOKUP(AA36,TD!$N$51:$O$66,2,0)," ")</f>
        <v>Servicios tecnológicos</v>
      </c>
      <c r="AC36" s="243" t="str">
        <f>CONCATENATE(AA36,"_",AB36)</f>
        <v>007_Servicios tecnológicos</v>
      </c>
      <c r="AD36" s="243" t="str">
        <f>CONCATENATE(Z36," ",AC36)</f>
        <v>11-Infraestructura Tecnológica   (Sistemas de Información y Tecnologia) 007_Servicios tecnológicos</v>
      </c>
      <c r="AE36" s="155" t="str">
        <f>CONCATENATE(U36,V36,W36,X36,AA36)</f>
        <v>O23011745992024020711007</v>
      </c>
      <c r="AF36" s="155" t="str">
        <f>IFERROR(VLOOKUP(AD36,TD!$J$66:$K$89,2,0)," ")</f>
        <v>PM/0131/0111/45990070207</v>
      </c>
      <c r="AG36" s="193" t="s">
        <v>116</v>
      </c>
      <c r="AH36" s="184" t="s">
        <v>194</v>
      </c>
      <c r="AI36" s="245" t="str">
        <f>CONCATENATE(PAA[[#This Row],[Id Interno]],"-",PAA[[#This Row],[tipo de Contrato (TH talento humano - B/S bienes y/o servicios)]],"-",S36,"-",T36,"-",PAA[[#This Row],[Objeto de la contratación]])</f>
        <v>20260637-BS-8126-4-Congelamiento recursos 5% proyecto 8126</v>
      </c>
    </row>
    <row r="37" spans="2:35" s="145" customFormat="1" ht="84" x14ac:dyDescent="0.35">
      <c r="B37" s="185">
        <v>20260638</v>
      </c>
      <c r="C37" s="186" t="s">
        <v>1007</v>
      </c>
      <c r="D37" s="185" t="s">
        <v>105</v>
      </c>
      <c r="E37" s="185" t="s">
        <v>363</v>
      </c>
      <c r="F37" s="185" t="s">
        <v>144</v>
      </c>
      <c r="G37" s="195" t="s">
        <v>1012</v>
      </c>
      <c r="H37" s="196">
        <v>0</v>
      </c>
      <c r="I37" s="196">
        <v>0</v>
      </c>
      <c r="J37" s="190">
        <f>335350000+51177500</f>
        <v>386527500</v>
      </c>
      <c r="K37" s="191" t="s">
        <v>398</v>
      </c>
      <c r="L37" s="187" t="s">
        <v>155</v>
      </c>
      <c r="M37" s="184" t="s">
        <v>401</v>
      </c>
      <c r="N37" s="185" t="s">
        <v>197</v>
      </c>
      <c r="O37" s="184" t="s">
        <v>963</v>
      </c>
      <c r="P37" s="184" t="s">
        <v>348</v>
      </c>
      <c r="Q37" s="192" t="s">
        <v>783</v>
      </c>
      <c r="R37" s="184" t="s">
        <v>208</v>
      </c>
      <c r="S37" s="206" t="str">
        <f>MID(PAA[[#This Row],[Meta Proyecto de Inversión]],1,4)</f>
        <v>8126</v>
      </c>
      <c r="T37" s="206" t="str">
        <f>MID(PAA[[#This Row],[Meta Proyecto de Inversión]],6,1)</f>
        <v>9</v>
      </c>
      <c r="U37" s="155" t="str">
        <f>IFERROR(VLOOKUP(N37,TD!$B$50:$F$54,2,0)," ")</f>
        <v>O230117</v>
      </c>
      <c r="V37" s="155" t="str">
        <f>IFERROR(VLOOKUP(N37,TD!$B$50:$F$54,3,0)," ")</f>
        <v>4599</v>
      </c>
      <c r="W37" s="155">
        <f>IFERROR(VLOOKUP(N37,TD!$B$50:$F$54,4,0)," ")</f>
        <v>20240207</v>
      </c>
      <c r="X37" s="184" t="s">
        <v>174</v>
      </c>
      <c r="Y37" s="155" t="str">
        <f>IFERROR(VLOOKUP(X37,TD!$J$51:$K$64,2,0)," ")</f>
        <v>Infraestructura física, mantenimiento y dotación (Sedes construidas, mantenidas reforzadas)</v>
      </c>
      <c r="Z37" s="243" t="str">
        <f>CONCATENATE(X37,"-",Y37)</f>
        <v>08-Infraestructura física, mantenimiento y dotación (Sedes construidas, mantenidas reforzadas)</v>
      </c>
      <c r="AA37" s="184" t="s">
        <v>227</v>
      </c>
      <c r="AB37" s="155" t="str">
        <f>IFERROR(VLOOKUP(AA37,TD!$N$51:$O$66,2,0)," ")</f>
        <v>Sedes mantenidas</v>
      </c>
      <c r="AC37" s="243" t="str">
        <f>CONCATENATE(AA37,"_",AB37)</f>
        <v>016_Sedes mantenidas</v>
      </c>
      <c r="AD37" s="243" t="str">
        <f>CONCATENATE(Z37," ",AC37)</f>
        <v>08-Infraestructura física, mantenimiento y dotación (Sedes construidas, mantenidas reforzadas) 016_Sedes mantenidas</v>
      </c>
      <c r="AE37" s="155" t="str">
        <f>CONCATENATE(U37,V37,W37,X37,AA37)</f>
        <v>O23011745992024020708016</v>
      </c>
      <c r="AF37" s="155" t="str">
        <f>IFERROR(VLOOKUP(AD37,TD!$J$66:$K$89,2,0)," ")</f>
        <v>PM/0131/0108/45990160207</v>
      </c>
      <c r="AG37" s="193" t="s">
        <v>385</v>
      </c>
      <c r="AH37" s="184" t="s">
        <v>194</v>
      </c>
      <c r="AI37" s="245" t="str">
        <f>CONCATENATE(PAA[[#This Row],[Id Interno]],"-",PAA[[#This Row],[tipo de Contrato (TH talento humano - B/S bienes y/o servicios)]],"-",S37,"-",T37,"-",PAA[[#This Row],[Objeto de la contratación]])</f>
        <v>20260638-TH-8126-9-Congelamiento recursos 5% proyecto 8126</v>
      </c>
    </row>
    <row r="38" spans="2:35" s="145" customFormat="1" ht="70" x14ac:dyDescent="0.35">
      <c r="B38" s="185">
        <v>20260639</v>
      </c>
      <c r="C38" s="186" t="s">
        <v>1008</v>
      </c>
      <c r="D38" s="185" t="s">
        <v>78</v>
      </c>
      <c r="E38" s="185" t="s">
        <v>402</v>
      </c>
      <c r="F38" s="185" t="s">
        <v>97</v>
      </c>
      <c r="G38" s="195" t="s">
        <v>1012</v>
      </c>
      <c r="H38" s="196">
        <v>0</v>
      </c>
      <c r="I38" s="196">
        <v>0</v>
      </c>
      <c r="J38" s="190">
        <v>3760200</v>
      </c>
      <c r="K38" s="191" t="s">
        <v>398</v>
      </c>
      <c r="L38" s="187" t="s">
        <v>155</v>
      </c>
      <c r="M38" s="184" t="s">
        <v>401</v>
      </c>
      <c r="N38" s="185" t="s">
        <v>198</v>
      </c>
      <c r="O38" s="184" t="s">
        <v>964</v>
      </c>
      <c r="P38" s="184" t="s">
        <v>348</v>
      </c>
      <c r="Q38" s="192" t="s">
        <v>781</v>
      </c>
      <c r="R38" s="184" t="s">
        <v>216</v>
      </c>
      <c r="S38" s="206" t="str">
        <f>MID(PAA[[#This Row],[Meta Proyecto de Inversión]],1,4)</f>
        <v>8173</v>
      </c>
      <c r="T38" s="206" t="str">
        <f>MID(PAA[[#This Row],[Meta Proyecto de Inversión]],6,1)</f>
        <v>7</v>
      </c>
      <c r="U38" s="155" t="str">
        <f>IFERROR(VLOOKUP(N38,TD!$B$50:$F$54,2,0)," ")</f>
        <v>O230117</v>
      </c>
      <c r="V38" s="155" t="str">
        <f>IFERROR(VLOOKUP(N38,TD!$B$50:$F$54,3,0)," ")</f>
        <v>4503</v>
      </c>
      <c r="W38" s="155">
        <f>IFERROR(VLOOKUP(N38,TD!$B$50:$F$54,4,0)," ")</f>
        <v>20240255</v>
      </c>
      <c r="X38" s="184" t="s">
        <v>174</v>
      </c>
      <c r="Y38" s="155" t="str">
        <f>IFERROR(VLOOKUP(X38,TD!$J$51:$K$64,2,0)," ")</f>
        <v>Infraestructura física, mantenimiento y dotación (Sedes construidas, mantenidas reforzadas)</v>
      </c>
      <c r="Z38" s="243" t="str">
        <f>CONCATENATE(X38,"-",Y38)</f>
        <v>08-Infraestructura física, mantenimiento y dotación (Sedes construidas, mantenidas reforzadas)</v>
      </c>
      <c r="AA38" s="184" t="s">
        <v>282</v>
      </c>
      <c r="AB38" s="155" t="str">
        <f>IFERROR(VLOOKUP(AA38,TD!$N$51:$O$66,2,0)," ")</f>
        <v>Documentos de lineamientos técnicos</v>
      </c>
      <c r="AC38" s="243" t="str">
        <f>CONCATENATE(AA38,"_",AB38)</f>
        <v>031__Documentos de lineamientos técnicos</v>
      </c>
      <c r="AD38" s="243" t="str">
        <f>CONCATENATE(Z38," ",AC38)</f>
        <v>08-Infraestructura física, mantenimiento y dotación (Sedes construidas, mantenidas reforzadas) 031__Documentos de lineamientos técnicos</v>
      </c>
      <c r="AE38" s="155" t="str">
        <f>CONCATENATE(U38,V38,W38,X38,AA38)</f>
        <v>O23011745032024025508031_</v>
      </c>
      <c r="AF38" s="155" t="str">
        <f>IFERROR(VLOOKUP(AD38,TD!$J$66:$K$89,2,0)," ")</f>
        <v>PM/0131/0108/45030310255</v>
      </c>
      <c r="AG38" s="193" t="s">
        <v>385</v>
      </c>
      <c r="AH38" s="184" t="s">
        <v>194</v>
      </c>
      <c r="AI38" s="245" t="str">
        <f>CONCATENATE(PAA[[#This Row],[Id Interno]],"-",PAA[[#This Row],[tipo de Contrato (TH talento humano - B/S bienes y/o servicios)]],"-",S38,"-",T38,"-",PAA[[#This Row],[Objeto de la contratación]])</f>
        <v>20260639-BS-8173-7-Congelamiento recursos 5% proyecto 8173</v>
      </c>
    </row>
    <row r="39" spans="2:35" s="145" customFormat="1" ht="84" x14ac:dyDescent="0.35">
      <c r="B39" s="185">
        <v>20260640</v>
      </c>
      <c r="C39" s="186" t="s">
        <v>1007</v>
      </c>
      <c r="D39" s="185" t="s">
        <v>105</v>
      </c>
      <c r="E39" s="185" t="s">
        <v>363</v>
      </c>
      <c r="F39" s="185" t="s">
        <v>144</v>
      </c>
      <c r="G39" s="195" t="s">
        <v>1012</v>
      </c>
      <c r="H39" s="196">
        <v>0</v>
      </c>
      <c r="I39" s="196">
        <v>0</v>
      </c>
      <c r="J39" s="190">
        <v>20296300</v>
      </c>
      <c r="K39" s="191" t="s">
        <v>398</v>
      </c>
      <c r="L39" s="187" t="s">
        <v>36</v>
      </c>
      <c r="M39" s="184" t="s">
        <v>401</v>
      </c>
      <c r="N39" s="185" t="s">
        <v>197</v>
      </c>
      <c r="O39" s="184" t="s">
        <v>963</v>
      </c>
      <c r="P39" s="184" t="s">
        <v>348</v>
      </c>
      <c r="Q39" s="192">
        <v>80111600</v>
      </c>
      <c r="R39" s="184" t="s">
        <v>201</v>
      </c>
      <c r="S39" s="206" t="str">
        <f>MID(PAA[[#This Row],[Meta Proyecto de Inversión]],1,4)</f>
        <v>8126</v>
      </c>
      <c r="T39" s="206" t="str">
        <f>MID(PAA[[#This Row],[Meta Proyecto de Inversión]],6,1)</f>
        <v>2</v>
      </c>
      <c r="U39" s="155" t="str">
        <f>IFERROR(VLOOKUP(N39,TD!$B$50:$F$54,2,0)," ")</f>
        <v>O230117</v>
      </c>
      <c r="V39" s="155" t="str">
        <f>IFERROR(VLOOKUP(N39,TD!$B$50:$F$54,3,0)," ")</f>
        <v>4599</v>
      </c>
      <c r="W39" s="155">
        <f>IFERROR(VLOOKUP(N39,TD!$B$50:$F$54,4,0)," ")</f>
        <v>20240207</v>
      </c>
      <c r="X39" s="184" t="s">
        <v>182</v>
      </c>
      <c r="Y39" s="155" t="str">
        <f>IFERROR(VLOOKUP(X39,TD!$J$51:$K$64,2,0)," ")</f>
        <v>Servicios para la planeación y sistemas de gestión y comunicación estratégica</v>
      </c>
      <c r="Z39" s="243" t="str">
        <f>CONCATENATE(X39,"-",Y39)</f>
        <v>13-Servicios para la planeación y sistemas de gestión y comunicación estratégica</v>
      </c>
      <c r="AA39" s="184" t="s">
        <v>230</v>
      </c>
      <c r="AB39" s="155" t="str">
        <f>IFERROR(VLOOKUP(AA39,TD!$N$51:$O$66,2,0)," ")</f>
        <v>Servicio de Implementación Sistemas de Gestión</v>
      </c>
      <c r="AC39" s="243" t="str">
        <f>CONCATENATE(AA39,"_",AB39)</f>
        <v>023_Servicio de Implementación Sistemas de Gestión</v>
      </c>
      <c r="AD39" s="243" t="str">
        <f>CONCATENATE(Z39," ",AC39)</f>
        <v>13-Servicios para la planeación y sistemas de gestión y comunicación estratégica 023_Servicio de Implementación Sistemas de Gestión</v>
      </c>
      <c r="AE39" s="155" t="str">
        <f>CONCATENATE(U39,V39,W39,X39,AA39)</f>
        <v>O23011745992024020713023</v>
      </c>
      <c r="AF39" s="155" t="str">
        <f>IFERROR(VLOOKUP(AD39,TD!$J$66:$K$89,2,0)," ")</f>
        <v>PM/0131/0113/45990230207</v>
      </c>
      <c r="AG39" s="193" t="s">
        <v>385</v>
      </c>
      <c r="AH39" s="184" t="s">
        <v>194</v>
      </c>
      <c r="AI39" s="247" t="str">
        <f>CONCATENATE(PAA[[#This Row],[Id Interno]],"-",PAA[[#This Row],[tipo de Contrato (TH talento humano - B/S bienes y/o servicios)]],"-",S39,"-",T39,"-",PAA[[#This Row],[Objeto de la contratación]])</f>
        <v>20260640-TH-8126-2-Congelamiento recursos 5% proyecto 8126</v>
      </c>
    </row>
    <row r="40" spans="2:35" s="145" customFormat="1" ht="84" x14ac:dyDescent="0.35">
      <c r="B40" s="185">
        <v>20260641</v>
      </c>
      <c r="C40" s="186" t="s">
        <v>1007</v>
      </c>
      <c r="D40" s="185" t="s">
        <v>105</v>
      </c>
      <c r="E40" s="185" t="s">
        <v>363</v>
      </c>
      <c r="F40" s="185" t="s">
        <v>144</v>
      </c>
      <c r="G40" s="195" t="s">
        <v>1012</v>
      </c>
      <c r="H40" s="196">
        <v>0</v>
      </c>
      <c r="I40" s="196">
        <v>0</v>
      </c>
      <c r="J40" s="190">
        <v>55442250</v>
      </c>
      <c r="K40" s="191" t="s">
        <v>398</v>
      </c>
      <c r="L40" s="187" t="s">
        <v>36</v>
      </c>
      <c r="M40" s="184" t="s">
        <v>401</v>
      </c>
      <c r="N40" s="185" t="s">
        <v>197</v>
      </c>
      <c r="O40" s="184" t="s">
        <v>963</v>
      </c>
      <c r="P40" s="184" t="s">
        <v>348</v>
      </c>
      <c r="Q40" s="192">
        <v>80111600</v>
      </c>
      <c r="R40" s="184" t="s">
        <v>200</v>
      </c>
      <c r="S40" s="206" t="str">
        <f>MID(PAA[[#This Row],[Meta Proyecto de Inversión]],1,4)</f>
        <v>8126</v>
      </c>
      <c r="T40" s="206" t="str">
        <f>MID(PAA[[#This Row],[Meta Proyecto de Inversión]],6,1)</f>
        <v>1</v>
      </c>
      <c r="U40" s="155" t="str">
        <f>IFERROR(VLOOKUP(N40,TD!$B$50:$F$54,2,0)," ")</f>
        <v>O230117</v>
      </c>
      <c r="V40" s="155" t="str">
        <f>IFERROR(VLOOKUP(N40,TD!$B$50:$F$54,3,0)," ")</f>
        <v>4599</v>
      </c>
      <c r="W40" s="155">
        <f>IFERROR(VLOOKUP(N40,TD!$B$50:$F$54,4,0)," ")</f>
        <v>20240207</v>
      </c>
      <c r="X40" s="184" t="s">
        <v>182</v>
      </c>
      <c r="Y40" s="155" t="str">
        <f>IFERROR(VLOOKUP(X40,TD!$J$51:$K$64,2,0)," ")</f>
        <v>Servicios para la planeación y sistemas de gestión y comunicación estratégica</v>
      </c>
      <c r="Z40" s="243" t="str">
        <f>CONCATENATE(X40,"-",Y40)</f>
        <v>13-Servicios para la planeación y sistemas de gestión y comunicación estratégica</v>
      </c>
      <c r="AA40" s="184" t="s">
        <v>229</v>
      </c>
      <c r="AB40" s="155" t="str">
        <f>IFERROR(VLOOKUP(AA40,TD!$N$51:$O$66,2,0)," ")</f>
        <v>Servicio de asistencia técnica</v>
      </c>
      <c r="AC40" s="243" t="str">
        <f>CONCATENATE(AA40,"_",AB40)</f>
        <v>031_Servicio de asistencia técnica</v>
      </c>
      <c r="AD40" s="243" t="str">
        <f>CONCATENATE(Z40," ",AC40)</f>
        <v>13-Servicios para la planeación y sistemas de gestión y comunicación estratégica 031_Servicio de asistencia técnica</v>
      </c>
      <c r="AE40" s="155" t="str">
        <f>CONCATENATE(U40,V40,W40,X40,AA40)</f>
        <v>O23011745992024020713031</v>
      </c>
      <c r="AF40" s="155" t="str">
        <f>IFERROR(VLOOKUP(AD40,TD!$J$66:$K$89,2,0)," ")</f>
        <v>PM/0131/0113/45990310207</v>
      </c>
      <c r="AG40" s="193" t="s">
        <v>385</v>
      </c>
      <c r="AH40" s="184" t="s">
        <v>194</v>
      </c>
      <c r="AI40" s="247" t="str">
        <f>CONCATENATE(PAA[[#This Row],[Id Interno]],"-",PAA[[#This Row],[tipo de Contrato (TH talento humano - B/S bienes y/o servicios)]],"-",S40,"-",T40,"-",PAA[[#This Row],[Objeto de la contratación]])</f>
        <v>20260641-TH-8126-1-Congelamiento recursos 5% proyecto 8126</v>
      </c>
    </row>
    <row r="41" spans="2:35" s="145" customFormat="1" ht="70" x14ac:dyDescent="0.35">
      <c r="B41" s="185">
        <v>20260642</v>
      </c>
      <c r="C41" s="186" t="s">
        <v>1007</v>
      </c>
      <c r="D41" s="185" t="s">
        <v>83</v>
      </c>
      <c r="E41" s="185" t="s">
        <v>402</v>
      </c>
      <c r="F41" s="185" t="s">
        <v>89</v>
      </c>
      <c r="G41" s="195" t="s">
        <v>1012</v>
      </c>
      <c r="H41" s="196">
        <v>0</v>
      </c>
      <c r="I41" s="196">
        <v>0</v>
      </c>
      <c r="J41" s="190">
        <v>0</v>
      </c>
      <c r="K41" s="191" t="s">
        <v>398</v>
      </c>
      <c r="L41" s="187" t="s">
        <v>151</v>
      </c>
      <c r="M41" s="184" t="s">
        <v>401</v>
      </c>
      <c r="N41" s="185" t="s">
        <v>197</v>
      </c>
      <c r="O41" s="184" t="s">
        <v>963</v>
      </c>
      <c r="P41" s="184" t="s">
        <v>348</v>
      </c>
      <c r="Q41" s="192" t="s">
        <v>447</v>
      </c>
      <c r="R41" s="184" t="s">
        <v>204</v>
      </c>
      <c r="S41" s="206" t="str">
        <f>MID(PAA[[#This Row],[Meta Proyecto de Inversión]],1,4)</f>
        <v>8126</v>
      </c>
      <c r="T41" s="206" t="str">
        <f>MID(PAA[[#This Row],[Meta Proyecto de Inversión]],6,1)</f>
        <v>5</v>
      </c>
      <c r="U41" s="155" t="str">
        <f>IFERROR(VLOOKUP(N41,TD!$B$50:$F$54,2,0)," ")</f>
        <v>O230117</v>
      </c>
      <c r="V41" s="155" t="str">
        <f>IFERROR(VLOOKUP(N41,TD!$B$50:$F$54,3,0)," ")</f>
        <v>4599</v>
      </c>
      <c r="W41" s="155">
        <f>IFERROR(VLOOKUP(N41,TD!$B$50:$F$54,4,0)," ")</f>
        <v>20240207</v>
      </c>
      <c r="X41" s="184" t="s">
        <v>168</v>
      </c>
      <c r="Y41" s="155" t="str">
        <f>IFERROR(VLOOKUP(X41,TD!$J$51:$K$64,2,0)," ")</f>
        <v>Infraestructura Tecnológica   (Sistemas de Información y Tecnologia)</v>
      </c>
      <c r="Z41" s="243" t="str">
        <f>CONCATENATE(X41,"-",Y41)</f>
        <v>11-Infraestructura Tecnológica   (Sistemas de Información y Tecnologia)</v>
      </c>
      <c r="AA41" s="184" t="s">
        <v>228</v>
      </c>
      <c r="AB41" s="155" t="str">
        <f>IFERROR(VLOOKUP(AA41,TD!$N$51:$O$66,2,0)," ")</f>
        <v>Servicios tecnológicos</v>
      </c>
      <c r="AC41" s="243" t="str">
        <f>CONCATENATE(AA41,"_",AB41)</f>
        <v>007_Servicios tecnológicos</v>
      </c>
      <c r="AD41" s="243" t="str">
        <f>CONCATENATE(Z41," ",AC41)</f>
        <v>11-Infraestructura Tecnológica   (Sistemas de Información y Tecnologia) 007_Servicios tecnológicos</v>
      </c>
      <c r="AE41" s="155" t="str">
        <f>CONCATENATE(U41,V41,W41,X41,AA41)</f>
        <v>O23011745992024020711007</v>
      </c>
      <c r="AF41" s="155" t="str">
        <f>IFERROR(VLOOKUP(AD41,TD!$J$66:$K$89,2,0)," ")</f>
        <v>PM/0131/0111/45990070207</v>
      </c>
      <c r="AG41" s="193" t="s">
        <v>121</v>
      </c>
      <c r="AH41" s="184" t="s">
        <v>194</v>
      </c>
      <c r="AI41" s="245" t="str">
        <f>CONCATENATE(PAA[[#This Row],[Id Interno]],"-",PAA[[#This Row],[tipo de Contrato (TH talento humano - B/S bienes y/o servicios)]],"-",S41,"-",T41,"-",PAA[[#This Row],[Objeto de la contratación]])</f>
        <v>20260642-BS-8126-5-Congelamiento recursos 5% proyecto 8126</v>
      </c>
    </row>
    <row r="42" spans="2:35" s="145" customFormat="1" ht="84" x14ac:dyDescent="0.35">
      <c r="B42" s="185">
        <v>20260643</v>
      </c>
      <c r="C42" s="186" t="s">
        <v>1007</v>
      </c>
      <c r="D42" s="185" t="s">
        <v>105</v>
      </c>
      <c r="E42" s="185" t="s">
        <v>363</v>
      </c>
      <c r="F42" s="185" t="s">
        <v>144</v>
      </c>
      <c r="G42" s="195" t="s">
        <v>1012</v>
      </c>
      <c r="H42" s="196">
        <v>0</v>
      </c>
      <c r="I42" s="196">
        <v>0</v>
      </c>
      <c r="J42" s="190">
        <v>0</v>
      </c>
      <c r="K42" s="191" t="s">
        <v>398</v>
      </c>
      <c r="L42" s="187" t="s">
        <v>150</v>
      </c>
      <c r="M42" s="184" t="s">
        <v>401</v>
      </c>
      <c r="N42" s="185" t="s">
        <v>197</v>
      </c>
      <c r="O42" s="184" t="s">
        <v>963</v>
      </c>
      <c r="P42" s="184" t="s">
        <v>348</v>
      </c>
      <c r="Q42" s="192">
        <v>80111600</v>
      </c>
      <c r="R42" s="184" t="s">
        <v>209</v>
      </c>
      <c r="S42" s="206" t="str">
        <f>MID(PAA[[#This Row],[Meta Proyecto de Inversión]],1,4)</f>
        <v>8126</v>
      </c>
      <c r="T42" s="206" t="str">
        <f>MID(PAA[[#This Row],[Meta Proyecto de Inversión]],6,1)</f>
        <v>1</v>
      </c>
      <c r="U42" s="155" t="str">
        <f>IFERROR(VLOOKUP(N42,TD!$B$50:$F$54,2,0)," ")</f>
        <v>O230117</v>
      </c>
      <c r="V42" s="155" t="str">
        <f>IFERROR(VLOOKUP(N42,TD!$B$50:$F$54,3,0)," ")</f>
        <v>4599</v>
      </c>
      <c r="W42" s="155">
        <f>IFERROR(VLOOKUP(N42,TD!$B$50:$F$54,4,0)," ")</f>
        <v>20240207</v>
      </c>
      <c r="X42" s="184" t="s">
        <v>182</v>
      </c>
      <c r="Y42" s="155" t="str">
        <f>IFERROR(VLOOKUP(X42,TD!$J$51:$K$64,2,0)," ")</f>
        <v>Servicios para la planeación y sistemas de gestión y comunicación estratégica</v>
      </c>
      <c r="Z42" s="243" t="str">
        <f>CONCATENATE(X42,"-",Y42)</f>
        <v>13-Servicios para la planeación y sistemas de gestión y comunicación estratégica</v>
      </c>
      <c r="AA42" s="184" t="s">
        <v>231</v>
      </c>
      <c r="AB42" s="155" t="str">
        <f>IFERROR(VLOOKUP(AA42,TD!$N$51:$O$66,2,0)," ")</f>
        <v>Documentos de planeación</v>
      </c>
      <c r="AC42" s="243" t="str">
        <f>CONCATENATE(AA42,"_",AB42)</f>
        <v>019_Documentos de planeación</v>
      </c>
      <c r="AD42" s="243" t="str">
        <f>CONCATENATE(Z42," ",AC42)</f>
        <v>13-Servicios para la planeación y sistemas de gestión y comunicación estratégica 019_Documentos de planeación</v>
      </c>
      <c r="AE42" s="155" t="str">
        <f>CONCATENATE(U42,V42,W42,X42,AA42)</f>
        <v>O23011745992024020713019</v>
      </c>
      <c r="AF42" s="155" t="str">
        <f>IFERROR(VLOOKUP(AD42,TD!$J$66:$K$89,2,0)," ")</f>
        <v>PM/0131/0113/45990190207</v>
      </c>
      <c r="AG42" s="193" t="s">
        <v>385</v>
      </c>
      <c r="AH42" s="184" t="s">
        <v>194</v>
      </c>
      <c r="AI42" s="245" t="str">
        <f>CONCATENATE(PAA[[#This Row],[Id Interno]],"-",PAA[[#This Row],[tipo de Contrato (TH talento humano - B/S bienes y/o servicios)]],"-",S42,"-",T42,"-",PAA[[#This Row],[Objeto de la contratación]])</f>
        <v>20260643-TH-8126-1-Congelamiento recursos 5% proyecto 8126</v>
      </c>
    </row>
    <row r="43" spans="2:35" s="145" customFormat="1" ht="42" x14ac:dyDescent="0.35">
      <c r="B43" s="185">
        <v>20260644</v>
      </c>
      <c r="C43" s="186" t="s">
        <v>1007</v>
      </c>
      <c r="D43" s="185" t="s">
        <v>105</v>
      </c>
      <c r="E43" s="185" t="s">
        <v>363</v>
      </c>
      <c r="F43" s="185" t="s">
        <v>144</v>
      </c>
      <c r="G43" s="195" t="s">
        <v>1012</v>
      </c>
      <c r="H43" s="196">
        <v>0</v>
      </c>
      <c r="I43" s="196">
        <v>0</v>
      </c>
      <c r="J43" s="200">
        <v>64171317</v>
      </c>
      <c r="K43" s="191" t="s">
        <v>398</v>
      </c>
      <c r="L43" s="187" t="s">
        <v>45</v>
      </c>
      <c r="M43" s="184" t="s">
        <v>401</v>
      </c>
      <c r="N43" s="185" t="s">
        <v>197</v>
      </c>
      <c r="O43" s="184" t="s">
        <v>963</v>
      </c>
      <c r="P43" s="184" t="s">
        <v>348</v>
      </c>
      <c r="Q43" s="192" t="s">
        <v>783</v>
      </c>
      <c r="R43" s="184" t="s">
        <v>208</v>
      </c>
      <c r="S43" s="206" t="str">
        <f>MID(PAA[[#This Row],[Meta Proyecto de Inversión]],1,4)</f>
        <v>8126</v>
      </c>
      <c r="T43" s="206" t="str">
        <f>MID(PAA[[#This Row],[Meta Proyecto de Inversión]],6,1)</f>
        <v>9</v>
      </c>
      <c r="U43" s="155" t="str">
        <f>IFERROR(VLOOKUP(N43,TD!$B$50:$F$54,2,0)," ")</f>
        <v>O230117</v>
      </c>
      <c r="V43" s="155" t="str">
        <f>IFERROR(VLOOKUP(N43,TD!$B$50:$F$54,3,0)," ")</f>
        <v>4599</v>
      </c>
      <c r="W43" s="155">
        <f>IFERROR(VLOOKUP(N43,TD!$B$50:$F$54,4,0)," ")</f>
        <v>20240207</v>
      </c>
      <c r="X43" s="184" t="s">
        <v>174</v>
      </c>
      <c r="Y43" s="155" t="str">
        <f>IFERROR(VLOOKUP(X43,TD!$J$51:$K$64,2,0)," ")</f>
        <v>Infraestructura física, mantenimiento y dotación (Sedes construidas, mantenidas reforzadas)</v>
      </c>
      <c r="Z43" s="243" t="str">
        <f>CONCATENATE(X43,"-",Y43)</f>
        <v>08-Infraestructura física, mantenimiento y dotación (Sedes construidas, mantenidas reforzadas)</v>
      </c>
      <c r="AA43" s="184" t="s">
        <v>227</v>
      </c>
      <c r="AB43" s="155" t="str">
        <f>IFERROR(VLOOKUP(AA43,TD!$N$51:$O$66,2,0)," ")</f>
        <v>Sedes mantenidas</v>
      </c>
      <c r="AC43" s="243" t="str">
        <f>CONCATENATE(AA43,"_",AB43)</f>
        <v>016_Sedes mantenidas</v>
      </c>
      <c r="AD43" s="243" t="str">
        <f>CONCATENATE(Z43," ",AC43)</f>
        <v>08-Infraestructura física, mantenimiento y dotación (Sedes construidas, mantenidas reforzadas) 016_Sedes mantenidas</v>
      </c>
      <c r="AE43" s="155" t="str">
        <f>CONCATENATE(U43,V43,W43,X43,AA43)</f>
        <v>O23011745992024020708016</v>
      </c>
      <c r="AF43" s="155" t="str">
        <f>IFERROR(VLOOKUP(AD43,TD!$J$66:$K$89,2,0)," ")</f>
        <v>PM/0131/0108/45990160207</v>
      </c>
      <c r="AG43" s="193" t="s">
        <v>385</v>
      </c>
      <c r="AH43" s="184" t="s">
        <v>194</v>
      </c>
      <c r="AI43" s="245" t="str">
        <f>CONCATENATE(PAA[[#This Row],[Id Interno]],"-",PAA[[#This Row],[tipo de Contrato (TH talento humano - B/S bienes y/o servicios)]],"-",S43,"-",T43,"-",PAA[[#This Row],[Objeto de la contratación]])</f>
        <v>20260644-TH-8126-9-Congelamiento recursos 5% proyecto 8126</v>
      </c>
    </row>
    <row r="44" spans="2:35" s="145" customFormat="1" ht="70" x14ac:dyDescent="0.35">
      <c r="B44" s="185">
        <v>20260645</v>
      </c>
      <c r="C44" s="186" t="s">
        <v>1007</v>
      </c>
      <c r="D44" s="185" t="s">
        <v>105</v>
      </c>
      <c r="E44" s="185" t="s">
        <v>363</v>
      </c>
      <c r="F44" s="185" t="s">
        <v>144</v>
      </c>
      <c r="G44" s="195" t="s">
        <v>1012</v>
      </c>
      <c r="H44" s="196">
        <v>0</v>
      </c>
      <c r="I44" s="196">
        <v>0</v>
      </c>
      <c r="J44" s="200">
        <v>24231997</v>
      </c>
      <c r="K44" s="191" t="s">
        <v>398</v>
      </c>
      <c r="L44" s="187" t="s">
        <v>46</v>
      </c>
      <c r="M44" s="184" t="s">
        <v>401</v>
      </c>
      <c r="N44" s="185" t="s">
        <v>197</v>
      </c>
      <c r="O44" s="184" t="s">
        <v>963</v>
      </c>
      <c r="P44" s="184" t="s">
        <v>348</v>
      </c>
      <c r="Q44" s="192" t="s">
        <v>783</v>
      </c>
      <c r="R44" s="184" t="s">
        <v>208</v>
      </c>
      <c r="S44" s="206" t="str">
        <f>MID(PAA[[#This Row],[Meta Proyecto de Inversión]],1,4)</f>
        <v>8126</v>
      </c>
      <c r="T44" s="206" t="str">
        <f>MID(PAA[[#This Row],[Meta Proyecto de Inversión]],6,1)</f>
        <v>9</v>
      </c>
      <c r="U44" s="155" t="str">
        <f>IFERROR(VLOOKUP(N44,TD!$B$50:$F$54,2,0)," ")</f>
        <v>O230117</v>
      </c>
      <c r="V44" s="155" t="str">
        <f>IFERROR(VLOOKUP(N44,TD!$B$50:$F$54,3,0)," ")</f>
        <v>4599</v>
      </c>
      <c r="W44" s="155">
        <f>IFERROR(VLOOKUP(N44,TD!$B$50:$F$54,4,0)," ")</f>
        <v>20240207</v>
      </c>
      <c r="X44" s="184" t="s">
        <v>174</v>
      </c>
      <c r="Y44" s="155" t="str">
        <f>IFERROR(VLOOKUP(X44,TD!$J$51:$K$64,2,0)," ")</f>
        <v>Infraestructura física, mantenimiento y dotación (Sedes construidas, mantenidas reforzadas)</v>
      </c>
      <c r="Z44" s="243" t="str">
        <f>CONCATENATE(X44,"-",Y44)</f>
        <v>08-Infraestructura física, mantenimiento y dotación (Sedes construidas, mantenidas reforzadas)</v>
      </c>
      <c r="AA44" s="184" t="s">
        <v>227</v>
      </c>
      <c r="AB44" s="155" t="str">
        <f>IFERROR(VLOOKUP(AA44,TD!$N$51:$O$66,2,0)," ")</f>
        <v>Sedes mantenidas</v>
      </c>
      <c r="AC44" s="243" t="str">
        <f>CONCATENATE(AA44,"_",AB44)</f>
        <v>016_Sedes mantenidas</v>
      </c>
      <c r="AD44" s="243" t="str">
        <f>CONCATENATE(Z44," ",AC44)</f>
        <v>08-Infraestructura física, mantenimiento y dotación (Sedes construidas, mantenidas reforzadas) 016_Sedes mantenidas</v>
      </c>
      <c r="AE44" s="155" t="str">
        <f>CONCATENATE(U44,V44,W44,X44,AA44)</f>
        <v>O23011745992024020708016</v>
      </c>
      <c r="AF44" s="155" t="str">
        <f>IFERROR(VLOOKUP(AD44,TD!$J$66:$K$89,2,0)," ")</f>
        <v>PM/0131/0108/45990160207</v>
      </c>
      <c r="AG44" s="193" t="s">
        <v>385</v>
      </c>
      <c r="AH44" s="184" t="s">
        <v>194</v>
      </c>
      <c r="AI44" s="245" t="str">
        <f>CONCATENATE(PAA[[#This Row],[Id Interno]],"-",PAA[[#This Row],[tipo de Contrato (TH talento humano - B/S bienes y/o servicios)]],"-",S44,"-",T44,"-",PAA[[#This Row],[Objeto de la contratación]])</f>
        <v>20260645-TH-8126-9-Congelamiento recursos 5% proyecto 8126</v>
      </c>
    </row>
    <row r="45" spans="2:35" s="145" customFormat="1" ht="70" x14ac:dyDescent="0.35">
      <c r="B45" s="185">
        <v>20260646</v>
      </c>
      <c r="C45" s="186" t="s">
        <v>1007</v>
      </c>
      <c r="D45" s="185" t="s">
        <v>105</v>
      </c>
      <c r="E45" s="185" t="s">
        <v>363</v>
      </c>
      <c r="F45" s="185" t="s">
        <v>144</v>
      </c>
      <c r="G45" s="195" t="s">
        <v>1012</v>
      </c>
      <c r="H45" s="196">
        <v>0</v>
      </c>
      <c r="I45" s="196">
        <v>0</v>
      </c>
      <c r="J45" s="200">
        <v>24969186</v>
      </c>
      <c r="K45" s="191" t="s">
        <v>398</v>
      </c>
      <c r="L45" s="187" t="s">
        <v>152</v>
      </c>
      <c r="M45" s="184" t="s">
        <v>401</v>
      </c>
      <c r="N45" s="185" t="s">
        <v>197</v>
      </c>
      <c r="O45" s="184" t="s">
        <v>963</v>
      </c>
      <c r="P45" s="184" t="s">
        <v>348</v>
      </c>
      <c r="Q45" s="192" t="s">
        <v>783</v>
      </c>
      <c r="R45" s="184" t="s">
        <v>208</v>
      </c>
      <c r="S45" s="206" t="str">
        <f>MID(PAA[[#This Row],[Meta Proyecto de Inversión]],1,4)</f>
        <v>8126</v>
      </c>
      <c r="T45" s="206" t="str">
        <f>MID(PAA[[#This Row],[Meta Proyecto de Inversión]],6,1)</f>
        <v>9</v>
      </c>
      <c r="U45" s="155" t="str">
        <f>IFERROR(VLOOKUP(N45,TD!$B$50:$F$54,2,0)," ")</f>
        <v>O230117</v>
      </c>
      <c r="V45" s="155" t="str">
        <f>IFERROR(VLOOKUP(N45,TD!$B$50:$F$54,3,0)," ")</f>
        <v>4599</v>
      </c>
      <c r="W45" s="155">
        <f>IFERROR(VLOOKUP(N45,TD!$B$50:$F$54,4,0)," ")</f>
        <v>20240207</v>
      </c>
      <c r="X45" s="184" t="s">
        <v>174</v>
      </c>
      <c r="Y45" s="155" t="str">
        <f>IFERROR(VLOOKUP(X45,TD!$J$51:$K$64,2,0)," ")</f>
        <v>Infraestructura física, mantenimiento y dotación (Sedes construidas, mantenidas reforzadas)</v>
      </c>
      <c r="Z45" s="243" t="str">
        <f>CONCATENATE(X45,"-",Y45)</f>
        <v>08-Infraestructura física, mantenimiento y dotación (Sedes construidas, mantenidas reforzadas)</v>
      </c>
      <c r="AA45" s="184" t="s">
        <v>227</v>
      </c>
      <c r="AB45" s="155" t="str">
        <f>IFERROR(VLOOKUP(AA45,TD!$N$51:$O$66,2,0)," ")</f>
        <v>Sedes mantenidas</v>
      </c>
      <c r="AC45" s="243" t="str">
        <f>CONCATENATE(AA45,"_",AB45)</f>
        <v>016_Sedes mantenidas</v>
      </c>
      <c r="AD45" s="243" t="str">
        <f>CONCATENATE(Z45," ",AC45)</f>
        <v>08-Infraestructura física, mantenimiento y dotación (Sedes construidas, mantenidas reforzadas) 016_Sedes mantenidas</v>
      </c>
      <c r="AE45" s="155" t="str">
        <f>CONCATENATE(U45,V45,W45,X45,AA45)</f>
        <v>O23011745992024020708016</v>
      </c>
      <c r="AF45" s="155" t="str">
        <f>IFERROR(VLOOKUP(AD45,TD!$J$66:$K$89,2,0)," ")</f>
        <v>PM/0131/0108/45990160207</v>
      </c>
      <c r="AG45" s="193" t="s">
        <v>385</v>
      </c>
      <c r="AH45" s="184" t="s">
        <v>194</v>
      </c>
      <c r="AI45" s="245" t="str">
        <f>CONCATENATE(PAA[[#This Row],[Id Interno]],"-",PAA[[#This Row],[tipo de Contrato (TH talento humano - B/S bienes y/o servicios)]],"-",S45,"-",T45,"-",PAA[[#This Row],[Objeto de la contratación]])</f>
        <v>20260646-TH-8126-9-Congelamiento recursos 5% proyecto 8126</v>
      </c>
    </row>
    <row r="46" spans="2:35" ht="56" x14ac:dyDescent="0.35">
      <c r="B46" s="185">
        <v>20260647</v>
      </c>
      <c r="C46" s="186" t="s">
        <v>1007</v>
      </c>
      <c r="D46" s="185" t="s">
        <v>105</v>
      </c>
      <c r="E46" s="185" t="s">
        <v>363</v>
      </c>
      <c r="F46" s="185" t="s">
        <v>144</v>
      </c>
      <c r="G46" s="195" t="s">
        <v>1012</v>
      </c>
      <c r="H46" s="196">
        <v>0</v>
      </c>
      <c r="I46" s="196">
        <v>0</v>
      </c>
      <c r="J46" s="200">
        <v>0</v>
      </c>
      <c r="K46" s="191" t="s">
        <v>398</v>
      </c>
      <c r="L46" s="187" t="s">
        <v>153</v>
      </c>
      <c r="M46" s="184" t="s">
        <v>401</v>
      </c>
      <c r="N46" s="185" t="s">
        <v>197</v>
      </c>
      <c r="O46" s="184" t="s">
        <v>963</v>
      </c>
      <c r="P46" s="184" t="s">
        <v>348</v>
      </c>
      <c r="Q46" s="192" t="s">
        <v>783</v>
      </c>
      <c r="R46" s="184" t="s">
        <v>208</v>
      </c>
      <c r="S46" s="206" t="str">
        <f>MID(PAA[[#This Row],[Meta Proyecto de Inversión]],1,4)</f>
        <v>8126</v>
      </c>
      <c r="T46" s="206" t="str">
        <f>MID(PAA[[#This Row],[Meta Proyecto de Inversión]],6,1)</f>
        <v>9</v>
      </c>
      <c r="U46" s="155" t="str">
        <f>IFERROR(VLOOKUP(N46,TD!$B$50:$F$54,2,0)," ")</f>
        <v>O230117</v>
      </c>
      <c r="V46" s="155" t="str">
        <f>IFERROR(VLOOKUP(N46,TD!$B$50:$F$54,3,0)," ")</f>
        <v>4599</v>
      </c>
      <c r="W46" s="155">
        <f>IFERROR(VLOOKUP(N46,TD!$B$50:$F$54,4,0)," ")</f>
        <v>20240207</v>
      </c>
      <c r="X46" s="184" t="s">
        <v>174</v>
      </c>
      <c r="Y46" s="155" t="str">
        <f>IFERROR(VLOOKUP(X46,TD!$J$51:$K$64,2,0)," ")</f>
        <v>Infraestructura física, mantenimiento y dotación (Sedes construidas, mantenidas reforzadas)</v>
      </c>
      <c r="Z46" s="243" t="str">
        <f>CONCATENATE(X46,"-",Y46)</f>
        <v>08-Infraestructura física, mantenimiento y dotación (Sedes construidas, mantenidas reforzadas)</v>
      </c>
      <c r="AA46" s="184" t="s">
        <v>227</v>
      </c>
      <c r="AB46" s="155" t="str">
        <f>IFERROR(VLOOKUP(AA46,TD!$N$51:$O$66,2,0)," ")</f>
        <v>Sedes mantenidas</v>
      </c>
      <c r="AC46" s="243" t="str">
        <f>CONCATENATE(AA46,"_",AB46)</f>
        <v>016_Sedes mantenidas</v>
      </c>
      <c r="AD46" s="243" t="str">
        <f>CONCATENATE(Z46," ",AC46)</f>
        <v>08-Infraestructura física, mantenimiento y dotación (Sedes construidas, mantenidas reforzadas) 016_Sedes mantenidas</v>
      </c>
      <c r="AE46" s="155" t="str">
        <f>CONCATENATE(U46,V46,W46,X46,AA46)</f>
        <v>O23011745992024020708016</v>
      </c>
      <c r="AF46" s="155" t="str">
        <f>IFERROR(VLOOKUP(AD46,TD!$J$66:$K$89,2,0)," ")</f>
        <v>PM/0131/0108/45990160207</v>
      </c>
      <c r="AG46" s="193" t="s">
        <v>385</v>
      </c>
      <c r="AH46" s="184" t="s">
        <v>194</v>
      </c>
      <c r="AI46" s="245" t="str">
        <f>CONCATENATE(PAA[[#This Row],[Id Interno]],"-",PAA[[#This Row],[tipo de Contrato (TH talento humano - B/S bienes y/o servicios)]],"-",S46,"-",T46,"-",PAA[[#This Row],[Objeto de la contratación]])</f>
        <v>20260647-TH-8126-9-Congelamiento recursos 5% proyecto 8126</v>
      </c>
    </row>
    <row r="47" spans="2:35" ht="56" x14ac:dyDescent="0.35">
      <c r="B47" s="185">
        <v>20260648</v>
      </c>
      <c r="C47" s="186" t="s">
        <v>1007</v>
      </c>
      <c r="D47" s="185" t="s">
        <v>105</v>
      </c>
      <c r="E47" s="185" t="s">
        <v>363</v>
      </c>
      <c r="F47" s="185" t="s">
        <v>144</v>
      </c>
      <c r="G47" s="195" t="s">
        <v>1012</v>
      </c>
      <c r="H47" s="196">
        <v>0</v>
      </c>
      <c r="I47" s="196">
        <v>0</v>
      </c>
      <c r="J47" s="200"/>
      <c r="K47" s="191" t="s">
        <v>398</v>
      </c>
      <c r="L47" s="187" t="s">
        <v>154</v>
      </c>
      <c r="M47" s="184" t="s">
        <v>401</v>
      </c>
      <c r="N47" s="185" t="s">
        <v>197</v>
      </c>
      <c r="O47" s="184" t="s">
        <v>963</v>
      </c>
      <c r="P47" s="184" t="s">
        <v>348</v>
      </c>
      <c r="Q47" s="192" t="s">
        <v>783</v>
      </c>
      <c r="R47" s="184" t="s">
        <v>208</v>
      </c>
      <c r="S47" s="206" t="str">
        <f>MID(PAA[[#This Row],[Meta Proyecto de Inversión]],1,4)</f>
        <v>8126</v>
      </c>
      <c r="T47" s="206" t="str">
        <f>MID(PAA[[#This Row],[Meta Proyecto de Inversión]],6,1)</f>
        <v>9</v>
      </c>
      <c r="U47" s="155" t="str">
        <f>IFERROR(VLOOKUP(N47,TD!$B$50:$F$54,2,0)," ")</f>
        <v>O230117</v>
      </c>
      <c r="V47" s="155" t="str">
        <f>IFERROR(VLOOKUP(N47,TD!$B$50:$F$54,3,0)," ")</f>
        <v>4599</v>
      </c>
      <c r="W47" s="155">
        <f>IFERROR(VLOOKUP(N47,TD!$B$50:$F$54,4,0)," ")</f>
        <v>20240207</v>
      </c>
      <c r="X47" s="184" t="s">
        <v>174</v>
      </c>
      <c r="Y47" s="155" t="str">
        <f>IFERROR(VLOOKUP(X47,TD!$J$51:$K$64,2,0)," ")</f>
        <v>Infraestructura física, mantenimiento y dotación (Sedes construidas, mantenidas reforzadas)</v>
      </c>
      <c r="Z47" s="243" t="str">
        <f>CONCATENATE(X47,"-",Y47)</f>
        <v>08-Infraestructura física, mantenimiento y dotación (Sedes construidas, mantenidas reforzadas)</v>
      </c>
      <c r="AA47" s="184" t="s">
        <v>227</v>
      </c>
      <c r="AB47" s="155" t="str">
        <f>IFERROR(VLOOKUP(AA47,TD!$N$51:$O$66,2,0)," ")</f>
        <v>Sedes mantenidas</v>
      </c>
      <c r="AC47" s="243" t="str">
        <f>CONCATENATE(AA47,"_",AB47)</f>
        <v>016_Sedes mantenidas</v>
      </c>
      <c r="AD47" s="243" t="str">
        <f>CONCATENATE(Z47," ",AC47)</f>
        <v>08-Infraestructura física, mantenimiento y dotación (Sedes construidas, mantenidas reforzadas) 016_Sedes mantenidas</v>
      </c>
      <c r="AE47" s="155" t="str">
        <f>CONCATENATE(U47,V47,W47,X47,AA47)</f>
        <v>O23011745992024020708016</v>
      </c>
      <c r="AF47" s="155" t="str">
        <f>IFERROR(VLOOKUP(AD47,TD!$J$66:$K$89,2,0)," ")</f>
        <v>PM/0131/0108/45990160207</v>
      </c>
      <c r="AG47" s="193" t="s">
        <v>385</v>
      </c>
      <c r="AH47" s="184" t="s">
        <v>194</v>
      </c>
      <c r="AI47" s="245" t="str">
        <f>CONCATENATE(PAA[[#This Row],[Id Interno]],"-",PAA[[#This Row],[tipo de Contrato (TH talento humano - B/S bienes y/o servicios)]],"-",S47,"-",T47,"-",PAA[[#This Row],[Objeto de la contratación]])</f>
        <v>20260648-TH-8126-9-Congelamiento recursos 5% proyecto 8126</v>
      </c>
    </row>
    <row r="48" spans="2:35" ht="56" x14ac:dyDescent="0.35">
      <c r="B48" s="185">
        <v>20260649</v>
      </c>
      <c r="C48" s="186" t="s">
        <v>1007</v>
      </c>
      <c r="D48" s="185" t="s">
        <v>83</v>
      </c>
      <c r="E48" s="185" t="s">
        <v>402</v>
      </c>
      <c r="F48" s="185" t="s">
        <v>136</v>
      </c>
      <c r="G48" s="195" t="s">
        <v>1012</v>
      </c>
      <c r="H48" s="196">
        <v>0</v>
      </c>
      <c r="I48" s="196">
        <v>0</v>
      </c>
      <c r="J48" s="200">
        <v>0</v>
      </c>
      <c r="K48" s="191" t="s">
        <v>398</v>
      </c>
      <c r="L48" s="187" t="s">
        <v>155</v>
      </c>
      <c r="M48" s="184" t="s">
        <v>422</v>
      </c>
      <c r="N48" s="185" t="s">
        <v>197</v>
      </c>
      <c r="O48" s="184" t="s">
        <v>963</v>
      </c>
      <c r="P48" s="184" t="s">
        <v>348</v>
      </c>
      <c r="Q48" s="192" t="s">
        <v>975</v>
      </c>
      <c r="R48" s="184" t="s">
        <v>207</v>
      </c>
      <c r="S48" s="206" t="str">
        <f>MID(PAA[[#This Row],[Meta Proyecto de Inversión]],1,4)</f>
        <v>8126</v>
      </c>
      <c r="T48" s="206" t="str">
        <f>MID(PAA[[#This Row],[Meta Proyecto de Inversión]],6,1)</f>
        <v>8</v>
      </c>
      <c r="U48" s="155" t="str">
        <f>IFERROR(VLOOKUP(N48,TD!$B$50:$F$54,2,0)," ")</f>
        <v>O230117</v>
      </c>
      <c r="V48" s="155" t="str">
        <f>IFERROR(VLOOKUP(N48,TD!$B$50:$F$54,3,0)," ")</f>
        <v>4599</v>
      </c>
      <c r="W48" s="155">
        <f>IFERROR(VLOOKUP(N48,TD!$B$50:$F$54,4,0)," ")</f>
        <v>20240207</v>
      </c>
      <c r="X48" s="184" t="s">
        <v>174</v>
      </c>
      <c r="Y48" s="155" t="str">
        <f>IFERROR(VLOOKUP(X48,TD!$J$51:$K$64,2,0)," ")</f>
        <v>Infraestructura física, mantenimiento y dotación (Sedes construidas, mantenidas reforzadas)</v>
      </c>
      <c r="Z48" s="243" t="str">
        <f>CONCATENATE(X48,"-",Y48)</f>
        <v>08-Infraestructura física, mantenimiento y dotación (Sedes construidas, mantenidas reforzadas)</v>
      </c>
      <c r="AA48" s="184" t="s">
        <v>227</v>
      </c>
      <c r="AB48" s="155" t="str">
        <f>IFERROR(VLOOKUP(AA48,TD!$N$51:$O$66,2,0)," ")</f>
        <v>Sedes mantenidas</v>
      </c>
      <c r="AC48" s="243" t="str">
        <f>CONCATENATE(AA48,"_",AB48)</f>
        <v>016_Sedes mantenidas</v>
      </c>
      <c r="AD48" s="243" t="str">
        <f>CONCATENATE(Z48," ",AC48)</f>
        <v>08-Infraestructura física, mantenimiento y dotación (Sedes construidas, mantenidas reforzadas) 016_Sedes mantenidas</v>
      </c>
      <c r="AE48" s="155" t="str">
        <f>CONCATENATE(U48,V48,W48,X48,AA48)</f>
        <v>O23011745992024020708016</v>
      </c>
      <c r="AF48" s="155" t="str">
        <f>IFERROR(VLOOKUP(AD48,TD!$J$66:$K$89,2,0)," ")</f>
        <v>PM/0131/0108/45990160207</v>
      </c>
      <c r="AG48" s="193" t="s">
        <v>80</v>
      </c>
      <c r="AH48" s="184" t="s">
        <v>194</v>
      </c>
      <c r="AI48" s="245" t="str">
        <f>CONCATENATE(PAA[[#This Row],[Id Interno]],"-",PAA[[#This Row],[tipo de Contrato (TH talento humano - B/S bienes y/o servicios)]],"-",S48,"-",T48,"-",PAA[[#This Row],[Objeto de la contratación]])</f>
        <v>20260649-BS-8126-8-Congelamiento recursos 5% proyecto 8126</v>
      </c>
    </row>
    <row r="49" spans="2:35" ht="56" x14ac:dyDescent="0.35">
      <c r="B49" s="185">
        <v>20260650</v>
      </c>
      <c r="C49" s="186" t="s">
        <v>1007</v>
      </c>
      <c r="D49" s="185" t="s">
        <v>78</v>
      </c>
      <c r="E49" s="185" t="s">
        <v>402</v>
      </c>
      <c r="F49" s="185" t="s">
        <v>97</v>
      </c>
      <c r="G49" s="195" t="s">
        <v>1012</v>
      </c>
      <c r="H49" s="196">
        <v>0</v>
      </c>
      <c r="I49" s="196">
        <v>0</v>
      </c>
      <c r="J49" s="200">
        <v>0</v>
      </c>
      <c r="K49" s="191" t="s">
        <v>398</v>
      </c>
      <c r="L49" s="187" t="s">
        <v>155</v>
      </c>
      <c r="M49" s="184" t="s">
        <v>422</v>
      </c>
      <c r="N49" s="185" t="s">
        <v>197</v>
      </c>
      <c r="O49" s="184" t="s">
        <v>963</v>
      </c>
      <c r="P49" s="184" t="s">
        <v>348</v>
      </c>
      <c r="Q49" s="192" t="s">
        <v>793</v>
      </c>
      <c r="R49" s="184" t="s">
        <v>207</v>
      </c>
      <c r="S49" s="206" t="str">
        <f>MID(PAA[[#This Row],[Meta Proyecto de Inversión]],1,4)</f>
        <v>8126</v>
      </c>
      <c r="T49" s="206" t="str">
        <f>MID(PAA[[#This Row],[Meta Proyecto de Inversión]],6,1)</f>
        <v>8</v>
      </c>
      <c r="U49" s="155" t="str">
        <f>IFERROR(VLOOKUP(N49,TD!$B$50:$F$54,2,0)," ")</f>
        <v>O230117</v>
      </c>
      <c r="V49" s="155" t="str">
        <f>IFERROR(VLOOKUP(N49,TD!$B$50:$F$54,3,0)," ")</f>
        <v>4599</v>
      </c>
      <c r="W49" s="155">
        <f>IFERROR(VLOOKUP(N49,TD!$B$50:$F$54,4,0)," ")</f>
        <v>20240207</v>
      </c>
      <c r="X49" s="184" t="s">
        <v>174</v>
      </c>
      <c r="Y49" s="155" t="str">
        <f>IFERROR(VLOOKUP(X49,TD!$J$51:$K$64,2,0)," ")</f>
        <v>Infraestructura física, mantenimiento y dotación (Sedes construidas, mantenidas reforzadas)</v>
      </c>
      <c r="Z49" s="243" t="str">
        <f>CONCATENATE(X49,"-",Y49)</f>
        <v>08-Infraestructura física, mantenimiento y dotación (Sedes construidas, mantenidas reforzadas)</v>
      </c>
      <c r="AA49" s="184" t="s">
        <v>227</v>
      </c>
      <c r="AB49" s="155" t="str">
        <f>IFERROR(VLOOKUP(AA49,TD!$N$51:$O$66,2,0)," ")</f>
        <v>Sedes mantenidas</v>
      </c>
      <c r="AC49" s="243" t="str">
        <f>CONCATENATE(AA49,"_",AB49)</f>
        <v>016_Sedes mantenidas</v>
      </c>
      <c r="AD49" s="243" t="str">
        <f>CONCATENATE(Z49," ",AC49)</f>
        <v>08-Infraestructura física, mantenimiento y dotación (Sedes construidas, mantenidas reforzadas) 016_Sedes mantenidas</v>
      </c>
      <c r="AE49" s="155" t="str">
        <f>CONCATENATE(U49,V49,W49,X49,AA49)</f>
        <v>O23011745992024020708016</v>
      </c>
      <c r="AF49" s="155" t="str">
        <f>IFERROR(VLOOKUP(AD49,TD!$J$66:$K$89,2,0)," ")</f>
        <v>PM/0131/0108/45990160207</v>
      </c>
      <c r="AG49" s="193" t="s">
        <v>94</v>
      </c>
      <c r="AH49" s="184" t="s">
        <v>194</v>
      </c>
      <c r="AI49" s="245" t="str">
        <f>CONCATENATE(PAA[[#This Row],[Id Interno]],"-",PAA[[#This Row],[tipo de Contrato (TH talento humano - B/S bienes y/o servicios)]],"-",S49,"-",T49,"-",PAA[[#This Row],[Objeto de la contratación]])</f>
        <v>20260650-BS-8126-8-Congelamiento recursos 5% proyecto 8126</v>
      </c>
    </row>
    <row r="50" spans="2:35" ht="70" x14ac:dyDescent="0.35">
      <c r="B50" s="185">
        <v>20260651</v>
      </c>
      <c r="C50" s="186" t="s">
        <v>1007</v>
      </c>
      <c r="D50" s="185" t="s">
        <v>114</v>
      </c>
      <c r="E50" s="185" t="s">
        <v>402</v>
      </c>
      <c r="F50" s="185" t="s">
        <v>89</v>
      </c>
      <c r="G50" s="195" t="s">
        <v>1012</v>
      </c>
      <c r="H50" s="196">
        <v>0</v>
      </c>
      <c r="I50" s="196">
        <v>0</v>
      </c>
      <c r="J50" s="200">
        <v>0</v>
      </c>
      <c r="K50" s="191" t="s">
        <v>398</v>
      </c>
      <c r="L50" s="187" t="s">
        <v>155</v>
      </c>
      <c r="M50" s="184" t="s">
        <v>422</v>
      </c>
      <c r="N50" s="185" t="s">
        <v>197</v>
      </c>
      <c r="O50" s="184" t="s">
        <v>963</v>
      </c>
      <c r="P50" s="184" t="s">
        <v>348</v>
      </c>
      <c r="Q50" s="192" t="s">
        <v>784</v>
      </c>
      <c r="R50" s="184" t="s">
        <v>207</v>
      </c>
      <c r="S50" s="241" t="str">
        <f>MID(PAA[[#This Row],[Meta Proyecto de Inversión]],1,4)</f>
        <v>8126</v>
      </c>
      <c r="T50" s="241" t="str">
        <f>MID(PAA[[#This Row],[Meta Proyecto de Inversión]],6,1)</f>
        <v>8</v>
      </c>
      <c r="U50" s="242" t="str">
        <f>IFERROR(VLOOKUP(N50,TD!$B$50:$F$54,2,0)," ")</f>
        <v>O230117</v>
      </c>
      <c r="V50" s="242" t="str">
        <f>IFERROR(VLOOKUP(N50,TD!$B$50:$F$54,3,0)," ")</f>
        <v>4599</v>
      </c>
      <c r="W50" s="242">
        <f>IFERROR(VLOOKUP(N50,TD!$B$50:$F$54,4,0)," ")</f>
        <v>20240207</v>
      </c>
      <c r="X50" s="184" t="s">
        <v>174</v>
      </c>
      <c r="Y50" s="155" t="str">
        <f>IFERROR(VLOOKUP(X50,TD!$J$51:$K$64,2,0)," ")</f>
        <v>Infraestructura física, mantenimiento y dotación (Sedes construidas, mantenidas reforzadas)</v>
      </c>
      <c r="Z50" s="243" t="str">
        <f>CONCATENATE(X50,"-",Y50)</f>
        <v>08-Infraestructura física, mantenimiento y dotación (Sedes construidas, mantenidas reforzadas)</v>
      </c>
      <c r="AA50" s="184" t="s">
        <v>227</v>
      </c>
      <c r="AB50" s="155" t="str">
        <f>IFERROR(VLOOKUP(AA50,TD!$N$51:$O$66,2,0)," ")</f>
        <v>Sedes mantenidas</v>
      </c>
      <c r="AC50" s="243" t="str">
        <f>CONCATENATE(AA50,"_",AB50)</f>
        <v>016_Sedes mantenidas</v>
      </c>
      <c r="AD50" s="243" t="str">
        <f>CONCATENATE(Z50," ",AC50)</f>
        <v>08-Infraestructura física, mantenimiento y dotación (Sedes construidas, mantenidas reforzadas) 016_Sedes mantenidas</v>
      </c>
      <c r="AE50" s="155" t="str">
        <f>CONCATENATE(U50,V50,W50,X50,AA50)</f>
        <v>O23011745992024020708016</v>
      </c>
      <c r="AF50" s="155" t="str">
        <f>IFERROR(VLOOKUP(AD50,TD!$J$66:$K$89,2,0)," ")</f>
        <v>PM/0131/0108/45990160207</v>
      </c>
      <c r="AG50" s="193" t="s">
        <v>134</v>
      </c>
      <c r="AH50" s="184" t="s">
        <v>194</v>
      </c>
      <c r="AI50" s="248" t="str">
        <f>CONCATENATE(PAA[[#This Row],[Id Interno]],"-",PAA[[#This Row],[tipo de Contrato (TH talento humano - B/S bienes y/o servicios)]],"-",S50,"-",T50,"-",PAA[[#This Row],[Objeto de la contratación]])</f>
        <v>20260651-BS-8126-8-Congelamiento recursos 5% proyecto 8126</v>
      </c>
    </row>
    <row r="51" spans="2:35" ht="42" x14ac:dyDescent="0.35">
      <c r="B51" s="23">
        <v>20260002</v>
      </c>
      <c r="C51" s="121" t="s">
        <v>591</v>
      </c>
      <c r="D51" s="23" t="s">
        <v>105</v>
      </c>
      <c r="E51" s="23" t="s">
        <v>363</v>
      </c>
      <c r="F51" s="156" t="s">
        <v>144</v>
      </c>
      <c r="G51" s="157" t="s">
        <v>373</v>
      </c>
      <c r="H51" s="158">
        <v>6</v>
      </c>
      <c r="I51" s="158">
        <v>0</v>
      </c>
      <c r="J51" s="150">
        <v>45000000</v>
      </c>
      <c r="K51" s="88" t="s">
        <v>398</v>
      </c>
      <c r="L51" s="156" t="s">
        <v>151</v>
      </c>
      <c r="M51" s="159" t="s">
        <v>401</v>
      </c>
      <c r="N51" s="23" t="s">
        <v>197</v>
      </c>
      <c r="O51" s="151" t="s">
        <v>963</v>
      </c>
      <c r="P51" s="156" t="s">
        <v>348</v>
      </c>
      <c r="Q51" s="53">
        <v>80111600</v>
      </c>
      <c r="R51" s="159" t="s">
        <v>204</v>
      </c>
      <c r="S51" s="159" t="str">
        <f>MID(PAA[[#This Row],[Meta Proyecto de Inversión]],1,4)</f>
        <v>8126</v>
      </c>
      <c r="T51" s="159" t="str">
        <f>MID(PAA[[#This Row],[Meta Proyecto de Inversión]],6,1)</f>
        <v>5</v>
      </c>
      <c r="U51" s="160" t="str">
        <f>IFERROR(VLOOKUP(N51,TD!$B$50:$F$54,2,0)," ")</f>
        <v>O230117</v>
      </c>
      <c r="V51" s="160" t="str">
        <f>IFERROR(VLOOKUP(N51,TD!$B$50:$F$54,3,0)," ")</f>
        <v>4599</v>
      </c>
      <c r="W51" s="160">
        <f>IFERROR(VLOOKUP(N51,TD!$B$50:$F$54,4,0)," ")</f>
        <v>20240207</v>
      </c>
      <c r="X51" s="159" t="s">
        <v>168</v>
      </c>
      <c r="Y51" s="160" t="str">
        <f>IFERROR(VLOOKUP(X51,TD!$J$51:$K$64,2,0)," ")</f>
        <v>Infraestructura Tecnológica   (Sistemas de Información y Tecnologia)</v>
      </c>
      <c r="Z51" s="161" t="str">
        <f>CONCATENATE(X51,"-",Y51)</f>
        <v>11-Infraestructura Tecnológica   (Sistemas de Información y Tecnologia)</v>
      </c>
      <c r="AA51" s="159" t="s">
        <v>228</v>
      </c>
      <c r="AB51" s="160" t="str">
        <f>IFERROR(VLOOKUP(AA51,TD!$N$51:$O$66,2,0)," ")</f>
        <v>Servicios tecnológicos</v>
      </c>
      <c r="AC51" s="161" t="str">
        <f>CONCATENATE(AA51,"_",AB51)</f>
        <v>007_Servicios tecnológicos</v>
      </c>
      <c r="AD51" s="161" t="str">
        <f>CONCATENATE(Z51," ",AC51)</f>
        <v>11-Infraestructura Tecnológica   (Sistemas de Información y Tecnologia) 007_Servicios tecnológicos</v>
      </c>
      <c r="AE51" s="160" t="str">
        <f>CONCATENATE(U51,V51,W51,X51,AA51)</f>
        <v>O23011745992024020711007</v>
      </c>
      <c r="AF51" s="160" t="str">
        <f>IFERROR(VLOOKUP(AD51,TD!$J$66:$K$89,2,0)," ")</f>
        <v>PM/0131/0111/45990070207</v>
      </c>
      <c r="AG51" s="118" t="s">
        <v>385</v>
      </c>
      <c r="AH51" s="159" t="s">
        <v>193</v>
      </c>
      <c r="AI51" s="162" t="str">
        <f>CONCATENATE(PAA[[#This Row],[Id Interno]],"-",PAA[[#This Row],[tipo de Contrato (TH talento humano - B/S bienes y/o servicios)]],"-",S51,"-",T51,"-",PAA[[#This Row],[Objeto de la contratación]])</f>
        <v>20260002-TH-8126-5-Brindar apoyo profesional en la planeación, control y seguimiento del presupuesto asignado al área de Tecnologías de la Información y las Comunicaciones, garantizando  que los recursos se asignen conforme a las metas establecidas  y asignadas en el plan de desarrollo adoptado, para el cumplimiento de la misionalidad.</v>
      </c>
    </row>
    <row r="52" spans="2:35" ht="56" x14ac:dyDescent="0.35">
      <c r="B52" s="23">
        <v>20260003</v>
      </c>
      <c r="C52" s="99" t="s">
        <v>592</v>
      </c>
      <c r="D52" s="23" t="s">
        <v>105</v>
      </c>
      <c r="E52" s="23" t="s">
        <v>363</v>
      </c>
      <c r="F52" s="156" t="s">
        <v>144</v>
      </c>
      <c r="G52" s="157" t="s">
        <v>373</v>
      </c>
      <c r="H52" s="158">
        <v>6</v>
      </c>
      <c r="I52" s="158">
        <v>0</v>
      </c>
      <c r="J52" s="150">
        <v>33000000</v>
      </c>
      <c r="K52" s="88" t="s">
        <v>398</v>
      </c>
      <c r="L52" s="156" t="s">
        <v>151</v>
      </c>
      <c r="M52" s="159" t="s">
        <v>401</v>
      </c>
      <c r="N52" s="23" t="s">
        <v>197</v>
      </c>
      <c r="O52" s="151" t="s">
        <v>963</v>
      </c>
      <c r="P52" s="156" t="s">
        <v>348</v>
      </c>
      <c r="Q52" s="53">
        <v>80111600</v>
      </c>
      <c r="R52" s="159" t="s">
        <v>203</v>
      </c>
      <c r="S52" s="159" t="str">
        <f>MID(PAA[[#This Row],[Meta Proyecto de Inversión]],1,4)</f>
        <v>8126</v>
      </c>
      <c r="T52" s="159" t="str">
        <f>MID(PAA[[#This Row],[Meta Proyecto de Inversión]],6,1)</f>
        <v>4</v>
      </c>
      <c r="U52" s="160" t="str">
        <f>IFERROR(VLOOKUP(N52,TD!$B$50:$F$54,2,0)," ")</f>
        <v>O230117</v>
      </c>
      <c r="V52" s="160" t="str">
        <f>IFERROR(VLOOKUP(N52,TD!$B$50:$F$54,3,0)," ")</f>
        <v>4599</v>
      </c>
      <c r="W52" s="160">
        <f>IFERROR(VLOOKUP(N52,TD!$B$50:$F$54,4,0)," ")</f>
        <v>20240207</v>
      </c>
      <c r="X52" s="159" t="s">
        <v>168</v>
      </c>
      <c r="Y52" s="160" t="str">
        <f>IFERROR(VLOOKUP(X52,TD!$J$51:$K$64,2,0)," ")</f>
        <v>Infraestructura Tecnológica   (Sistemas de Información y Tecnologia)</v>
      </c>
      <c r="Z52" s="161" t="str">
        <f>CONCATENATE(X52,"-",Y52)</f>
        <v>11-Infraestructura Tecnológica   (Sistemas de Información y Tecnologia)</v>
      </c>
      <c r="AA52" s="159" t="s">
        <v>228</v>
      </c>
      <c r="AB52" s="160" t="str">
        <f>IFERROR(VLOOKUP(AA52,TD!$N$51:$O$66,2,0)," ")</f>
        <v>Servicios tecnológicos</v>
      </c>
      <c r="AC52" s="161" t="str">
        <f>CONCATENATE(AA52,"_",AB52)</f>
        <v>007_Servicios tecnológicos</v>
      </c>
      <c r="AD52" s="161" t="str">
        <f>CONCATENATE(Z52," ",AC52)</f>
        <v>11-Infraestructura Tecnológica   (Sistemas de Información y Tecnologia) 007_Servicios tecnológicos</v>
      </c>
      <c r="AE52" s="160" t="str">
        <f>CONCATENATE(U52,V52,W52,X52,AA52)</f>
        <v>O23011745992024020711007</v>
      </c>
      <c r="AF52" s="160" t="str">
        <f>IFERROR(VLOOKUP(AD52,TD!$J$66:$K$89,2,0)," ")</f>
        <v>PM/0131/0111/45990070207</v>
      </c>
      <c r="AG52" s="118" t="s">
        <v>385</v>
      </c>
      <c r="AH52" s="159" t="s">
        <v>193</v>
      </c>
      <c r="AI52" s="162" t="str">
        <f>CONCATENATE(PAA[[#This Row],[Id Interno]],"-",PAA[[#This Row],[tipo de Contrato (TH talento humano - B/S bienes y/o servicios)]],"-",S52,"-",T52,"-",PAA[[#This Row],[Objeto de la contratación]])</f>
        <v>20260003-TH-8126-4-Prestar servicios profesionales orientadas al soporte, mantenimiento funcional y aseguramiento de la disponibilidad de los servicios tecnológicos que respaldan el funcionamiento institucional en sus diferentes sedes y puntos de atención, a cargo  del área de tecnología de la información y las comunicaciones de la U.A.E Cuerpo Oficial de Bomberos de Bogotá D.C.</v>
      </c>
    </row>
    <row r="53" spans="2:35" ht="56" x14ac:dyDescent="0.35">
      <c r="B53" s="23">
        <v>20260004</v>
      </c>
      <c r="C53" s="99" t="s">
        <v>593</v>
      </c>
      <c r="D53" s="23" t="s">
        <v>105</v>
      </c>
      <c r="E53" s="23" t="s">
        <v>363</v>
      </c>
      <c r="F53" s="156" t="s">
        <v>144</v>
      </c>
      <c r="G53" s="157" t="s">
        <v>373</v>
      </c>
      <c r="H53" s="158">
        <v>6</v>
      </c>
      <c r="I53" s="158">
        <v>0</v>
      </c>
      <c r="J53" s="150">
        <v>57000000</v>
      </c>
      <c r="K53" s="88" t="s">
        <v>398</v>
      </c>
      <c r="L53" s="156" t="s">
        <v>151</v>
      </c>
      <c r="M53" s="159" t="s">
        <v>401</v>
      </c>
      <c r="N53" s="23" t="s">
        <v>197</v>
      </c>
      <c r="O53" s="151" t="s">
        <v>963</v>
      </c>
      <c r="P53" s="156" t="s">
        <v>348</v>
      </c>
      <c r="Q53" s="53">
        <v>80111600</v>
      </c>
      <c r="R53" s="159" t="s">
        <v>203</v>
      </c>
      <c r="S53" s="159" t="str">
        <f>MID(PAA[[#This Row],[Meta Proyecto de Inversión]],1,4)</f>
        <v>8126</v>
      </c>
      <c r="T53" s="159" t="str">
        <f>MID(PAA[[#This Row],[Meta Proyecto de Inversión]],6,1)</f>
        <v>4</v>
      </c>
      <c r="U53" s="160" t="str">
        <f>IFERROR(VLOOKUP(N53,TD!$B$50:$F$54,2,0)," ")</f>
        <v>O230117</v>
      </c>
      <c r="V53" s="160" t="str">
        <f>IFERROR(VLOOKUP(N53,TD!$B$50:$F$54,3,0)," ")</f>
        <v>4599</v>
      </c>
      <c r="W53" s="160">
        <f>IFERROR(VLOOKUP(N53,TD!$B$50:$F$54,4,0)," ")</f>
        <v>20240207</v>
      </c>
      <c r="X53" s="159" t="s">
        <v>168</v>
      </c>
      <c r="Y53" s="160" t="str">
        <f>IFERROR(VLOOKUP(X53,TD!$J$51:$K$64,2,0)," ")</f>
        <v>Infraestructura Tecnológica   (Sistemas de Información y Tecnologia)</v>
      </c>
      <c r="Z53" s="161" t="str">
        <f>CONCATENATE(X53,"-",Y53)</f>
        <v>11-Infraestructura Tecnológica   (Sistemas de Información y Tecnologia)</v>
      </c>
      <c r="AA53" s="159" t="s">
        <v>228</v>
      </c>
      <c r="AB53" s="160" t="str">
        <f>IFERROR(VLOOKUP(AA53,TD!$N$51:$O$66,2,0)," ")</f>
        <v>Servicios tecnológicos</v>
      </c>
      <c r="AC53" s="161" t="str">
        <f>CONCATENATE(AA53,"_",AB53)</f>
        <v>007_Servicios tecnológicos</v>
      </c>
      <c r="AD53" s="161" t="str">
        <f>CONCATENATE(Z53," ",AC53)</f>
        <v>11-Infraestructura Tecnológica   (Sistemas de Información y Tecnologia) 007_Servicios tecnológicos</v>
      </c>
      <c r="AE53" s="160" t="str">
        <f>CONCATENATE(U53,V53,W53,X53,AA53)</f>
        <v>O23011745992024020711007</v>
      </c>
      <c r="AF53" s="160" t="str">
        <f>IFERROR(VLOOKUP(AD53,TD!$J$66:$K$89,2,0)," ")</f>
        <v>PM/0131/0111/45990070207</v>
      </c>
      <c r="AG53" s="118" t="s">
        <v>385</v>
      </c>
      <c r="AH53" s="159" t="s">
        <v>193</v>
      </c>
      <c r="AI53" s="162" t="str">
        <f>CONCATENATE(PAA[[#This Row],[Id Interno]],"-",PAA[[#This Row],[tipo de Contrato (TH talento humano - B/S bienes y/o servicios)]],"-",S53,"-",T53,"-",PAA[[#This Row],[Objeto de la contratación]])</f>
        <v>20260004-TH-8126-4-Prestar los servicios profesionales para realizar las actividades tendientes a soportar el Sistema Integrado de Administración de Personal - SIAP  a cargo del área de Tecnologías de la Información y las Comunicaciones de la U.A.E. Cuerpo Oficial de Bomberos Bogotá</v>
      </c>
    </row>
    <row r="54" spans="2:35" ht="56" x14ac:dyDescent="0.35">
      <c r="B54" s="23">
        <v>20260005</v>
      </c>
      <c r="C54" s="121" t="s">
        <v>594</v>
      </c>
      <c r="D54" s="23" t="s">
        <v>105</v>
      </c>
      <c r="E54" s="23" t="s">
        <v>363</v>
      </c>
      <c r="F54" s="156" t="s">
        <v>144</v>
      </c>
      <c r="G54" s="157" t="s">
        <v>373</v>
      </c>
      <c r="H54" s="158">
        <v>12</v>
      </c>
      <c r="I54" s="158">
        <v>0</v>
      </c>
      <c r="J54" s="150">
        <v>93600000</v>
      </c>
      <c r="K54" s="88" t="s">
        <v>398</v>
      </c>
      <c r="L54" s="156" t="s">
        <v>151</v>
      </c>
      <c r="M54" s="159" t="s">
        <v>401</v>
      </c>
      <c r="N54" s="23" t="s">
        <v>197</v>
      </c>
      <c r="O54" s="151" t="s">
        <v>963</v>
      </c>
      <c r="P54" s="156" t="s">
        <v>348</v>
      </c>
      <c r="Q54" s="53">
        <v>80111600</v>
      </c>
      <c r="R54" s="159" t="s">
        <v>204</v>
      </c>
      <c r="S54" s="159" t="str">
        <f>MID(PAA[[#This Row],[Meta Proyecto de Inversión]],1,4)</f>
        <v>8126</v>
      </c>
      <c r="T54" s="159" t="str">
        <f>MID(PAA[[#This Row],[Meta Proyecto de Inversión]],6,1)</f>
        <v>5</v>
      </c>
      <c r="U54" s="160" t="str">
        <f>IFERROR(VLOOKUP(N54,TD!$B$50:$F$54,2,0)," ")</f>
        <v>O230117</v>
      </c>
      <c r="V54" s="160" t="str">
        <f>IFERROR(VLOOKUP(N54,TD!$B$50:$F$54,3,0)," ")</f>
        <v>4599</v>
      </c>
      <c r="W54" s="160">
        <f>IFERROR(VLOOKUP(N54,TD!$B$50:$F$54,4,0)," ")</f>
        <v>20240207</v>
      </c>
      <c r="X54" s="159" t="s">
        <v>168</v>
      </c>
      <c r="Y54" s="160" t="str">
        <f>IFERROR(VLOOKUP(X54,TD!$J$51:$K$64,2,0)," ")</f>
        <v>Infraestructura Tecnológica   (Sistemas de Información y Tecnologia)</v>
      </c>
      <c r="Z54" s="161" t="str">
        <f>CONCATENATE(X54,"-",Y54)</f>
        <v>11-Infraestructura Tecnológica   (Sistemas de Información y Tecnologia)</v>
      </c>
      <c r="AA54" s="159" t="s">
        <v>228</v>
      </c>
      <c r="AB54" s="160" t="str">
        <f>IFERROR(VLOOKUP(AA54,TD!$N$51:$O$66,2,0)," ")</f>
        <v>Servicios tecnológicos</v>
      </c>
      <c r="AC54" s="161" t="str">
        <f>CONCATENATE(AA54,"_",AB54)</f>
        <v>007_Servicios tecnológicos</v>
      </c>
      <c r="AD54" s="161" t="str">
        <f>CONCATENATE(Z54," ",AC54)</f>
        <v>11-Infraestructura Tecnológica   (Sistemas de Información y Tecnologia) 007_Servicios tecnológicos</v>
      </c>
      <c r="AE54" s="160" t="str">
        <f>CONCATENATE(U54,V54,W54,X54,AA54)</f>
        <v>O23011745992024020711007</v>
      </c>
      <c r="AF54" s="160" t="str">
        <f>IFERROR(VLOOKUP(AD54,TD!$J$66:$K$89,2,0)," ")</f>
        <v>PM/0131/0111/45990070207</v>
      </c>
      <c r="AG54" s="118" t="s">
        <v>385</v>
      </c>
      <c r="AH54" s="159" t="s">
        <v>193</v>
      </c>
      <c r="AI54" s="162" t="str">
        <f>CONCATENATE(PAA[[#This Row],[Id Interno]],"-",PAA[[#This Row],[tipo de Contrato (TH talento humano - B/S bienes y/o servicios)]],"-",S54,"-",T54,"-",PAA[[#This Row],[Objeto de la contratación]])</f>
        <v>20260005-TH-8126-5-Prestar servicios profesionales apoyando los lineamientos tecnológicos necesarios  para la administración y gestión de los servicios desarrollados por el  área de Tecnologías de la Información y las Comunicaciones de la U.A.E. Cuerpo Oficial de Bomberos Bogotá.</v>
      </c>
    </row>
    <row r="55" spans="2:35" ht="42" x14ac:dyDescent="0.35">
      <c r="B55" s="23">
        <v>20260006</v>
      </c>
      <c r="C55" s="99" t="s">
        <v>595</v>
      </c>
      <c r="D55" s="23" t="s">
        <v>105</v>
      </c>
      <c r="E55" s="23" t="s">
        <v>363</v>
      </c>
      <c r="F55" s="156" t="s">
        <v>144</v>
      </c>
      <c r="G55" s="157" t="s">
        <v>373</v>
      </c>
      <c r="H55" s="158">
        <v>10</v>
      </c>
      <c r="I55" s="158">
        <v>0</v>
      </c>
      <c r="J55" s="150">
        <v>78000000</v>
      </c>
      <c r="K55" s="88" t="s">
        <v>398</v>
      </c>
      <c r="L55" s="156" t="s">
        <v>151</v>
      </c>
      <c r="M55" s="159" t="s">
        <v>401</v>
      </c>
      <c r="N55" s="23" t="s">
        <v>197</v>
      </c>
      <c r="O55" s="151" t="s">
        <v>963</v>
      </c>
      <c r="P55" s="156" t="s">
        <v>348</v>
      </c>
      <c r="Q55" s="53">
        <v>80111600</v>
      </c>
      <c r="R55" s="159" t="s">
        <v>204</v>
      </c>
      <c r="S55" s="159" t="str">
        <f>MID(PAA[[#This Row],[Meta Proyecto de Inversión]],1,4)</f>
        <v>8126</v>
      </c>
      <c r="T55" s="159" t="str">
        <f>MID(PAA[[#This Row],[Meta Proyecto de Inversión]],6,1)</f>
        <v>5</v>
      </c>
      <c r="U55" s="160" t="str">
        <f>IFERROR(VLOOKUP(N55,TD!$B$50:$F$54,2,0)," ")</f>
        <v>O230117</v>
      </c>
      <c r="V55" s="160" t="str">
        <f>IFERROR(VLOOKUP(N55,TD!$B$50:$F$54,3,0)," ")</f>
        <v>4599</v>
      </c>
      <c r="W55" s="160">
        <f>IFERROR(VLOOKUP(N55,TD!$B$50:$F$54,4,0)," ")</f>
        <v>20240207</v>
      </c>
      <c r="X55" s="159" t="s">
        <v>168</v>
      </c>
      <c r="Y55" s="160" t="str">
        <f>IFERROR(VLOOKUP(X55,TD!$J$51:$K$64,2,0)," ")</f>
        <v>Infraestructura Tecnológica   (Sistemas de Información y Tecnologia)</v>
      </c>
      <c r="Z55" s="161" t="str">
        <f>CONCATENATE(X55,"-",Y55)</f>
        <v>11-Infraestructura Tecnológica   (Sistemas de Información y Tecnologia)</v>
      </c>
      <c r="AA55" s="159" t="s">
        <v>228</v>
      </c>
      <c r="AB55" s="160" t="str">
        <f>IFERROR(VLOOKUP(AA55,TD!$N$51:$O$66,2,0)," ")</f>
        <v>Servicios tecnológicos</v>
      </c>
      <c r="AC55" s="161" t="str">
        <f>CONCATENATE(AA55,"_",AB55)</f>
        <v>007_Servicios tecnológicos</v>
      </c>
      <c r="AD55" s="161" t="str">
        <f>CONCATENATE(Z55," ",AC55)</f>
        <v>11-Infraestructura Tecnológica   (Sistemas de Información y Tecnologia) 007_Servicios tecnológicos</v>
      </c>
      <c r="AE55" s="160" t="str">
        <f>CONCATENATE(U55,V55,W55,X55,AA55)</f>
        <v>O23011745992024020711007</v>
      </c>
      <c r="AF55" s="160" t="str">
        <f>IFERROR(VLOOKUP(AD55,TD!$J$66:$K$89,2,0)," ")</f>
        <v>PM/0131/0111/45990070207</v>
      </c>
      <c r="AG55" s="118" t="s">
        <v>385</v>
      </c>
      <c r="AH55" s="159" t="s">
        <v>193</v>
      </c>
      <c r="AI55" s="162" t="str">
        <f>CONCATENATE(PAA[[#This Row],[Id Interno]],"-",PAA[[#This Row],[tipo de Contrato (TH talento humano - B/S bienes y/o servicios)]],"-",S55,"-",T55,"-",PAA[[#This Row],[Objeto de la contratación]])</f>
        <v>20260006-TH-8126-5-Prestar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56" spans="2:35" ht="56" x14ac:dyDescent="0.35">
      <c r="B56" s="23">
        <v>20260007</v>
      </c>
      <c r="C56" s="99" t="s">
        <v>596</v>
      </c>
      <c r="D56" s="23" t="s">
        <v>105</v>
      </c>
      <c r="E56" s="23" t="s">
        <v>363</v>
      </c>
      <c r="F56" s="156" t="s">
        <v>144</v>
      </c>
      <c r="G56" s="157" t="s">
        <v>373</v>
      </c>
      <c r="H56" s="158">
        <v>12</v>
      </c>
      <c r="I56" s="158">
        <v>0</v>
      </c>
      <c r="J56" s="150">
        <v>60500000</v>
      </c>
      <c r="K56" s="88" t="s">
        <v>398</v>
      </c>
      <c r="L56" s="156" t="s">
        <v>151</v>
      </c>
      <c r="M56" s="159" t="s">
        <v>401</v>
      </c>
      <c r="N56" s="23" t="s">
        <v>197</v>
      </c>
      <c r="O56" s="151" t="s">
        <v>963</v>
      </c>
      <c r="P56" s="156" t="s">
        <v>348</v>
      </c>
      <c r="Q56" s="53">
        <v>80111600</v>
      </c>
      <c r="R56" s="159" t="s">
        <v>204</v>
      </c>
      <c r="S56" s="159" t="str">
        <f>MID(PAA[[#This Row],[Meta Proyecto de Inversión]],1,4)</f>
        <v>8126</v>
      </c>
      <c r="T56" s="159" t="str">
        <f>MID(PAA[[#This Row],[Meta Proyecto de Inversión]],6,1)</f>
        <v>5</v>
      </c>
      <c r="U56" s="160" t="str">
        <f>IFERROR(VLOOKUP(N56,TD!$B$50:$F$54,2,0)," ")</f>
        <v>O230117</v>
      </c>
      <c r="V56" s="160" t="str">
        <f>IFERROR(VLOOKUP(N56,TD!$B$50:$F$54,3,0)," ")</f>
        <v>4599</v>
      </c>
      <c r="W56" s="160">
        <f>IFERROR(VLOOKUP(N56,TD!$B$50:$F$54,4,0)," ")</f>
        <v>20240207</v>
      </c>
      <c r="X56" s="159" t="s">
        <v>168</v>
      </c>
      <c r="Y56" s="160" t="str">
        <f>IFERROR(VLOOKUP(X56,TD!$J$51:$K$64,2,0)," ")</f>
        <v>Infraestructura Tecnológica   (Sistemas de Información y Tecnologia)</v>
      </c>
      <c r="Z56" s="161" t="str">
        <f>CONCATENATE(X56,"-",Y56)</f>
        <v>11-Infraestructura Tecnológica   (Sistemas de Información y Tecnologia)</v>
      </c>
      <c r="AA56" s="159" t="s">
        <v>228</v>
      </c>
      <c r="AB56" s="160" t="str">
        <f>IFERROR(VLOOKUP(AA56,TD!$N$51:$O$66,2,0)," ")</f>
        <v>Servicios tecnológicos</v>
      </c>
      <c r="AC56" s="161" t="str">
        <f>CONCATENATE(AA56,"_",AB56)</f>
        <v>007_Servicios tecnológicos</v>
      </c>
      <c r="AD56" s="161" t="str">
        <f>CONCATENATE(Z56," ",AC56)</f>
        <v>11-Infraestructura Tecnológica   (Sistemas de Información y Tecnologia) 007_Servicios tecnológicos</v>
      </c>
      <c r="AE56" s="160" t="str">
        <f>CONCATENATE(U56,V56,W56,X56,AA56)</f>
        <v>O23011745992024020711007</v>
      </c>
      <c r="AF56" s="160" t="str">
        <f>IFERROR(VLOOKUP(AD56,TD!$J$66:$K$89,2,0)," ")</f>
        <v>PM/0131/0111/45990070207</v>
      </c>
      <c r="AG56" s="118" t="s">
        <v>385</v>
      </c>
      <c r="AH56" s="159" t="s">
        <v>193</v>
      </c>
      <c r="AI56" s="162" t="str">
        <f>CONCATENATE(PAA[[#This Row],[Id Interno]],"-",PAA[[#This Row],[tipo de Contrato (TH talento humano - B/S bienes y/o servicios)]],"-",S56,"-",T56,"-",PAA[[#This Row],[Objeto de la contratación]])</f>
        <v>20260007-TH-8126-5-Prestar servicios profesionales orientados al fortalecimiento, administración y soporte de los sistemas, plataformas, infraestructura tecnológica y servicios informáticos a cargo de la Dirección de Tics de la U.A.E Cuerpo Oficial de Bomberos de Bogotá D.C</v>
      </c>
    </row>
    <row r="57" spans="2:35" ht="56" x14ac:dyDescent="0.35">
      <c r="B57" s="23">
        <v>20260008</v>
      </c>
      <c r="C57" s="121" t="s">
        <v>597</v>
      </c>
      <c r="D57" s="23" t="s">
        <v>105</v>
      </c>
      <c r="E57" s="23" t="s">
        <v>363</v>
      </c>
      <c r="F57" s="156" t="s">
        <v>145</v>
      </c>
      <c r="G57" s="157" t="s">
        <v>374</v>
      </c>
      <c r="H57" s="158">
        <v>10</v>
      </c>
      <c r="I57" s="158">
        <v>0</v>
      </c>
      <c r="J57" s="150">
        <v>40000000</v>
      </c>
      <c r="K57" s="88" t="s">
        <v>398</v>
      </c>
      <c r="L57" s="156" t="s">
        <v>151</v>
      </c>
      <c r="M57" s="159" t="s">
        <v>401</v>
      </c>
      <c r="N57" s="23" t="s">
        <v>197</v>
      </c>
      <c r="O57" s="151" t="s">
        <v>963</v>
      </c>
      <c r="P57" s="156" t="s">
        <v>348</v>
      </c>
      <c r="Q57" s="53">
        <v>80111600</v>
      </c>
      <c r="R57" s="159" t="s">
        <v>204</v>
      </c>
      <c r="S57" s="159" t="str">
        <f>MID(PAA[[#This Row],[Meta Proyecto de Inversión]],1,4)</f>
        <v>8126</v>
      </c>
      <c r="T57" s="159" t="str">
        <f>MID(PAA[[#This Row],[Meta Proyecto de Inversión]],6,1)</f>
        <v>5</v>
      </c>
      <c r="U57" s="160" t="str">
        <f>IFERROR(VLOOKUP(N57,TD!$B$50:$F$54,2,0)," ")</f>
        <v>O230117</v>
      </c>
      <c r="V57" s="160" t="str">
        <f>IFERROR(VLOOKUP(N57,TD!$B$50:$F$54,3,0)," ")</f>
        <v>4599</v>
      </c>
      <c r="W57" s="160">
        <f>IFERROR(VLOOKUP(N57,TD!$B$50:$F$54,4,0)," ")</f>
        <v>20240207</v>
      </c>
      <c r="X57" s="159" t="s">
        <v>168</v>
      </c>
      <c r="Y57" s="160" t="str">
        <f>IFERROR(VLOOKUP(X57,TD!$J$51:$K$64,2,0)," ")</f>
        <v>Infraestructura Tecnológica   (Sistemas de Información y Tecnologia)</v>
      </c>
      <c r="Z57" s="161" t="str">
        <f>CONCATENATE(X57,"-",Y57)</f>
        <v>11-Infraestructura Tecnológica   (Sistemas de Información y Tecnologia)</v>
      </c>
      <c r="AA57" s="159" t="s">
        <v>228</v>
      </c>
      <c r="AB57" s="160" t="str">
        <f>IFERROR(VLOOKUP(AA57,TD!$N$51:$O$66,2,0)," ")</f>
        <v>Servicios tecnológicos</v>
      </c>
      <c r="AC57" s="161" t="str">
        <f>CONCATENATE(AA57,"_",AB57)</f>
        <v>007_Servicios tecnológicos</v>
      </c>
      <c r="AD57" s="161" t="str">
        <f>CONCATENATE(Z57," ",AC57)</f>
        <v>11-Infraestructura Tecnológica   (Sistemas de Información y Tecnologia) 007_Servicios tecnológicos</v>
      </c>
      <c r="AE57" s="160" t="str">
        <f>CONCATENATE(U57,V57,W57,X57,AA57)</f>
        <v>O23011745992024020711007</v>
      </c>
      <c r="AF57" s="160" t="str">
        <f>IFERROR(VLOOKUP(AD57,TD!$J$66:$K$89,2,0)," ")</f>
        <v>PM/0131/0111/45990070207</v>
      </c>
      <c r="AG57" s="118" t="s">
        <v>385</v>
      </c>
      <c r="AH57" s="159" t="s">
        <v>193</v>
      </c>
      <c r="AI57" s="162" t="str">
        <f>CONCATENATE(PAA[[#This Row],[Id Interno]],"-",PAA[[#This Row],[tipo de Contrato (TH talento humano - B/S bienes y/o servicios)]],"-",S57,"-",T57,"-",PAA[[#This Row],[Objeto de la contratación]])</f>
        <v>20260008-TH-8126-5-Prestar los servicios de apoyo a la gestión para desarrollar actividades de soporte técnico nivel (1 y 2) que requiera el área de Tecnologías de la Información y las Comunicaciones de la U.A.E. Cuerpo Oficial de Bomberos Bogotá</v>
      </c>
    </row>
    <row r="58" spans="2:35" ht="42" x14ac:dyDescent="0.35">
      <c r="B58" s="23">
        <v>20260009</v>
      </c>
      <c r="C58" s="99" t="s">
        <v>597</v>
      </c>
      <c r="D58" s="23" t="s">
        <v>105</v>
      </c>
      <c r="E58" s="23" t="s">
        <v>363</v>
      </c>
      <c r="F58" s="156" t="s">
        <v>145</v>
      </c>
      <c r="G58" s="157" t="s">
        <v>373</v>
      </c>
      <c r="H58" s="158">
        <v>6</v>
      </c>
      <c r="I58" s="158">
        <v>0</v>
      </c>
      <c r="J58" s="150">
        <v>24000000</v>
      </c>
      <c r="K58" s="88" t="s">
        <v>398</v>
      </c>
      <c r="L58" s="156" t="s">
        <v>151</v>
      </c>
      <c r="M58" s="159" t="s">
        <v>401</v>
      </c>
      <c r="N58" s="23" t="s">
        <v>197</v>
      </c>
      <c r="O58" s="151" t="s">
        <v>963</v>
      </c>
      <c r="P58" s="156" t="s">
        <v>348</v>
      </c>
      <c r="Q58" s="53">
        <v>80111600</v>
      </c>
      <c r="R58" s="159" t="s">
        <v>204</v>
      </c>
      <c r="S58" s="159" t="str">
        <f>MID(PAA[[#This Row],[Meta Proyecto de Inversión]],1,4)</f>
        <v>8126</v>
      </c>
      <c r="T58" s="159" t="str">
        <f>MID(PAA[[#This Row],[Meta Proyecto de Inversión]],6,1)</f>
        <v>5</v>
      </c>
      <c r="U58" s="160" t="str">
        <f>IFERROR(VLOOKUP(N58,TD!$B$50:$F$54,2,0)," ")</f>
        <v>O230117</v>
      </c>
      <c r="V58" s="160" t="str">
        <f>IFERROR(VLOOKUP(N58,TD!$B$50:$F$54,3,0)," ")</f>
        <v>4599</v>
      </c>
      <c r="W58" s="160">
        <f>IFERROR(VLOOKUP(N58,TD!$B$50:$F$54,4,0)," ")</f>
        <v>20240207</v>
      </c>
      <c r="X58" s="159" t="s">
        <v>168</v>
      </c>
      <c r="Y58" s="160" t="str">
        <f>IFERROR(VLOOKUP(X58,TD!$J$51:$K$64,2,0)," ")</f>
        <v>Infraestructura Tecnológica   (Sistemas de Información y Tecnologia)</v>
      </c>
      <c r="Z58" s="161" t="str">
        <f>CONCATENATE(X58,"-",Y58)</f>
        <v>11-Infraestructura Tecnológica   (Sistemas de Información y Tecnologia)</v>
      </c>
      <c r="AA58" s="159" t="s">
        <v>228</v>
      </c>
      <c r="AB58" s="160" t="str">
        <f>IFERROR(VLOOKUP(AA58,TD!$N$51:$O$66,2,0)," ")</f>
        <v>Servicios tecnológicos</v>
      </c>
      <c r="AC58" s="161" t="str">
        <f>CONCATENATE(AA58,"_",AB58)</f>
        <v>007_Servicios tecnológicos</v>
      </c>
      <c r="AD58" s="161" t="str">
        <f>CONCATENATE(Z58," ",AC58)</f>
        <v>11-Infraestructura Tecnológica   (Sistemas de Información y Tecnologia) 007_Servicios tecnológicos</v>
      </c>
      <c r="AE58" s="160" t="str">
        <f>CONCATENATE(U58,V58,W58,X58,AA58)</f>
        <v>O23011745992024020711007</v>
      </c>
      <c r="AF58" s="160" t="str">
        <f>IFERROR(VLOOKUP(AD58,TD!$J$66:$K$89,2,0)," ")</f>
        <v>PM/0131/0111/45990070207</v>
      </c>
      <c r="AG58" s="118" t="s">
        <v>385</v>
      </c>
      <c r="AH58" s="159" t="s">
        <v>193</v>
      </c>
      <c r="AI58" s="162" t="str">
        <f>CONCATENATE(PAA[[#This Row],[Id Interno]],"-",PAA[[#This Row],[tipo de Contrato (TH talento humano - B/S bienes y/o servicios)]],"-",S58,"-",T58,"-",PAA[[#This Row],[Objeto de la contratación]])</f>
        <v>20260009-TH-8126-5-Prestar los servicios de apoyo a la gestión para desarrollar actividades de soporte técnico nivel (1 y 2) que requiera el área de Tecnologías de la Información y las Comunicaciones de la U.A.E. Cuerpo Oficial de Bomberos Bogotá</v>
      </c>
    </row>
    <row r="59" spans="2:35" ht="56" x14ac:dyDescent="0.35">
      <c r="B59" s="23">
        <v>20260010</v>
      </c>
      <c r="C59" s="99" t="s">
        <v>598</v>
      </c>
      <c r="D59" s="23" t="s">
        <v>105</v>
      </c>
      <c r="E59" s="23" t="s">
        <v>363</v>
      </c>
      <c r="F59" s="156" t="s">
        <v>144</v>
      </c>
      <c r="G59" s="157" t="s">
        <v>373</v>
      </c>
      <c r="H59" s="158">
        <v>12</v>
      </c>
      <c r="I59" s="158">
        <v>0</v>
      </c>
      <c r="J59" s="150">
        <v>84000000</v>
      </c>
      <c r="K59" s="88" t="s">
        <v>398</v>
      </c>
      <c r="L59" s="156" t="s">
        <v>151</v>
      </c>
      <c r="M59" s="159" t="s">
        <v>401</v>
      </c>
      <c r="N59" s="23" t="s">
        <v>197</v>
      </c>
      <c r="O59" s="151" t="s">
        <v>963</v>
      </c>
      <c r="P59" s="156" t="s">
        <v>348</v>
      </c>
      <c r="Q59" s="53">
        <v>80111600</v>
      </c>
      <c r="R59" s="159" t="s">
        <v>203</v>
      </c>
      <c r="S59" s="159" t="str">
        <f>MID(PAA[[#This Row],[Meta Proyecto de Inversión]],1,4)</f>
        <v>8126</v>
      </c>
      <c r="T59" s="159" t="str">
        <f>MID(PAA[[#This Row],[Meta Proyecto de Inversión]],6,1)</f>
        <v>4</v>
      </c>
      <c r="U59" s="160" t="str">
        <f>IFERROR(VLOOKUP(N59,TD!$B$50:$F$54,2,0)," ")</f>
        <v>O230117</v>
      </c>
      <c r="V59" s="160" t="str">
        <f>IFERROR(VLOOKUP(N59,TD!$B$50:$F$54,3,0)," ")</f>
        <v>4599</v>
      </c>
      <c r="W59" s="160">
        <f>IFERROR(VLOOKUP(N59,TD!$B$50:$F$54,4,0)," ")</f>
        <v>20240207</v>
      </c>
      <c r="X59" s="159" t="s">
        <v>168</v>
      </c>
      <c r="Y59" s="160" t="str">
        <f>IFERROR(VLOOKUP(X59,TD!$J$51:$K$64,2,0)," ")</f>
        <v>Infraestructura Tecnológica   (Sistemas de Información y Tecnologia)</v>
      </c>
      <c r="Z59" s="161" t="str">
        <f>CONCATENATE(X59,"-",Y59)</f>
        <v>11-Infraestructura Tecnológica   (Sistemas de Información y Tecnologia)</v>
      </c>
      <c r="AA59" s="159" t="s">
        <v>228</v>
      </c>
      <c r="AB59" s="160" t="str">
        <f>IFERROR(VLOOKUP(AA59,TD!$N$51:$O$66,2,0)," ")</f>
        <v>Servicios tecnológicos</v>
      </c>
      <c r="AC59" s="161" t="str">
        <f>CONCATENATE(AA59,"_",AB59)</f>
        <v>007_Servicios tecnológicos</v>
      </c>
      <c r="AD59" s="161" t="str">
        <f>CONCATENATE(Z59," ",AC59)</f>
        <v>11-Infraestructura Tecnológica   (Sistemas de Información y Tecnologia) 007_Servicios tecnológicos</v>
      </c>
      <c r="AE59" s="160" t="str">
        <f>CONCATENATE(U59,V59,W59,X59,AA59)</f>
        <v>O23011745992024020711007</v>
      </c>
      <c r="AF59" s="160" t="str">
        <f>IFERROR(VLOOKUP(AD59,TD!$J$66:$K$89,2,0)," ")</f>
        <v>PM/0131/0111/45990070207</v>
      </c>
      <c r="AG59" s="118" t="s">
        <v>385</v>
      </c>
      <c r="AH59" s="159" t="s">
        <v>193</v>
      </c>
      <c r="AI59" s="162" t="str">
        <f>CONCATENATE(PAA[[#This Row],[Id Interno]],"-",PAA[[#This Row],[tipo de Contrato (TH talento humano - B/S bienes y/o servicios)]],"-",S59,"-",T59,"-",PAA[[#This Row],[Objeto de la contratación]])</f>
        <v>20260010-TH-8126-4-Prestar servicios profesionales para apoyar el seguimiento, control y gestión de los servicios  tecnológicos asociados a  la herramienta de mesa de ayuda, directorio activo y herramientas de gestión que le sean asignados por la UAE Cuerpo Oficial de Bomberos de Bogotá - TIC.</v>
      </c>
    </row>
    <row r="60" spans="2:35" ht="126" x14ac:dyDescent="0.35">
      <c r="B60" s="23">
        <v>20260011</v>
      </c>
      <c r="C60" s="121" t="s">
        <v>599</v>
      </c>
      <c r="D60" s="23" t="s">
        <v>105</v>
      </c>
      <c r="E60" s="23" t="s">
        <v>363</v>
      </c>
      <c r="F60" s="156" t="s">
        <v>144</v>
      </c>
      <c r="G60" s="157" t="s">
        <v>374</v>
      </c>
      <c r="H60" s="158">
        <v>10</v>
      </c>
      <c r="I60" s="158">
        <v>0</v>
      </c>
      <c r="J60" s="150">
        <v>78000000</v>
      </c>
      <c r="K60" s="88" t="s">
        <v>398</v>
      </c>
      <c r="L60" s="156" t="s">
        <v>151</v>
      </c>
      <c r="M60" s="159" t="s">
        <v>401</v>
      </c>
      <c r="N60" s="23" t="s">
        <v>197</v>
      </c>
      <c r="O60" s="151" t="s">
        <v>963</v>
      </c>
      <c r="P60" s="156" t="s">
        <v>348</v>
      </c>
      <c r="Q60" s="53">
        <v>80111600</v>
      </c>
      <c r="R60" s="159" t="s">
        <v>206</v>
      </c>
      <c r="S60" s="159" t="str">
        <f>MID(PAA[[#This Row],[Meta Proyecto de Inversión]],1,4)</f>
        <v>8126</v>
      </c>
      <c r="T60" s="159" t="str">
        <f>MID(PAA[[#This Row],[Meta Proyecto de Inversión]],6,1)</f>
        <v>7</v>
      </c>
      <c r="U60" s="160" t="str">
        <f>IFERROR(VLOOKUP(N60,TD!$B$50:$F$54,2,0)," ")</f>
        <v>O230117</v>
      </c>
      <c r="V60" s="160" t="str">
        <f>IFERROR(VLOOKUP(N60,TD!$B$50:$F$54,3,0)," ")</f>
        <v>4599</v>
      </c>
      <c r="W60" s="160">
        <f>IFERROR(VLOOKUP(N60,TD!$B$50:$F$54,4,0)," ")</f>
        <v>20240207</v>
      </c>
      <c r="X60" s="159" t="s">
        <v>168</v>
      </c>
      <c r="Y60" s="160" t="str">
        <f>IFERROR(VLOOKUP(X60,TD!$J$51:$K$64,2,0)," ")</f>
        <v>Infraestructura Tecnológica   (Sistemas de Información y Tecnologia)</v>
      </c>
      <c r="Z60" s="161" t="str">
        <f>CONCATENATE(X60,"-",Y60)</f>
        <v>11-Infraestructura Tecnológica   (Sistemas de Información y Tecnologia)</v>
      </c>
      <c r="AA60" s="159" t="s">
        <v>228</v>
      </c>
      <c r="AB60" s="160" t="str">
        <f>IFERROR(VLOOKUP(AA60,TD!$N$51:$O$66,2,0)," ")</f>
        <v>Servicios tecnológicos</v>
      </c>
      <c r="AC60" s="161" t="str">
        <f>CONCATENATE(AA60,"_",AB60)</f>
        <v>007_Servicios tecnológicos</v>
      </c>
      <c r="AD60" s="161" t="str">
        <f>CONCATENATE(Z60," ",AC60)</f>
        <v>11-Infraestructura Tecnológica   (Sistemas de Información y Tecnologia) 007_Servicios tecnológicos</v>
      </c>
      <c r="AE60" s="160" t="str">
        <f>CONCATENATE(U60,V60,W60,X60,AA60)</f>
        <v>O23011745992024020711007</v>
      </c>
      <c r="AF60" s="160" t="str">
        <f>IFERROR(VLOOKUP(AD60,TD!$J$66:$K$89,2,0)," ")</f>
        <v>PM/0131/0111/45990070207</v>
      </c>
      <c r="AG60" s="118" t="s">
        <v>385</v>
      </c>
      <c r="AH60" s="159" t="s">
        <v>193</v>
      </c>
      <c r="AI60" s="162" t="str">
        <f>CONCATENATE(PAA[[#This Row],[Id Interno]],"-",PAA[[#This Row],[tipo de Contrato (TH talento humano - B/S bienes y/o servicios)]],"-",S60,"-",T60,"-",PAA[[#This Row],[Objeto de la contratación]])</f>
        <v>20260011-TH-8126-7-Prestar los servicios profesionales como oficial de seguridad, gestionando la implementación y mejora del Sistema de gestión de Seguridad de la información (SGSI) de la Entidad a cargo del área de Tecnologías de la Información y las Comunicaciones de la U.A.E. Cuerpo Oficial de Bomberos Bogotá</v>
      </c>
    </row>
    <row r="61" spans="2:35" ht="126" x14ac:dyDescent="0.35">
      <c r="B61" s="23">
        <v>20260012</v>
      </c>
      <c r="C61" s="121" t="s">
        <v>600</v>
      </c>
      <c r="D61" s="23" t="s">
        <v>105</v>
      </c>
      <c r="E61" s="23" t="s">
        <v>363</v>
      </c>
      <c r="F61" s="156" t="s">
        <v>144</v>
      </c>
      <c r="G61" s="157" t="s">
        <v>373</v>
      </c>
      <c r="H61" s="158">
        <v>12</v>
      </c>
      <c r="I61" s="158">
        <v>0</v>
      </c>
      <c r="J61" s="150">
        <v>66000000</v>
      </c>
      <c r="K61" s="88" t="s">
        <v>398</v>
      </c>
      <c r="L61" s="156" t="s">
        <v>151</v>
      </c>
      <c r="M61" s="159" t="s">
        <v>401</v>
      </c>
      <c r="N61" s="23" t="s">
        <v>197</v>
      </c>
      <c r="O61" s="151" t="s">
        <v>963</v>
      </c>
      <c r="P61" s="156" t="s">
        <v>348</v>
      </c>
      <c r="Q61" s="53">
        <v>80111600</v>
      </c>
      <c r="R61" s="159" t="s">
        <v>205</v>
      </c>
      <c r="S61" s="159" t="str">
        <f>MID(PAA[[#This Row],[Meta Proyecto de Inversión]],1,4)</f>
        <v>8126</v>
      </c>
      <c r="T61" s="159" t="str">
        <f>MID(PAA[[#This Row],[Meta Proyecto de Inversión]],6,1)</f>
        <v>6</v>
      </c>
      <c r="U61" s="160" t="str">
        <f>IFERROR(VLOOKUP(N61,TD!$B$50:$F$54,2,0)," ")</f>
        <v>O230117</v>
      </c>
      <c r="V61" s="160" t="str">
        <f>IFERROR(VLOOKUP(N61,TD!$B$50:$F$54,3,0)," ")</f>
        <v>4599</v>
      </c>
      <c r="W61" s="160">
        <f>IFERROR(VLOOKUP(N61,TD!$B$50:$F$54,4,0)," ")</f>
        <v>20240207</v>
      </c>
      <c r="X61" s="159" t="s">
        <v>168</v>
      </c>
      <c r="Y61" s="160" t="str">
        <f>IFERROR(VLOOKUP(X61,TD!$J$51:$K$64,2,0)," ")</f>
        <v>Infraestructura Tecnológica   (Sistemas de Información y Tecnologia)</v>
      </c>
      <c r="Z61" s="161" t="str">
        <f>CONCATENATE(X61,"-",Y61)</f>
        <v>11-Infraestructura Tecnológica   (Sistemas de Información y Tecnologia)</v>
      </c>
      <c r="AA61" s="159" t="s">
        <v>228</v>
      </c>
      <c r="AB61" s="160" t="str">
        <f>IFERROR(VLOOKUP(AA61,TD!$N$51:$O$66,2,0)," ")</f>
        <v>Servicios tecnológicos</v>
      </c>
      <c r="AC61" s="161" t="str">
        <f>CONCATENATE(AA61,"_",AB61)</f>
        <v>007_Servicios tecnológicos</v>
      </c>
      <c r="AD61" s="161" t="str">
        <f>CONCATENATE(Z61," ",AC61)</f>
        <v>11-Infraestructura Tecnológica   (Sistemas de Información y Tecnologia) 007_Servicios tecnológicos</v>
      </c>
      <c r="AE61" s="160" t="str">
        <f>CONCATENATE(U61,V61,W61,X61,AA61)</f>
        <v>O23011745992024020711007</v>
      </c>
      <c r="AF61" s="160" t="str">
        <f>IFERROR(VLOOKUP(AD61,TD!$J$66:$K$89,2,0)," ")</f>
        <v>PM/0131/0111/45990070207</v>
      </c>
      <c r="AG61" s="118" t="s">
        <v>385</v>
      </c>
      <c r="AH61" s="159" t="s">
        <v>193</v>
      </c>
      <c r="AI61" s="162" t="str">
        <f>CONCATENATE(PAA[[#This Row],[Id Interno]],"-",PAA[[#This Row],[tipo de Contrato (TH talento humano - B/S bienes y/o servicios)]],"-",S61,"-",T61,"-",PAA[[#This Row],[Objeto de la contratación]])</f>
        <v>20260012-TH-8126-6-Prestar los servicios profesionales para el levantamiento de requerimientos, documentación y soporte de análisis de datos relacionados con los procesos y procedimientos a cargo del área de Tecnologías de la Información y las Comunicaciones de la U.A.E. Cuerpo Oficial de Bomberos Bogotá</v>
      </c>
    </row>
    <row r="62" spans="2:35" ht="56" x14ac:dyDescent="0.35">
      <c r="B62" s="23">
        <v>20260013</v>
      </c>
      <c r="C62" s="99" t="s">
        <v>601</v>
      </c>
      <c r="D62" s="23" t="s">
        <v>105</v>
      </c>
      <c r="E62" s="23" t="s">
        <v>363</v>
      </c>
      <c r="F62" s="156" t="s">
        <v>144</v>
      </c>
      <c r="G62" s="157" t="s">
        <v>374</v>
      </c>
      <c r="H62" s="158">
        <v>6</v>
      </c>
      <c r="I62" s="158">
        <v>0</v>
      </c>
      <c r="J62" s="150">
        <v>42000000</v>
      </c>
      <c r="K62" s="88" t="s">
        <v>398</v>
      </c>
      <c r="L62" s="156" t="s">
        <v>151</v>
      </c>
      <c r="M62" s="159" t="s">
        <v>401</v>
      </c>
      <c r="N62" s="23" t="s">
        <v>197</v>
      </c>
      <c r="O62" s="151" t="s">
        <v>963</v>
      </c>
      <c r="P62" s="156" t="s">
        <v>348</v>
      </c>
      <c r="Q62" s="53">
        <v>80111600</v>
      </c>
      <c r="R62" s="159" t="s">
        <v>203</v>
      </c>
      <c r="S62" s="159" t="str">
        <f>MID(PAA[[#This Row],[Meta Proyecto de Inversión]],1,4)</f>
        <v>8126</v>
      </c>
      <c r="T62" s="159" t="str">
        <f>MID(PAA[[#This Row],[Meta Proyecto de Inversión]],6,1)</f>
        <v>4</v>
      </c>
      <c r="U62" s="160" t="str">
        <f>IFERROR(VLOOKUP(N62,TD!$B$50:$F$54,2,0)," ")</f>
        <v>O230117</v>
      </c>
      <c r="V62" s="160" t="str">
        <f>IFERROR(VLOOKUP(N62,TD!$B$50:$F$54,3,0)," ")</f>
        <v>4599</v>
      </c>
      <c r="W62" s="160">
        <f>IFERROR(VLOOKUP(N62,TD!$B$50:$F$54,4,0)," ")</f>
        <v>20240207</v>
      </c>
      <c r="X62" s="159" t="s">
        <v>168</v>
      </c>
      <c r="Y62" s="160" t="str">
        <f>IFERROR(VLOOKUP(X62,TD!$J$51:$K$64,2,0)," ")</f>
        <v>Infraestructura Tecnológica   (Sistemas de Información y Tecnologia)</v>
      </c>
      <c r="Z62" s="161" t="str">
        <f>CONCATENATE(X62,"-",Y62)</f>
        <v>11-Infraestructura Tecnológica   (Sistemas de Información y Tecnologia)</v>
      </c>
      <c r="AA62" s="159" t="s">
        <v>228</v>
      </c>
      <c r="AB62" s="160" t="str">
        <f>IFERROR(VLOOKUP(AA62,TD!$N$51:$O$66,2,0)," ")</f>
        <v>Servicios tecnológicos</v>
      </c>
      <c r="AC62" s="161" t="str">
        <f>CONCATENATE(AA62,"_",AB62)</f>
        <v>007_Servicios tecnológicos</v>
      </c>
      <c r="AD62" s="161" t="str">
        <f>CONCATENATE(Z62," ",AC62)</f>
        <v>11-Infraestructura Tecnológica   (Sistemas de Información y Tecnologia) 007_Servicios tecnológicos</v>
      </c>
      <c r="AE62" s="160" t="str">
        <f>CONCATENATE(U62,V62,W62,X62,AA62)</f>
        <v>O23011745992024020711007</v>
      </c>
      <c r="AF62" s="160" t="str">
        <f>IFERROR(VLOOKUP(AD62,TD!$J$66:$K$89,2,0)," ")</f>
        <v>PM/0131/0111/45990070207</v>
      </c>
      <c r="AG62" s="118" t="s">
        <v>385</v>
      </c>
      <c r="AH62" s="159" t="s">
        <v>193</v>
      </c>
      <c r="AI62" s="162" t="str">
        <f>CONCATENATE(PAA[[#This Row],[Id Interno]],"-",PAA[[#This Row],[tipo de Contrato (TH talento humano - B/S bienes y/o servicios)]],"-",S62,"-",T62,"-",PAA[[#This Row],[Objeto de la contratación]])</f>
        <v>20260013-TH-8126-4-Prestar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63" spans="2:35" ht="42" x14ac:dyDescent="0.35">
      <c r="B63" s="23">
        <v>20260014</v>
      </c>
      <c r="C63" s="121" t="s">
        <v>602</v>
      </c>
      <c r="D63" s="23" t="s">
        <v>105</v>
      </c>
      <c r="E63" s="23" t="s">
        <v>363</v>
      </c>
      <c r="F63" s="156" t="s">
        <v>145</v>
      </c>
      <c r="G63" s="157" t="s">
        <v>373</v>
      </c>
      <c r="H63" s="158">
        <v>6</v>
      </c>
      <c r="I63" s="158">
        <v>0</v>
      </c>
      <c r="J63" s="150">
        <v>28200000</v>
      </c>
      <c r="K63" s="88" t="s">
        <v>398</v>
      </c>
      <c r="L63" s="156" t="s">
        <v>151</v>
      </c>
      <c r="M63" s="159" t="s">
        <v>401</v>
      </c>
      <c r="N63" s="23" t="s">
        <v>197</v>
      </c>
      <c r="O63" s="151" t="s">
        <v>963</v>
      </c>
      <c r="P63" s="156" t="s">
        <v>348</v>
      </c>
      <c r="Q63" s="53">
        <v>80111600</v>
      </c>
      <c r="R63" s="159" t="s">
        <v>203</v>
      </c>
      <c r="S63" s="159" t="str">
        <f>MID(PAA[[#This Row],[Meta Proyecto de Inversión]],1,4)</f>
        <v>8126</v>
      </c>
      <c r="T63" s="159" t="str">
        <f>MID(PAA[[#This Row],[Meta Proyecto de Inversión]],6,1)</f>
        <v>4</v>
      </c>
      <c r="U63" s="160" t="str">
        <f>IFERROR(VLOOKUP(N63,TD!$B$50:$F$54,2,0)," ")</f>
        <v>O230117</v>
      </c>
      <c r="V63" s="160" t="str">
        <f>IFERROR(VLOOKUP(N63,TD!$B$50:$F$54,3,0)," ")</f>
        <v>4599</v>
      </c>
      <c r="W63" s="160">
        <f>IFERROR(VLOOKUP(N63,TD!$B$50:$F$54,4,0)," ")</f>
        <v>20240207</v>
      </c>
      <c r="X63" s="159" t="s">
        <v>168</v>
      </c>
      <c r="Y63" s="160" t="str">
        <f>IFERROR(VLOOKUP(X63,TD!$J$51:$K$64,2,0)," ")</f>
        <v>Infraestructura Tecnológica   (Sistemas de Información y Tecnologia)</v>
      </c>
      <c r="Z63" s="161" t="str">
        <f>CONCATENATE(X63,"-",Y63)</f>
        <v>11-Infraestructura Tecnológica   (Sistemas de Información y Tecnologia)</v>
      </c>
      <c r="AA63" s="159" t="s">
        <v>228</v>
      </c>
      <c r="AB63" s="160" t="str">
        <f>IFERROR(VLOOKUP(AA63,TD!$N$51:$O$66,2,0)," ")</f>
        <v>Servicios tecnológicos</v>
      </c>
      <c r="AC63" s="161" t="str">
        <f>CONCATENATE(AA63,"_",AB63)</f>
        <v>007_Servicios tecnológicos</v>
      </c>
      <c r="AD63" s="161" t="str">
        <f>CONCATENATE(Z63," ",AC63)</f>
        <v>11-Infraestructura Tecnológica   (Sistemas de Información y Tecnologia) 007_Servicios tecnológicos</v>
      </c>
      <c r="AE63" s="160" t="str">
        <f>CONCATENATE(U63,V63,W63,X63,AA63)</f>
        <v>O23011745992024020711007</v>
      </c>
      <c r="AF63" s="160" t="str">
        <f>IFERROR(VLOOKUP(AD63,TD!$J$66:$K$89,2,0)," ")</f>
        <v>PM/0131/0111/45990070207</v>
      </c>
      <c r="AG63" s="118" t="s">
        <v>385</v>
      </c>
      <c r="AH63" s="159" t="s">
        <v>193</v>
      </c>
      <c r="AI63" s="162" t="str">
        <f>CONCATENATE(PAA[[#This Row],[Id Interno]],"-",PAA[[#This Row],[tipo de Contrato (TH talento humano - B/S bienes y/o servicios)]],"-",S63,"-",T63,"-",PAA[[#This Row],[Objeto de la contratación]])</f>
        <v>20260014-TH-8126-4-Prestar los servicios de apoyo a la gestión, en el proceso de  implementación, análisis, levantamiento de información, parametrización y testeo de las herramientas tecnológicas a cargo del área de Tecnologías de la Información y las Comunicaciones de la U.A.E. Cuerpo Oficial de Bomberos Bogotá</v>
      </c>
    </row>
    <row r="64" spans="2:35" ht="28" x14ac:dyDescent="0.35">
      <c r="B64" s="23">
        <v>20260015</v>
      </c>
      <c r="C64" s="99" t="s">
        <v>597</v>
      </c>
      <c r="D64" s="23" t="s">
        <v>105</v>
      </c>
      <c r="E64" s="23" t="s">
        <v>363</v>
      </c>
      <c r="F64" s="156" t="s">
        <v>145</v>
      </c>
      <c r="G64" s="157" t="s">
        <v>373</v>
      </c>
      <c r="H64" s="158">
        <v>11</v>
      </c>
      <c r="I64" s="158">
        <v>0</v>
      </c>
      <c r="J64" s="150">
        <v>44000000</v>
      </c>
      <c r="K64" s="88" t="s">
        <v>398</v>
      </c>
      <c r="L64" s="156" t="s">
        <v>151</v>
      </c>
      <c r="M64" s="159" t="s">
        <v>401</v>
      </c>
      <c r="N64" s="23" t="s">
        <v>197</v>
      </c>
      <c r="O64" s="151" t="s">
        <v>963</v>
      </c>
      <c r="P64" s="156" t="s">
        <v>348</v>
      </c>
      <c r="Q64" s="53">
        <v>80111600</v>
      </c>
      <c r="R64" s="159" t="s">
        <v>204</v>
      </c>
      <c r="S64" s="159" t="str">
        <f>MID(PAA[[#This Row],[Meta Proyecto de Inversión]],1,4)</f>
        <v>8126</v>
      </c>
      <c r="T64" s="159" t="str">
        <f>MID(PAA[[#This Row],[Meta Proyecto de Inversión]],6,1)</f>
        <v>5</v>
      </c>
      <c r="U64" s="160" t="str">
        <f>IFERROR(VLOOKUP(N64,TD!$B$50:$F$54,2,0)," ")</f>
        <v>O230117</v>
      </c>
      <c r="V64" s="160" t="str">
        <f>IFERROR(VLOOKUP(N64,TD!$B$50:$F$54,3,0)," ")</f>
        <v>4599</v>
      </c>
      <c r="W64" s="160">
        <f>IFERROR(VLOOKUP(N64,TD!$B$50:$F$54,4,0)," ")</f>
        <v>20240207</v>
      </c>
      <c r="X64" s="159" t="s">
        <v>168</v>
      </c>
      <c r="Y64" s="160" t="str">
        <f>IFERROR(VLOOKUP(X64,TD!$J$51:$K$64,2,0)," ")</f>
        <v>Infraestructura Tecnológica   (Sistemas de Información y Tecnologia)</v>
      </c>
      <c r="Z64" s="161" t="str">
        <f>CONCATENATE(X64,"-",Y64)</f>
        <v>11-Infraestructura Tecnológica   (Sistemas de Información y Tecnologia)</v>
      </c>
      <c r="AA64" s="159" t="s">
        <v>228</v>
      </c>
      <c r="AB64" s="160" t="str">
        <f>IFERROR(VLOOKUP(AA64,TD!$N$51:$O$66,2,0)," ")</f>
        <v>Servicios tecnológicos</v>
      </c>
      <c r="AC64" s="161" t="str">
        <f>CONCATENATE(AA64,"_",AB64)</f>
        <v>007_Servicios tecnológicos</v>
      </c>
      <c r="AD64" s="161" t="str">
        <f>CONCATENATE(Z64," ",AC64)</f>
        <v>11-Infraestructura Tecnológica   (Sistemas de Información y Tecnologia) 007_Servicios tecnológicos</v>
      </c>
      <c r="AE64" s="160" t="str">
        <f>CONCATENATE(U64,V64,W64,X64,AA64)</f>
        <v>O23011745992024020711007</v>
      </c>
      <c r="AF64" s="160" t="str">
        <f>IFERROR(VLOOKUP(AD64,TD!$J$66:$K$89,2,0)," ")</f>
        <v>PM/0131/0111/45990070207</v>
      </c>
      <c r="AG64" s="118" t="s">
        <v>385</v>
      </c>
      <c r="AH64" s="159" t="s">
        <v>193</v>
      </c>
      <c r="AI64" s="162" t="str">
        <f>CONCATENATE(PAA[[#This Row],[Id Interno]],"-",PAA[[#This Row],[tipo de Contrato (TH talento humano - B/S bienes y/o servicios)]],"-",S64,"-",T64,"-",PAA[[#This Row],[Objeto de la contratación]])</f>
        <v>20260015-TH-8126-5-Prestar los servicios de apoyo a la gestión para desarrollar actividades de soporte técnico nivel (1 y 2) que requiera el área de Tecnologías de la Información y las Comunicaciones de la U.A.E. Cuerpo Oficial de Bomberos Bogotá</v>
      </c>
    </row>
    <row r="65" spans="2:35" ht="112" x14ac:dyDescent="0.35">
      <c r="B65" s="23">
        <v>20260016</v>
      </c>
      <c r="C65" s="121" t="s">
        <v>603</v>
      </c>
      <c r="D65" s="23" t="s">
        <v>105</v>
      </c>
      <c r="E65" s="23" t="s">
        <v>363</v>
      </c>
      <c r="F65" s="156" t="s">
        <v>145</v>
      </c>
      <c r="G65" s="157" t="s">
        <v>373</v>
      </c>
      <c r="H65" s="158">
        <v>11</v>
      </c>
      <c r="I65" s="158">
        <v>0</v>
      </c>
      <c r="J65" s="150">
        <v>44000000</v>
      </c>
      <c r="K65" s="88" t="s">
        <v>398</v>
      </c>
      <c r="L65" s="156" t="s">
        <v>151</v>
      </c>
      <c r="M65" s="159" t="s">
        <v>401</v>
      </c>
      <c r="N65" s="23" t="s">
        <v>197</v>
      </c>
      <c r="O65" s="151" t="s">
        <v>963</v>
      </c>
      <c r="P65" s="156" t="s">
        <v>348</v>
      </c>
      <c r="Q65" s="53">
        <v>80111600</v>
      </c>
      <c r="R65" s="159" t="s">
        <v>205</v>
      </c>
      <c r="S65" s="159" t="str">
        <f>MID(PAA[[#This Row],[Meta Proyecto de Inversión]],1,4)</f>
        <v>8126</v>
      </c>
      <c r="T65" s="159" t="str">
        <f>MID(PAA[[#This Row],[Meta Proyecto de Inversión]],6,1)</f>
        <v>6</v>
      </c>
      <c r="U65" s="160" t="str">
        <f>IFERROR(VLOOKUP(N65,TD!$B$50:$F$54,2,0)," ")</f>
        <v>O230117</v>
      </c>
      <c r="V65" s="160" t="str">
        <f>IFERROR(VLOOKUP(N65,TD!$B$50:$F$54,3,0)," ")</f>
        <v>4599</v>
      </c>
      <c r="W65" s="160">
        <f>IFERROR(VLOOKUP(N65,TD!$B$50:$F$54,4,0)," ")</f>
        <v>20240207</v>
      </c>
      <c r="X65" s="159" t="s">
        <v>168</v>
      </c>
      <c r="Y65" s="160" t="str">
        <f>IFERROR(VLOOKUP(X65,TD!$J$51:$K$64,2,0)," ")</f>
        <v>Infraestructura Tecnológica   (Sistemas de Información y Tecnologia)</v>
      </c>
      <c r="Z65" s="161" t="str">
        <f>CONCATENATE(X65,"-",Y65)</f>
        <v>11-Infraestructura Tecnológica   (Sistemas de Información y Tecnologia)</v>
      </c>
      <c r="AA65" s="159" t="s">
        <v>228</v>
      </c>
      <c r="AB65" s="160" t="str">
        <f>IFERROR(VLOOKUP(AA65,TD!$N$51:$O$66,2,0)," ")</f>
        <v>Servicios tecnológicos</v>
      </c>
      <c r="AC65" s="161" t="str">
        <f>CONCATENATE(AA65,"_",AB65)</f>
        <v>007_Servicios tecnológicos</v>
      </c>
      <c r="AD65" s="161" t="str">
        <f>CONCATENATE(Z65," ",AC65)</f>
        <v>11-Infraestructura Tecnológica   (Sistemas de Información y Tecnologia) 007_Servicios tecnológicos</v>
      </c>
      <c r="AE65" s="160" t="str">
        <f>CONCATENATE(U65,V65,W65,X65,AA65)</f>
        <v>O23011745992024020711007</v>
      </c>
      <c r="AF65" s="160" t="str">
        <f>IFERROR(VLOOKUP(AD65,TD!$J$66:$K$89,2,0)," ")</f>
        <v>PM/0131/0111/45990070207</v>
      </c>
      <c r="AG65" s="118" t="s">
        <v>385</v>
      </c>
      <c r="AH65" s="159" t="s">
        <v>193</v>
      </c>
      <c r="AI65" s="162" t="str">
        <f>CONCATENATE(PAA[[#This Row],[Id Interno]],"-",PAA[[#This Row],[tipo de Contrato (TH talento humano - B/S bienes y/o servicios)]],"-",S65,"-",T65,"-",PAA[[#This Row],[Objeto de la contratación]])</f>
        <v>20260016-TH-8126-6-Prestar servicios de apoyo a la gestión en el desarrollo de actividades asistenciales administrativas, asociadas a los procesos y procedimientos  a cargo del área de Tecnologías de la Información y las Comunicaciones de la U.A.E. Cuerpo Oficial de Bomberos Bogotá.</v>
      </c>
    </row>
    <row r="66" spans="2:35" ht="56" x14ac:dyDescent="0.35">
      <c r="B66" s="23">
        <v>20260017</v>
      </c>
      <c r="C66" s="99" t="s">
        <v>604</v>
      </c>
      <c r="D66" s="23" t="s">
        <v>105</v>
      </c>
      <c r="E66" s="23" t="s">
        <v>363</v>
      </c>
      <c r="F66" s="156" t="s">
        <v>144</v>
      </c>
      <c r="G66" s="157" t="s">
        <v>373</v>
      </c>
      <c r="H66" s="158">
        <v>10</v>
      </c>
      <c r="I66" s="158">
        <v>0</v>
      </c>
      <c r="J66" s="127">
        <v>78000000</v>
      </c>
      <c r="K66" s="88" t="s">
        <v>398</v>
      </c>
      <c r="L66" s="156" t="s">
        <v>151</v>
      </c>
      <c r="M66" s="159" t="s">
        <v>401</v>
      </c>
      <c r="N66" s="23" t="s">
        <v>197</v>
      </c>
      <c r="O66" s="151" t="s">
        <v>963</v>
      </c>
      <c r="P66" s="156" t="s">
        <v>348</v>
      </c>
      <c r="Q66" s="53">
        <v>80111600</v>
      </c>
      <c r="R66" s="159" t="s">
        <v>205</v>
      </c>
      <c r="S66" s="159" t="str">
        <f>MID(PAA[[#This Row],[Meta Proyecto de Inversión]],1,4)</f>
        <v>8126</v>
      </c>
      <c r="T66" s="159" t="str">
        <f>MID(PAA[[#This Row],[Meta Proyecto de Inversión]],6,1)</f>
        <v>6</v>
      </c>
      <c r="U66" s="160" t="str">
        <f>IFERROR(VLOOKUP(N66,TD!$B$50:$F$54,2,0)," ")</f>
        <v>O230117</v>
      </c>
      <c r="V66" s="160" t="str">
        <f>IFERROR(VLOOKUP(N66,TD!$B$50:$F$54,3,0)," ")</f>
        <v>4599</v>
      </c>
      <c r="W66" s="160">
        <f>IFERROR(VLOOKUP(N66,TD!$B$50:$F$54,4,0)," ")</f>
        <v>20240207</v>
      </c>
      <c r="X66" s="159" t="s">
        <v>168</v>
      </c>
      <c r="Y66" s="160" t="str">
        <f>IFERROR(VLOOKUP(X66,TD!$J$51:$K$64,2,0)," ")</f>
        <v>Infraestructura Tecnológica   (Sistemas de Información y Tecnologia)</v>
      </c>
      <c r="Z66" s="161" t="str">
        <f>CONCATENATE(X66,"-",Y66)</f>
        <v>11-Infraestructura Tecnológica   (Sistemas de Información y Tecnologia)</v>
      </c>
      <c r="AA66" s="159" t="s">
        <v>228</v>
      </c>
      <c r="AB66" s="160" t="str">
        <f>IFERROR(VLOOKUP(AA66,TD!$N$51:$O$66,2,0)," ")</f>
        <v>Servicios tecnológicos</v>
      </c>
      <c r="AC66" s="161" t="str">
        <f>CONCATENATE(AA66,"_",AB66)</f>
        <v>007_Servicios tecnológicos</v>
      </c>
      <c r="AD66" s="161" t="str">
        <f>CONCATENATE(Z66," ",AC66)</f>
        <v>11-Infraestructura Tecnológica   (Sistemas de Información y Tecnologia) 007_Servicios tecnológicos</v>
      </c>
      <c r="AE66" s="160" t="str">
        <f>CONCATENATE(U66,V66,W66,X66,AA66)</f>
        <v>O23011745992024020711007</v>
      </c>
      <c r="AF66" s="160" t="str">
        <f>IFERROR(VLOOKUP(AD66,TD!$J$66:$K$89,2,0)," ")</f>
        <v>PM/0131/0111/45990070207</v>
      </c>
      <c r="AG66" s="118" t="s">
        <v>385</v>
      </c>
      <c r="AH66" s="159" t="s">
        <v>193</v>
      </c>
      <c r="AI66" s="162" t="str">
        <f>CONCATENATE(PAA[[#This Row],[Id Interno]],"-",PAA[[#This Row],[tipo de Contrato (TH talento humano - B/S bienes y/o servicios)]],"-",S66,"-",T66,"-",PAA[[#This Row],[Objeto de la contratación]])</f>
        <v>20260017-TH-8126-6-Prestar servicios profesionales para apoyar la implementación, seguimiento y fortalecimiento del Sistema de Gestión de Seguridad de la Información (SGSI) y de la política de Gobierno Digital de la UAE Cuerpo Oficial de Bomberos de Bogotá</v>
      </c>
    </row>
    <row r="67" spans="2:35" ht="28" x14ac:dyDescent="0.35">
      <c r="B67" s="23">
        <v>20260018</v>
      </c>
      <c r="C67" s="99" t="s">
        <v>605</v>
      </c>
      <c r="D67" s="23" t="s">
        <v>105</v>
      </c>
      <c r="E67" s="23" t="s">
        <v>363</v>
      </c>
      <c r="F67" s="156" t="s">
        <v>144</v>
      </c>
      <c r="G67" s="157" t="s">
        <v>373</v>
      </c>
      <c r="H67" s="158">
        <v>10</v>
      </c>
      <c r="I67" s="158">
        <v>0</v>
      </c>
      <c r="J67" s="127">
        <v>75000000</v>
      </c>
      <c r="K67" s="88" t="s">
        <v>398</v>
      </c>
      <c r="L67" s="156" t="s">
        <v>151</v>
      </c>
      <c r="M67" s="159" t="s">
        <v>401</v>
      </c>
      <c r="N67" s="23" t="s">
        <v>197</v>
      </c>
      <c r="O67" s="151" t="s">
        <v>963</v>
      </c>
      <c r="P67" s="156" t="s">
        <v>348</v>
      </c>
      <c r="Q67" s="53">
        <v>80111600</v>
      </c>
      <c r="R67" s="159" t="s">
        <v>204</v>
      </c>
      <c r="S67" s="159" t="str">
        <f>MID(PAA[[#This Row],[Meta Proyecto de Inversión]],1,4)</f>
        <v>8126</v>
      </c>
      <c r="T67" s="159" t="str">
        <f>MID(PAA[[#This Row],[Meta Proyecto de Inversión]],6,1)</f>
        <v>5</v>
      </c>
      <c r="U67" s="160" t="str">
        <f>IFERROR(VLOOKUP(N67,TD!$B$50:$F$54,2,0)," ")</f>
        <v>O230117</v>
      </c>
      <c r="V67" s="160" t="str">
        <f>IFERROR(VLOOKUP(N67,TD!$B$50:$F$54,3,0)," ")</f>
        <v>4599</v>
      </c>
      <c r="W67" s="160">
        <f>IFERROR(VLOOKUP(N67,TD!$B$50:$F$54,4,0)," ")</f>
        <v>20240207</v>
      </c>
      <c r="X67" s="159" t="s">
        <v>168</v>
      </c>
      <c r="Y67" s="160" t="str">
        <f>IFERROR(VLOOKUP(X67,TD!$J$51:$K$64,2,0)," ")</f>
        <v>Infraestructura Tecnológica   (Sistemas de Información y Tecnologia)</v>
      </c>
      <c r="Z67" s="161" t="str">
        <f>CONCATENATE(X67,"-",Y67)</f>
        <v>11-Infraestructura Tecnológica   (Sistemas de Información y Tecnologia)</v>
      </c>
      <c r="AA67" s="159" t="s">
        <v>228</v>
      </c>
      <c r="AB67" s="160" t="str">
        <f>IFERROR(VLOOKUP(AA67,TD!$N$51:$O$66,2,0)," ")</f>
        <v>Servicios tecnológicos</v>
      </c>
      <c r="AC67" s="161" t="str">
        <f>CONCATENATE(AA67,"_",AB67)</f>
        <v>007_Servicios tecnológicos</v>
      </c>
      <c r="AD67" s="161" t="str">
        <f>CONCATENATE(Z67," ",AC67)</f>
        <v>11-Infraestructura Tecnológica   (Sistemas de Información y Tecnologia) 007_Servicios tecnológicos</v>
      </c>
      <c r="AE67" s="160" t="str">
        <f>CONCATENATE(U67,V67,W67,X67,AA67)</f>
        <v>O23011745992024020711007</v>
      </c>
      <c r="AF67" s="160" t="str">
        <f>IFERROR(VLOOKUP(AD67,TD!$J$66:$K$89,2,0)," ")</f>
        <v>PM/0131/0111/45990070207</v>
      </c>
      <c r="AG67" s="118" t="s">
        <v>385</v>
      </c>
      <c r="AH67" s="159" t="s">
        <v>193</v>
      </c>
      <c r="AI67" s="162" t="str">
        <f>CONCATENATE(PAA[[#This Row],[Id Interno]],"-",PAA[[#This Row],[tipo de Contrato (TH talento humano - B/S bienes y/o servicios)]],"-",S67,"-",T67,"-",PAA[[#This Row],[Objeto de la contratación]])</f>
        <v>20260018-TH-8126-5-Prestar servicios profesionales, orientados al fortalecimiento de los procesos de planeación, estructuración, revisión, trámite y seguimiento de la gestión contractual y administrativa del área de tecnología de la información y las comunicaciones de la U.A.E Cuerpo Oficial de Bomberos de Bogotá D.C.</v>
      </c>
    </row>
    <row r="68" spans="2:35" ht="70" x14ac:dyDescent="0.35">
      <c r="B68" s="23">
        <v>20260019</v>
      </c>
      <c r="C68" s="99" t="s">
        <v>601</v>
      </c>
      <c r="D68" s="23" t="s">
        <v>105</v>
      </c>
      <c r="E68" s="23" t="s">
        <v>363</v>
      </c>
      <c r="F68" s="156" t="s">
        <v>144</v>
      </c>
      <c r="G68" s="157" t="s">
        <v>374</v>
      </c>
      <c r="H68" s="158">
        <v>6</v>
      </c>
      <c r="I68" s="158">
        <v>0</v>
      </c>
      <c r="J68" s="127">
        <v>42000000</v>
      </c>
      <c r="K68" s="88" t="s">
        <v>398</v>
      </c>
      <c r="L68" s="156" t="s">
        <v>151</v>
      </c>
      <c r="M68" s="159" t="s">
        <v>401</v>
      </c>
      <c r="N68" s="23" t="s">
        <v>197</v>
      </c>
      <c r="O68" s="151" t="s">
        <v>963</v>
      </c>
      <c r="P68" s="156" t="s">
        <v>348</v>
      </c>
      <c r="Q68" s="53">
        <v>80111600</v>
      </c>
      <c r="R68" s="159" t="s">
        <v>203</v>
      </c>
      <c r="S68" s="159" t="str">
        <f>MID(PAA[[#This Row],[Meta Proyecto de Inversión]],1,4)</f>
        <v>8126</v>
      </c>
      <c r="T68" s="159" t="str">
        <f>MID(PAA[[#This Row],[Meta Proyecto de Inversión]],6,1)</f>
        <v>4</v>
      </c>
      <c r="U68" s="160" t="str">
        <f>IFERROR(VLOOKUP(N68,TD!$B$50:$F$54,2,0)," ")</f>
        <v>O230117</v>
      </c>
      <c r="V68" s="160" t="str">
        <f>IFERROR(VLOOKUP(N68,TD!$B$50:$F$54,3,0)," ")</f>
        <v>4599</v>
      </c>
      <c r="W68" s="160">
        <f>IFERROR(VLOOKUP(N68,TD!$B$50:$F$54,4,0)," ")</f>
        <v>20240207</v>
      </c>
      <c r="X68" s="159" t="s">
        <v>168</v>
      </c>
      <c r="Y68" s="160" t="str">
        <f>IFERROR(VLOOKUP(X68,TD!$J$51:$K$64,2,0)," ")</f>
        <v>Infraestructura Tecnológica   (Sistemas de Información y Tecnologia)</v>
      </c>
      <c r="Z68" s="161" t="str">
        <f>CONCATENATE(X68,"-",Y68)</f>
        <v>11-Infraestructura Tecnológica   (Sistemas de Información y Tecnologia)</v>
      </c>
      <c r="AA68" s="159" t="s">
        <v>228</v>
      </c>
      <c r="AB68" s="160" t="str">
        <f>IFERROR(VLOOKUP(AA68,TD!$N$51:$O$66,2,0)," ")</f>
        <v>Servicios tecnológicos</v>
      </c>
      <c r="AC68" s="161" t="str">
        <f>CONCATENATE(AA68,"_",AB68)</f>
        <v>007_Servicios tecnológicos</v>
      </c>
      <c r="AD68" s="161" t="str">
        <f>CONCATENATE(Z68," ",AC68)</f>
        <v>11-Infraestructura Tecnológica   (Sistemas de Información y Tecnologia) 007_Servicios tecnológicos</v>
      </c>
      <c r="AE68" s="160" t="str">
        <f>CONCATENATE(U68,V68,W68,X68,AA68)</f>
        <v>O23011745992024020711007</v>
      </c>
      <c r="AF68" s="160" t="str">
        <f>IFERROR(VLOOKUP(AD68,TD!$J$66:$K$89,2,0)," ")</f>
        <v>PM/0131/0111/45990070207</v>
      </c>
      <c r="AG68" s="118" t="s">
        <v>385</v>
      </c>
      <c r="AH68" s="159" t="s">
        <v>193</v>
      </c>
      <c r="AI68" s="162" t="str">
        <f>CONCATENATE(PAA[[#This Row],[Id Interno]],"-",PAA[[#This Row],[tipo de Contrato (TH talento humano - B/S bienes y/o servicios)]],"-",S68,"-",T68,"-",PAA[[#This Row],[Objeto de la contratación]])</f>
        <v>20260019-TH-8126-4-Prestar los servicios profesionales en la implementación y mejoramiento de las herramientas tecnológicas de colaboración, creadas como soporte a los procesos y procedimientos misionales de la entidad, a cargo del área de Tecnologías de la Información y las Comunicaciones de la U.A.E. Cuerpo Oficial de Bomberos Bogotá</v>
      </c>
    </row>
    <row r="69" spans="2:35" ht="126" x14ac:dyDescent="0.35">
      <c r="B69" s="23">
        <v>20260020</v>
      </c>
      <c r="C69" s="99" t="s">
        <v>606</v>
      </c>
      <c r="D69" s="23" t="s">
        <v>105</v>
      </c>
      <c r="E69" s="23" t="s">
        <v>363</v>
      </c>
      <c r="F69" s="156" t="s">
        <v>144</v>
      </c>
      <c r="G69" s="157" t="s">
        <v>374</v>
      </c>
      <c r="H69" s="158">
        <v>10</v>
      </c>
      <c r="I69" s="158">
        <v>0</v>
      </c>
      <c r="J69" s="127">
        <v>78000000</v>
      </c>
      <c r="K69" s="88" t="s">
        <v>398</v>
      </c>
      <c r="L69" s="156" t="s">
        <v>151</v>
      </c>
      <c r="M69" s="159" t="s">
        <v>401</v>
      </c>
      <c r="N69" s="23" t="s">
        <v>197</v>
      </c>
      <c r="O69" s="151" t="s">
        <v>963</v>
      </c>
      <c r="P69" s="156" t="s">
        <v>348</v>
      </c>
      <c r="Q69" s="53">
        <v>80111600</v>
      </c>
      <c r="R69" s="159" t="s">
        <v>204</v>
      </c>
      <c r="S69" s="159" t="str">
        <f>MID(PAA[[#This Row],[Meta Proyecto de Inversión]],1,4)</f>
        <v>8126</v>
      </c>
      <c r="T69" s="159" t="str">
        <f>MID(PAA[[#This Row],[Meta Proyecto de Inversión]],6,1)</f>
        <v>5</v>
      </c>
      <c r="U69" s="160" t="str">
        <f>IFERROR(VLOOKUP(N69,TD!$B$50:$F$54,2,0)," ")</f>
        <v>O230117</v>
      </c>
      <c r="V69" s="160" t="str">
        <f>IFERROR(VLOOKUP(N69,TD!$B$50:$F$54,3,0)," ")</f>
        <v>4599</v>
      </c>
      <c r="W69" s="160">
        <f>IFERROR(VLOOKUP(N69,TD!$B$50:$F$54,4,0)," ")</f>
        <v>20240207</v>
      </c>
      <c r="X69" s="159" t="s">
        <v>168</v>
      </c>
      <c r="Y69" s="160" t="str">
        <f>IFERROR(VLOOKUP(X69,TD!$J$51:$K$64,2,0)," ")</f>
        <v>Infraestructura Tecnológica   (Sistemas de Información y Tecnologia)</v>
      </c>
      <c r="Z69" s="161" t="str">
        <f>CONCATENATE(X69,"-",Y69)</f>
        <v>11-Infraestructura Tecnológica   (Sistemas de Información y Tecnologia)</v>
      </c>
      <c r="AA69" s="159" t="s">
        <v>228</v>
      </c>
      <c r="AB69" s="160" t="str">
        <f>IFERROR(VLOOKUP(AA69,TD!$N$51:$O$66,2,0)," ")</f>
        <v>Servicios tecnológicos</v>
      </c>
      <c r="AC69" s="161" t="str">
        <f>CONCATENATE(AA69,"_",AB69)</f>
        <v>007_Servicios tecnológicos</v>
      </c>
      <c r="AD69" s="161" t="str">
        <f>CONCATENATE(Z69," ",AC69)</f>
        <v>11-Infraestructura Tecnológica   (Sistemas de Información y Tecnologia) 007_Servicios tecnológicos</v>
      </c>
      <c r="AE69" s="160" t="str">
        <f>CONCATENATE(U69,V69,W69,X69,AA69)</f>
        <v>O23011745992024020711007</v>
      </c>
      <c r="AF69" s="160" t="str">
        <f>IFERROR(VLOOKUP(AD69,TD!$J$66:$K$89,2,0)," ")</f>
        <v>PM/0131/0111/45990070207</v>
      </c>
      <c r="AG69" s="118" t="s">
        <v>385</v>
      </c>
      <c r="AH69" s="159" t="s">
        <v>193</v>
      </c>
      <c r="AI69" s="162" t="str">
        <f>CONCATENATE(PAA[[#This Row],[Id Interno]],"-",PAA[[#This Row],[tipo de Contrato (TH talento humano - B/S bienes y/o servicios)]],"-",S69,"-",T69,"-",PAA[[#This Row],[Objeto de la contratación]])</f>
        <v>20260020-TH-8126-5-Prestar servicios profesionales de apoyo a la administración y gestión de servidores físicos, virtuales y servicios en la nube de la entidad, garantizando su disponibilidad y seguridad operativa el marco de la infraestructura tecnológica de la entidad a cargo del área de Tecnologías de la Información y las Comunicaciones</v>
      </c>
    </row>
    <row r="70" spans="2:35" ht="70" x14ac:dyDescent="0.35">
      <c r="B70" s="23">
        <v>20260021</v>
      </c>
      <c r="C70" s="99" t="s">
        <v>607</v>
      </c>
      <c r="D70" s="23" t="s">
        <v>105</v>
      </c>
      <c r="E70" s="23" t="s">
        <v>363</v>
      </c>
      <c r="F70" s="156" t="s">
        <v>144</v>
      </c>
      <c r="G70" s="157" t="s">
        <v>374</v>
      </c>
      <c r="H70" s="158">
        <v>11</v>
      </c>
      <c r="I70" s="158">
        <v>0</v>
      </c>
      <c r="J70" s="127">
        <v>55000000</v>
      </c>
      <c r="K70" s="88" t="s">
        <v>398</v>
      </c>
      <c r="L70" s="156" t="s">
        <v>151</v>
      </c>
      <c r="M70" s="159" t="s">
        <v>401</v>
      </c>
      <c r="N70" s="23" t="s">
        <v>197</v>
      </c>
      <c r="O70" s="151" t="s">
        <v>963</v>
      </c>
      <c r="P70" s="156" t="s">
        <v>348</v>
      </c>
      <c r="Q70" s="53">
        <v>80111600</v>
      </c>
      <c r="R70" s="159" t="s">
        <v>206</v>
      </c>
      <c r="S70" s="159" t="str">
        <f>MID(PAA[[#This Row],[Meta Proyecto de Inversión]],1,4)</f>
        <v>8126</v>
      </c>
      <c r="T70" s="159" t="str">
        <f>MID(PAA[[#This Row],[Meta Proyecto de Inversión]],6,1)</f>
        <v>7</v>
      </c>
      <c r="U70" s="160" t="str">
        <f>IFERROR(VLOOKUP(N70,TD!$B$50:$F$54,2,0)," ")</f>
        <v>O230117</v>
      </c>
      <c r="V70" s="160" t="str">
        <f>IFERROR(VLOOKUP(N70,TD!$B$50:$F$54,3,0)," ")</f>
        <v>4599</v>
      </c>
      <c r="W70" s="160">
        <f>IFERROR(VLOOKUP(N70,TD!$B$50:$F$54,4,0)," ")</f>
        <v>20240207</v>
      </c>
      <c r="X70" s="159" t="s">
        <v>168</v>
      </c>
      <c r="Y70" s="160" t="str">
        <f>IFERROR(VLOOKUP(X70,TD!$J$51:$K$64,2,0)," ")</f>
        <v>Infraestructura Tecnológica   (Sistemas de Información y Tecnologia)</v>
      </c>
      <c r="Z70" s="161" t="str">
        <f>CONCATENATE(X70,"-",Y70)</f>
        <v>11-Infraestructura Tecnológica   (Sistemas de Información y Tecnologia)</v>
      </c>
      <c r="AA70" s="159" t="s">
        <v>228</v>
      </c>
      <c r="AB70" s="160" t="str">
        <f>IFERROR(VLOOKUP(AA70,TD!$N$51:$O$66,2,0)," ")</f>
        <v>Servicios tecnológicos</v>
      </c>
      <c r="AC70" s="161" t="str">
        <f>CONCATENATE(AA70,"_",AB70)</f>
        <v>007_Servicios tecnológicos</v>
      </c>
      <c r="AD70" s="161" t="str">
        <f>CONCATENATE(Z70," ",AC70)</f>
        <v>11-Infraestructura Tecnológica   (Sistemas de Información y Tecnologia) 007_Servicios tecnológicos</v>
      </c>
      <c r="AE70" s="160" t="str">
        <f>CONCATENATE(U70,V70,W70,X70,AA70)</f>
        <v>O23011745992024020711007</v>
      </c>
      <c r="AF70" s="160" t="str">
        <f>IFERROR(VLOOKUP(AD70,TD!$J$66:$K$89,2,0)," ")</f>
        <v>PM/0131/0111/45990070207</v>
      </c>
      <c r="AG70" s="118" t="s">
        <v>385</v>
      </c>
      <c r="AH70" s="159" t="s">
        <v>193</v>
      </c>
      <c r="AI70" s="162" t="str">
        <f>CONCATENATE(PAA[[#This Row],[Id Interno]],"-",PAA[[#This Row],[tipo de Contrato (TH talento humano - B/S bienes y/o servicios)]],"-",S70,"-",T70,"-",PAA[[#This Row],[Objeto de la contratación]])</f>
        <v>20260021-TH-8126-7-Prestar servicios profesionales orientados a la gestión, administración y monitoreo de la seguridad perimetral y de acceso a la información institucional, en el marco de la infraestructura tecnológica de la entidad a cargo del área de Tecnologías de la Información y las Comunicaciones.</v>
      </c>
    </row>
    <row r="71" spans="2:35" ht="70" x14ac:dyDescent="0.35">
      <c r="B71" s="23">
        <v>20260022</v>
      </c>
      <c r="C71" s="99" t="s">
        <v>608</v>
      </c>
      <c r="D71" s="23" t="s">
        <v>105</v>
      </c>
      <c r="E71" s="23" t="s">
        <v>363</v>
      </c>
      <c r="F71" s="156" t="s">
        <v>144</v>
      </c>
      <c r="G71" s="157" t="s">
        <v>374</v>
      </c>
      <c r="H71" s="158">
        <v>6</v>
      </c>
      <c r="I71" s="158">
        <v>0</v>
      </c>
      <c r="J71" s="127">
        <v>30000000</v>
      </c>
      <c r="K71" s="88" t="s">
        <v>398</v>
      </c>
      <c r="L71" s="156" t="s">
        <v>151</v>
      </c>
      <c r="M71" s="159" t="s">
        <v>401</v>
      </c>
      <c r="N71" s="23" t="s">
        <v>197</v>
      </c>
      <c r="O71" s="151" t="s">
        <v>963</v>
      </c>
      <c r="P71" s="156" t="s">
        <v>348</v>
      </c>
      <c r="Q71" s="53">
        <v>80111600</v>
      </c>
      <c r="R71" s="159" t="s">
        <v>203</v>
      </c>
      <c r="S71" s="159" t="str">
        <f>MID(PAA[[#This Row],[Meta Proyecto de Inversión]],1,4)</f>
        <v>8126</v>
      </c>
      <c r="T71" s="159" t="str">
        <f>MID(PAA[[#This Row],[Meta Proyecto de Inversión]],6,1)</f>
        <v>4</v>
      </c>
      <c r="U71" s="160" t="str">
        <f>IFERROR(VLOOKUP(N71,TD!$B$50:$F$54,2,0)," ")</f>
        <v>O230117</v>
      </c>
      <c r="V71" s="160" t="str">
        <f>IFERROR(VLOOKUP(N71,TD!$B$50:$F$54,3,0)," ")</f>
        <v>4599</v>
      </c>
      <c r="W71" s="160">
        <f>IFERROR(VLOOKUP(N71,TD!$B$50:$F$54,4,0)," ")</f>
        <v>20240207</v>
      </c>
      <c r="X71" s="159" t="s">
        <v>168</v>
      </c>
      <c r="Y71" s="160" t="str">
        <f>IFERROR(VLOOKUP(X71,TD!$J$51:$K$64,2,0)," ")</f>
        <v>Infraestructura Tecnológica   (Sistemas de Información y Tecnologia)</v>
      </c>
      <c r="Z71" s="161" t="str">
        <f>CONCATENATE(X71,"-",Y71)</f>
        <v>11-Infraestructura Tecnológica   (Sistemas de Información y Tecnologia)</v>
      </c>
      <c r="AA71" s="159" t="s">
        <v>228</v>
      </c>
      <c r="AB71" s="160" t="str">
        <f>IFERROR(VLOOKUP(AA71,TD!$N$51:$O$66,2,0)," ")</f>
        <v>Servicios tecnológicos</v>
      </c>
      <c r="AC71" s="161" t="str">
        <f>CONCATENATE(AA71,"_",AB71)</f>
        <v>007_Servicios tecnológicos</v>
      </c>
      <c r="AD71" s="161" t="str">
        <f>CONCATENATE(Z71," ",AC71)</f>
        <v>11-Infraestructura Tecnológica   (Sistemas de Información y Tecnologia) 007_Servicios tecnológicos</v>
      </c>
      <c r="AE71" s="160" t="str">
        <f>CONCATENATE(U71,V71,W71,X71,AA71)</f>
        <v>O23011745992024020711007</v>
      </c>
      <c r="AF71" s="160" t="str">
        <f>IFERROR(VLOOKUP(AD71,TD!$J$66:$K$89,2,0)," ")</f>
        <v>PM/0131/0111/45990070207</v>
      </c>
      <c r="AG71" s="118" t="s">
        <v>385</v>
      </c>
      <c r="AH71" s="159" t="s">
        <v>193</v>
      </c>
      <c r="AI71" s="162" t="str">
        <f>CONCATENATE(PAA[[#This Row],[Id Interno]],"-",PAA[[#This Row],[tipo de Contrato (TH talento humano - B/S bienes y/o servicios)]],"-",S71,"-",T71,"-",PAA[[#This Row],[Objeto de la contratación]])</f>
        <v>20260022-TH-8126-4-Prestar los servicios profesionales en apoyo a la estructuración e implementación, de las herramientas misionales, creadas como soporte a los procesos y procedimientos de la U.A.E. Cuerpo Oficial de Bomberos de Bogotá.</v>
      </c>
    </row>
    <row r="72" spans="2:35" ht="98" x14ac:dyDescent="0.35">
      <c r="B72" s="23">
        <v>20260023</v>
      </c>
      <c r="C72" s="99" t="s">
        <v>609</v>
      </c>
      <c r="D72" s="23" t="s">
        <v>105</v>
      </c>
      <c r="E72" s="23" t="s">
        <v>363</v>
      </c>
      <c r="F72" s="156" t="s">
        <v>145</v>
      </c>
      <c r="G72" s="157" t="s">
        <v>373</v>
      </c>
      <c r="H72" s="158">
        <v>10</v>
      </c>
      <c r="I72" s="158">
        <v>0</v>
      </c>
      <c r="J72" s="127">
        <v>40000000</v>
      </c>
      <c r="K72" s="88" t="s">
        <v>398</v>
      </c>
      <c r="L72" s="156" t="s">
        <v>151</v>
      </c>
      <c r="M72" s="159" t="s">
        <v>401</v>
      </c>
      <c r="N72" s="23" t="s">
        <v>197</v>
      </c>
      <c r="O72" s="151" t="s">
        <v>963</v>
      </c>
      <c r="P72" s="156" t="s">
        <v>348</v>
      </c>
      <c r="Q72" s="53">
        <v>80111600</v>
      </c>
      <c r="R72" s="159" t="s">
        <v>205</v>
      </c>
      <c r="S72" s="159" t="str">
        <f>MID(PAA[[#This Row],[Meta Proyecto de Inversión]],1,4)</f>
        <v>8126</v>
      </c>
      <c r="T72" s="159" t="str">
        <f>MID(PAA[[#This Row],[Meta Proyecto de Inversión]],6,1)</f>
        <v>6</v>
      </c>
      <c r="U72" s="160" t="str">
        <f>IFERROR(VLOOKUP(N72,TD!$B$50:$F$54,2,0)," ")</f>
        <v>O230117</v>
      </c>
      <c r="V72" s="160" t="str">
        <f>IFERROR(VLOOKUP(N72,TD!$B$50:$F$54,3,0)," ")</f>
        <v>4599</v>
      </c>
      <c r="W72" s="160">
        <f>IFERROR(VLOOKUP(N72,TD!$B$50:$F$54,4,0)," ")</f>
        <v>20240207</v>
      </c>
      <c r="X72" s="159" t="s">
        <v>168</v>
      </c>
      <c r="Y72" s="160" t="str">
        <f>IFERROR(VLOOKUP(X72,TD!$J$51:$K$64,2,0)," ")</f>
        <v>Infraestructura Tecnológica   (Sistemas de Información y Tecnologia)</v>
      </c>
      <c r="Z72" s="161" t="str">
        <f>CONCATENATE(X72,"-",Y72)</f>
        <v>11-Infraestructura Tecnológica   (Sistemas de Información y Tecnologia)</v>
      </c>
      <c r="AA72" s="159" t="s">
        <v>228</v>
      </c>
      <c r="AB72" s="160" t="str">
        <f>IFERROR(VLOOKUP(AA72,TD!$N$51:$O$66,2,0)," ")</f>
        <v>Servicios tecnológicos</v>
      </c>
      <c r="AC72" s="161" t="str">
        <f>CONCATENATE(AA72,"_",AB72)</f>
        <v>007_Servicios tecnológicos</v>
      </c>
      <c r="AD72" s="161" t="str">
        <f>CONCATENATE(Z72," ",AC72)</f>
        <v>11-Infraestructura Tecnológica   (Sistemas de Información y Tecnologia) 007_Servicios tecnológicos</v>
      </c>
      <c r="AE72" s="160" t="str">
        <f>CONCATENATE(U72,V72,W72,X72,AA72)</f>
        <v>O23011745992024020711007</v>
      </c>
      <c r="AF72" s="160" t="str">
        <f>IFERROR(VLOOKUP(AD72,TD!$J$66:$K$89,2,0)," ")</f>
        <v>PM/0131/0111/45990070207</v>
      </c>
      <c r="AG72" s="118" t="s">
        <v>385</v>
      </c>
      <c r="AH72" s="159" t="s">
        <v>193</v>
      </c>
      <c r="AI72" s="162" t="str">
        <f>CONCATENATE(PAA[[#This Row],[Id Interno]],"-",PAA[[#This Row],[tipo de Contrato (TH talento humano - B/S bienes y/o servicios)]],"-",S72,"-",T72,"-",PAA[[#This Row],[Objeto de la contratación]])</f>
        <v>20260023-TH-8126-6-Prestar los servicios de apoyo a la gestión en la elaboración de contenido audiovisual  a través de los diferentes medios de comunicación de la entidad en temas propios o a cargo de la dirección de Tecnologías de la Información y las Comunicaciones de la U.A.E. Cuerpo Oficial de Bomberos Bogotá.</v>
      </c>
    </row>
    <row r="73" spans="2:35" ht="84" x14ac:dyDescent="0.35">
      <c r="B73" s="23">
        <v>20260024</v>
      </c>
      <c r="C73" s="99" t="s">
        <v>610</v>
      </c>
      <c r="D73" s="23" t="s">
        <v>105</v>
      </c>
      <c r="E73" s="23" t="s">
        <v>363</v>
      </c>
      <c r="F73" s="156" t="s">
        <v>144</v>
      </c>
      <c r="G73" s="157" t="s">
        <v>374</v>
      </c>
      <c r="H73" s="158">
        <v>6</v>
      </c>
      <c r="I73" s="158">
        <v>0</v>
      </c>
      <c r="J73" s="127">
        <v>60000000</v>
      </c>
      <c r="K73" s="88" t="s">
        <v>398</v>
      </c>
      <c r="L73" s="156" t="s">
        <v>151</v>
      </c>
      <c r="M73" s="159" t="s">
        <v>401</v>
      </c>
      <c r="N73" s="23" t="s">
        <v>197</v>
      </c>
      <c r="O73" s="151" t="s">
        <v>963</v>
      </c>
      <c r="P73" s="156" t="s">
        <v>348</v>
      </c>
      <c r="Q73" s="53">
        <v>80111600</v>
      </c>
      <c r="R73" s="159" t="s">
        <v>203</v>
      </c>
      <c r="S73" s="159" t="str">
        <f>MID(PAA[[#This Row],[Meta Proyecto de Inversión]],1,4)</f>
        <v>8126</v>
      </c>
      <c r="T73" s="159" t="str">
        <f>MID(PAA[[#This Row],[Meta Proyecto de Inversión]],6,1)</f>
        <v>4</v>
      </c>
      <c r="U73" s="160" t="str">
        <f>IFERROR(VLOOKUP(N73,TD!$B$50:$F$54,2,0)," ")</f>
        <v>O230117</v>
      </c>
      <c r="V73" s="160" t="str">
        <f>IFERROR(VLOOKUP(N73,TD!$B$50:$F$54,3,0)," ")</f>
        <v>4599</v>
      </c>
      <c r="W73" s="160">
        <f>IFERROR(VLOOKUP(N73,TD!$B$50:$F$54,4,0)," ")</f>
        <v>20240207</v>
      </c>
      <c r="X73" s="159" t="s">
        <v>168</v>
      </c>
      <c r="Y73" s="160" t="str">
        <f>IFERROR(VLOOKUP(X73,TD!$J$51:$K$64,2,0)," ")</f>
        <v>Infraestructura Tecnológica   (Sistemas de Información y Tecnologia)</v>
      </c>
      <c r="Z73" s="161" t="str">
        <f>CONCATENATE(X73,"-",Y73)</f>
        <v>11-Infraestructura Tecnológica   (Sistemas de Información y Tecnologia)</v>
      </c>
      <c r="AA73" s="159" t="s">
        <v>228</v>
      </c>
      <c r="AB73" s="160" t="str">
        <f>IFERROR(VLOOKUP(AA73,TD!$N$51:$O$66,2,0)," ")</f>
        <v>Servicios tecnológicos</v>
      </c>
      <c r="AC73" s="161" t="str">
        <f>CONCATENATE(AA73,"_",AB73)</f>
        <v>007_Servicios tecnológicos</v>
      </c>
      <c r="AD73" s="161" t="str">
        <f>CONCATENATE(Z73," ",AC73)</f>
        <v>11-Infraestructura Tecnológica   (Sistemas de Información y Tecnologia) 007_Servicios tecnológicos</v>
      </c>
      <c r="AE73" s="160" t="str">
        <f>CONCATENATE(U73,V73,W73,X73,AA73)</f>
        <v>O23011745992024020711007</v>
      </c>
      <c r="AF73" s="160" t="str">
        <f>IFERROR(VLOOKUP(AD73,TD!$J$66:$K$89,2,0)," ")</f>
        <v>PM/0131/0111/45990070207</v>
      </c>
      <c r="AG73" s="118" t="s">
        <v>385</v>
      </c>
      <c r="AH73" s="159" t="s">
        <v>193</v>
      </c>
      <c r="AI73" s="162" t="str">
        <f>CONCATENATE(PAA[[#This Row],[Id Interno]],"-",PAA[[#This Row],[tipo de Contrato (TH talento humano - B/S bienes y/o servicios)]],"-",S73,"-",T73,"-",PAA[[#This Row],[Objeto de la contratación]])</f>
        <v>20260024-TH-8126-4-Prestar los servicios profesionales en la implementación, de las herramientas misionales, creadas como soporte a los procesos y procedimientos de la U.A.E. Cuerpo Oficial de Bomberos de Bogotá.</v>
      </c>
    </row>
    <row r="74" spans="2:35" ht="84" x14ac:dyDescent="0.35">
      <c r="B74" s="23">
        <v>20260025</v>
      </c>
      <c r="C74" s="99" t="s">
        <v>595</v>
      </c>
      <c r="D74" s="23" t="s">
        <v>105</v>
      </c>
      <c r="E74" s="23" t="s">
        <v>363</v>
      </c>
      <c r="F74" s="156" t="s">
        <v>144</v>
      </c>
      <c r="G74" s="157" t="s">
        <v>373</v>
      </c>
      <c r="H74" s="158">
        <v>10</v>
      </c>
      <c r="I74" s="158">
        <v>0</v>
      </c>
      <c r="J74" s="127">
        <v>78000000</v>
      </c>
      <c r="K74" s="88" t="s">
        <v>398</v>
      </c>
      <c r="L74" s="156" t="s">
        <v>151</v>
      </c>
      <c r="M74" s="159" t="s">
        <v>401</v>
      </c>
      <c r="N74" s="23" t="s">
        <v>197</v>
      </c>
      <c r="O74" s="151" t="s">
        <v>963</v>
      </c>
      <c r="P74" s="156" t="s">
        <v>348</v>
      </c>
      <c r="Q74" s="53">
        <v>80111600</v>
      </c>
      <c r="R74" s="159" t="s">
        <v>204</v>
      </c>
      <c r="S74" s="159" t="str">
        <f>MID(PAA[[#This Row],[Meta Proyecto de Inversión]],1,4)</f>
        <v>8126</v>
      </c>
      <c r="T74" s="159" t="str">
        <f>MID(PAA[[#This Row],[Meta Proyecto de Inversión]],6,1)</f>
        <v>5</v>
      </c>
      <c r="U74" s="160" t="str">
        <f>IFERROR(VLOOKUP(N74,TD!$B$50:$F$54,2,0)," ")</f>
        <v>O230117</v>
      </c>
      <c r="V74" s="160" t="str">
        <f>IFERROR(VLOOKUP(N74,TD!$B$50:$F$54,3,0)," ")</f>
        <v>4599</v>
      </c>
      <c r="W74" s="160">
        <f>IFERROR(VLOOKUP(N74,TD!$B$50:$F$54,4,0)," ")</f>
        <v>20240207</v>
      </c>
      <c r="X74" s="159" t="s">
        <v>168</v>
      </c>
      <c r="Y74" s="160" t="str">
        <f>IFERROR(VLOOKUP(X74,TD!$J$51:$K$64,2,0)," ")</f>
        <v>Infraestructura Tecnológica   (Sistemas de Información y Tecnologia)</v>
      </c>
      <c r="Z74" s="161" t="str">
        <f>CONCATENATE(X74,"-",Y74)</f>
        <v>11-Infraestructura Tecnológica   (Sistemas de Información y Tecnologia)</v>
      </c>
      <c r="AA74" s="159" t="s">
        <v>228</v>
      </c>
      <c r="AB74" s="160" t="str">
        <f>IFERROR(VLOOKUP(AA74,TD!$N$51:$O$66,2,0)," ")</f>
        <v>Servicios tecnológicos</v>
      </c>
      <c r="AC74" s="161" t="str">
        <f>CONCATENATE(AA74,"_",AB74)</f>
        <v>007_Servicios tecnológicos</v>
      </c>
      <c r="AD74" s="161" t="str">
        <f>CONCATENATE(Z74," ",AC74)</f>
        <v>11-Infraestructura Tecnológica   (Sistemas de Información y Tecnologia) 007_Servicios tecnológicos</v>
      </c>
      <c r="AE74" s="160" t="str">
        <f>CONCATENATE(U74,V74,W74,X74,AA74)</f>
        <v>O23011745992024020711007</v>
      </c>
      <c r="AF74" s="160" t="str">
        <f>IFERROR(VLOOKUP(AD74,TD!$J$66:$K$89,2,0)," ")</f>
        <v>PM/0131/0111/45990070207</v>
      </c>
      <c r="AG74" s="118" t="s">
        <v>385</v>
      </c>
      <c r="AH74" s="159" t="s">
        <v>193</v>
      </c>
      <c r="AI74" s="162" t="str">
        <f>CONCATENATE(PAA[[#This Row],[Id Interno]],"-",PAA[[#This Row],[tipo de Contrato (TH talento humano - B/S bienes y/o servicios)]],"-",S74,"-",T74,"-",PAA[[#This Row],[Objeto de la contratación]])</f>
        <v>20260025-TH-8126-5-Prestar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75" spans="2:35" ht="126" x14ac:dyDescent="0.35">
      <c r="B75" s="23">
        <v>20260026</v>
      </c>
      <c r="C75" s="99" t="s">
        <v>611</v>
      </c>
      <c r="D75" s="23" t="s">
        <v>105</v>
      </c>
      <c r="E75" s="23" t="s">
        <v>363</v>
      </c>
      <c r="F75" s="156" t="s">
        <v>144</v>
      </c>
      <c r="G75" s="157" t="s">
        <v>373</v>
      </c>
      <c r="H75" s="158">
        <v>10</v>
      </c>
      <c r="I75" s="158">
        <v>0</v>
      </c>
      <c r="J75" s="127">
        <v>74500000</v>
      </c>
      <c r="K75" s="88" t="s">
        <v>398</v>
      </c>
      <c r="L75" s="156" t="s">
        <v>151</v>
      </c>
      <c r="M75" s="159" t="s">
        <v>401</v>
      </c>
      <c r="N75" s="23" t="s">
        <v>197</v>
      </c>
      <c r="O75" s="151" t="s">
        <v>963</v>
      </c>
      <c r="P75" s="156" t="s">
        <v>348</v>
      </c>
      <c r="Q75" s="53">
        <v>80111600</v>
      </c>
      <c r="R75" s="159" t="s">
        <v>204</v>
      </c>
      <c r="S75" s="159" t="str">
        <f>MID(PAA[[#This Row],[Meta Proyecto de Inversión]],1,4)</f>
        <v>8126</v>
      </c>
      <c r="T75" s="159" t="str">
        <f>MID(PAA[[#This Row],[Meta Proyecto de Inversión]],6,1)</f>
        <v>5</v>
      </c>
      <c r="U75" s="160" t="str">
        <f>IFERROR(VLOOKUP(N75,TD!$B$50:$F$54,2,0)," ")</f>
        <v>O230117</v>
      </c>
      <c r="V75" s="160" t="str">
        <f>IFERROR(VLOOKUP(N75,TD!$B$50:$F$54,3,0)," ")</f>
        <v>4599</v>
      </c>
      <c r="W75" s="160">
        <f>IFERROR(VLOOKUP(N75,TD!$B$50:$F$54,4,0)," ")</f>
        <v>20240207</v>
      </c>
      <c r="X75" s="159" t="s">
        <v>168</v>
      </c>
      <c r="Y75" s="160" t="str">
        <f>IFERROR(VLOOKUP(X75,TD!$J$51:$K$64,2,0)," ")</f>
        <v>Infraestructura Tecnológica   (Sistemas de Información y Tecnologia)</v>
      </c>
      <c r="Z75" s="161" t="str">
        <f>CONCATENATE(X75,"-",Y75)</f>
        <v>11-Infraestructura Tecnológica   (Sistemas de Información y Tecnologia)</v>
      </c>
      <c r="AA75" s="159" t="s">
        <v>228</v>
      </c>
      <c r="AB75" s="160" t="str">
        <f>IFERROR(VLOOKUP(AA75,TD!$N$51:$O$66,2,0)," ")</f>
        <v>Servicios tecnológicos</v>
      </c>
      <c r="AC75" s="161" t="str">
        <f>CONCATENATE(AA75,"_",AB75)</f>
        <v>007_Servicios tecnológicos</v>
      </c>
      <c r="AD75" s="161" t="str">
        <f>CONCATENATE(Z75," ",AC75)</f>
        <v>11-Infraestructura Tecnológica   (Sistemas de Información y Tecnologia) 007_Servicios tecnológicos</v>
      </c>
      <c r="AE75" s="160" t="str">
        <f>CONCATENATE(U75,V75,W75,X75,AA75)</f>
        <v>O23011745992024020711007</v>
      </c>
      <c r="AF75" s="160" t="str">
        <f>IFERROR(VLOOKUP(AD75,TD!$J$66:$K$89,2,0)," ")</f>
        <v>PM/0131/0111/45990070207</v>
      </c>
      <c r="AG75" s="118" t="s">
        <v>385</v>
      </c>
      <c r="AH75" s="159" t="s">
        <v>193</v>
      </c>
      <c r="AI75" s="162" t="str">
        <f>CONCATENATE(PAA[[#This Row],[Id Interno]],"-",PAA[[#This Row],[tipo de Contrato (TH talento humano - B/S bienes y/o servicios)]],"-",S75,"-",T75,"-",PAA[[#This Row],[Objeto de la contratación]])</f>
        <v>20260026-TH-8126-5-Prestar servicios profesionales para apoyar la planeación, ejecución, seguimiento y control del componente financiero y presupuestal de los recursos a cargo del área de Tecnologías de la Información y las Comunicaciones de la U.A.E. Cuerpo Oficial de Bomberos Bogotá, a efectos de garantizar una adecuada gestión contable.</v>
      </c>
    </row>
    <row r="76" spans="2:35" ht="70" x14ac:dyDescent="0.35">
      <c r="B76" s="23">
        <v>20260027</v>
      </c>
      <c r="C76" s="99" t="s">
        <v>612</v>
      </c>
      <c r="D76" s="23" t="s">
        <v>105</v>
      </c>
      <c r="E76" s="23" t="s">
        <v>363</v>
      </c>
      <c r="F76" s="156" t="s">
        <v>144</v>
      </c>
      <c r="G76" s="157" t="s">
        <v>373</v>
      </c>
      <c r="H76" s="158">
        <v>11</v>
      </c>
      <c r="I76" s="158">
        <v>0</v>
      </c>
      <c r="J76" s="127">
        <v>92400000</v>
      </c>
      <c r="K76" s="88" t="s">
        <v>398</v>
      </c>
      <c r="L76" s="156" t="s">
        <v>151</v>
      </c>
      <c r="M76" s="159" t="s">
        <v>401</v>
      </c>
      <c r="N76" s="23" t="s">
        <v>197</v>
      </c>
      <c r="O76" s="151" t="s">
        <v>963</v>
      </c>
      <c r="P76" s="156" t="s">
        <v>348</v>
      </c>
      <c r="Q76" s="53">
        <v>80111600</v>
      </c>
      <c r="R76" s="159" t="s">
        <v>204</v>
      </c>
      <c r="S76" s="159" t="str">
        <f>MID(PAA[[#This Row],[Meta Proyecto de Inversión]],1,4)</f>
        <v>8126</v>
      </c>
      <c r="T76" s="159" t="str">
        <f>MID(PAA[[#This Row],[Meta Proyecto de Inversión]],6,1)</f>
        <v>5</v>
      </c>
      <c r="U76" s="160" t="str">
        <f>IFERROR(VLOOKUP(N76,TD!$B$50:$F$54,2,0)," ")</f>
        <v>O230117</v>
      </c>
      <c r="V76" s="160" t="str">
        <f>IFERROR(VLOOKUP(N76,TD!$B$50:$F$54,3,0)," ")</f>
        <v>4599</v>
      </c>
      <c r="W76" s="160">
        <f>IFERROR(VLOOKUP(N76,TD!$B$50:$F$54,4,0)," ")</f>
        <v>20240207</v>
      </c>
      <c r="X76" s="159" t="s">
        <v>168</v>
      </c>
      <c r="Y76" s="160" t="str">
        <f>IFERROR(VLOOKUP(X76,TD!$J$51:$K$64,2,0)," ")</f>
        <v>Infraestructura Tecnológica   (Sistemas de Información y Tecnologia)</v>
      </c>
      <c r="Z76" s="161" t="str">
        <f>CONCATENATE(X76,"-",Y76)</f>
        <v>11-Infraestructura Tecnológica   (Sistemas de Información y Tecnologia)</v>
      </c>
      <c r="AA76" s="159" t="s">
        <v>228</v>
      </c>
      <c r="AB76" s="160" t="str">
        <f>IFERROR(VLOOKUP(AA76,TD!$N$51:$O$66,2,0)," ")</f>
        <v>Servicios tecnológicos</v>
      </c>
      <c r="AC76" s="161" t="str">
        <f>CONCATENATE(AA76,"_",AB76)</f>
        <v>007_Servicios tecnológicos</v>
      </c>
      <c r="AD76" s="161" t="str">
        <f>CONCATENATE(Z76," ",AC76)</f>
        <v>11-Infraestructura Tecnológica   (Sistemas de Información y Tecnologia) 007_Servicios tecnológicos</v>
      </c>
      <c r="AE76" s="160" t="str">
        <f>CONCATENATE(U76,V76,W76,X76,AA76)</f>
        <v>O23011745992024020711007</v>
      </c>
      <c r="AF76" s="160" t="str">
        <f>IFERROR(VLOOKUP(AD76,TD!$J$66:$K$89,2,0)," ")</f>
        <v>PM/0131/0111/45990070207</v>
      </c>
      <c r="AG76" s="118" t="s">
        <v>385</v>
      </c>
      <c r="AH76" s="159" t="s">
        <v>193</v>
      </c>
      <c r="AI76" s="162" t="str">
        <f>CONCATENATE(PAA[[#This Row],[Id Interno]],"-",PAA[[#This Row],[tipo de Contrato (TH talento humano - B/S bienes y/o servicios)]],"-",S76,"-",T76,"-",PAA[[#This Row],[Objeto de la contratación]])</f>
        <v>20260027-TH-8126-5-Prestar servicios profesionales en la administración y gestión de la infraestructura de redes y comunicaciones de la entidad, garantizando su operatividad, disponibilidad y seguridad de la infraestructura tecnológica a cargo del área de Tecnologías de la Información y las Comunicaciones.</v>
      </c>
    </row>
    <row r="77" spans="2:35" ht="84" x14ac:dyDescent="0.35">
      <c r="B77" s="23">
        <v>20260028</v>
      </c>
      <c r="C77" s="99" t="s">
        <v>595</v>
      </c>
      <c r="D77" s="23" t="s">
        <v>105</v>
      </c>
      <c r="E77" s="23" t="s">
        <v>363</v>
      </c>
      <c r="F77" s="156" t="s">
        <v>144</v>
      </c>
      <c r="G77" s="157" t="s">
        <v>373</v>
      </c>
      <c r="H77" s="158">
        <v>11</v>
      </c>
      <c r="I77" s="158">
        <v>0</v>
      </c>
      <c r="J77" s="127">
        <v>85800000</v>
      </c>
      <c r="K77" s="88" t="s">
        <v>398</v>
      </c>
      <c r="L77" s="156" t="s">
        <v>151</v>
      </c>
      <c r="M77" s="159" t="s">
        <v>401</v>
      </c>
      <c r="N77" s="23" t="s">
        <v>197</v>
      </c>
      <c r="O77" s="151" t="s">
        <v>963</v>
      </c>
      <c r="P77" s="156" t="s">
        <v>348</v>
      </c>
      <c r="Q77" s="53">
        <v>80111600</v>
      </c>
      <c r="R77" s="159" t="s">
        <v>204</v>
      </c>
      <c r="S77" s="159" t="str">
        <f>MID(PAA[[#This Row],[Meta Proyecto de Inversión]],1,4)</f>
        <v>8126</v>
      </c>
      <c r="T77" s="159" t="str">
        <f>MID(PAA[[#This Row],[Meta Proyecto de Inversión]],6,1)</f>
        <v>5</v>
      </c>
      <c r="U77" s="160" t="str">
        <f>IFERROR(VLOOKUP(N77,TD!$B$50:$F$54,2,0)," ")</f>
        <v>O230117</v>
      </c>
      <c r="V77" s="160" t="str">
        <f>IFERROR(VLOOKUP(N77,TD!$B$50:$F$54,3,0)," ")</f>
        <v>4599</v>
      </c>
      <c r="W77" s="160">
        <f>IFERROR(VLOOKUP(N77,TD!$B$50:$F$54,4,0)," ")</f>
        <v>20240207</v>
      </c>
      <c r="X77" s="159" t="s">
        <v>168</v>
      </c>
      <c r="Y77" s="160" t="str">
        <f>IFERROR(VLOOKUP(X77,TD!$J$51:$K$64,2,0)," ")</f>
        <v>Infraestructura Tecnológica   (Sistemas de Información y Tecnologia)</v>
      </c>
      <c r="Z77" s="161" t="str">
        <f>CONCATENATE(X77,"-",Y77)</f>
        <v>11-Infraestructura Tecnológica   (Sistemas de Información y Tecnologia)</v>
      </c>
      <c r="AA77" s="159" t="s">
        <v>228</v>
      </c>
      <c r="AB77" s="160" t="str">
        <f>IFERROR(VLOOKUP(AA77,TD!$N$51:$O$66,2,0)," ")</f>
        <v>Servicios tecnológicos</v>
      </c>
      <c r="AC77" s="161" t="str">
        <f>CONCATENATE(AA77,"_",AB77)</f>
        <v>007_Servicios tecnológicos</v>
      </c>
      <c r="AD77" s="161" t="str">
        <f>CONCATENATE(Z77," ",AC77)</f>
        <v>11-Infraestructura Tecnológica   (Sistemas de Información y Tecnologia) 007_Servicios tecnológicos</v>
      </c>
      <c r="AE77" s="160" t="str">
        <f>CONCATENATE(U77,V77,W77,X77,AA77)</f>
        <v>O23011745992024020711007</v>
      </c>
      <c r="AF77" s="160" t="str">
        <f>IFERROR(VLOOKUP(AD77,TD!$J$66:$K$89,2,0)," ")</f>
        <v>PM/0131/0111/45990070207</v>
      </c>
      <c r="AG77" s="118" t="s">
        <v>385</v>
      </c>
      <c r="AH77" s="159" t="s">
        <v>193</v>
      </c>
      <c r="AI77" s="162" t="str">
        <f>CONCATENATE(PAA[[#This Row],[Id Interno]],"-",PAA[[#This Row],[tipo de Contrato (TH talento humano - B/S bienes y/o servicios)]],"-",S77,"-",T77,"-",PAA[[#This Row],[Objeto de la contratación]])</f>
        <v>20260028-TH-8126-5-Prestar servicios profesionales de carácter jurídico apoyando las actividades de gestión contractual en cada una de las diferentes etapas de los bienes, obras o servicios que se adelanten el área de Tecnologías de la Información y las Comunicaciones de la U.A.E. Cuerpo Oficial de Bomberos Bogotá.</v>
      </c>
    </row>
    <row r="78" spans="2:35" ht="70" x14ac:dyDescent="0.35">
      <c r="B78" s="23">
        <v>20260029</v>
      </c>
      <c r="C78" s="99" t="s">
        <v>613</v>
      </c>
      <c r="D78" s="23" t="s">
        <v>105</v>
      </c>
      <c r="E78" s="23" t="s">
        <v>363</v>
      </c>
      <c r="F78" s="156" t="s">
        <v>144</v>
      </c>
      <c r="G78" s="157" t="s">
        <v>373</v>
      </c>
      <c r="H78" s="158">
        <v>10</v>
      </c>
      <c r="I78" s="158">
        <v>0</v>
      </c>
      <c r="J78" s="127">
        <v>78000000</v>
      </c>
      <c r="K78" s="88" t="s">
        <v>398</v>
      </c>
      <c r="L78" s="156" t="s">
        <v>151</v>
      </c>
      <c r="M78" s="159" t="s">
        <v>401</v>
      </c>
      <c r="N78" s="23" t="s">
        <v>197</v>
      </c>
      <c r="O78" s="151" t="s">
        <v>963</v>
      </c>
      <c r="P78" s="156" t="s">
        <v>348</v>
      </c>
      <c r="Q78" s="53">
        <v>80111600</v>
      </c>
      <c r="R78" s="159" t="s">
        <v>203</v>
      </c>
      <c r="S78" s="159" t="str">
        <f>MID(PAA[[#This Row],[Meta Proyecto de Inversión]],1,4)</f>
        <v>8126</v>
      </c>
      <c r="T78" s="159" t="str">
        <f>MID(PAA[[#This Row],[Meta Proyecto de Inversión]],6,1)</f>
        <v>4</v>
      </c>
      <c r="U78" s="160" t="str">
        <f>IFERROR(VLOOKUP(N78,TD!$B$50:$F$54,2,0)," ")</f>
        <v>O230117</v>
      </c>
      <c r="V78" s="160" t="str">
        <f>IFERROR(VLOOKUP(N78,TD!$B$50:$F$54,3,0)," ")</f>
        <v>4599</v>
      </c>
      <c r="W78" s="160">
        <f>IFERROR(VLOOKUP(N78,TD!$B$50:$F$54,4,0)," ")</f>
        <v>20240207</v>
      </c>
      <c r="X78" s="159" t="s">
        <v>168</v>
      </c>
      <c r="Y78" s="160" t="str">
        <f>IFERROR(VLOOKUP(X78,TD!$J$51:$K$64,2,0)," ")</f>
        <v>Infraestructura Tecnológica   (Sistemas de Información y Tecnologia)</v>
      </c>
      <c r="Z78" s="161" t="str">
        <f>CONCATENATE(X78,"-",Y78)</f>
        <v>11-Infraestructura Tecnológica   (Sistemas de Información y Tecnologia)</v>
      </c>
      <c r="AA78" s="159" t="s">
        <v>228</v>
      </c>
      <c r="AB78" s="160" t="str">
        <f>IFERROR(VLOOKUP(AA78,TD!$N$51:$O$66,2,0)," ")</f>
        <v>Servicios tecnológicos</v>
      </c>
      <c r="AC78" s="161" t="str">
        <f>CONCATENATE(AA78,"_",AB78)</f>
        <v>007_Servicios tecnológicos</v>
      </c>
      <c r="AD78" s="161" t="str">
        <f>CONCATENATE(Z78," ",AC78)</f>
        <v>11-Infraestructura Tecnológica   (Sistemas de Información y Tecnologia) 007_Servicios tecnológicos</v>
      </c>
      <c r="AE78" s="160" t="str">
        <f>CONCATENATE(U78,V78,W78,X78,AA78)</f>
        <v>O23011745992024020711007</v>
      </c>
      <c r="AF78" s="160" t="str">
        <f>IFERROR(VLOOKUP(AD78,TD!$J$66:$K$89,2,0)," ")</f>
        <v>PM/0131/0111/45990070207</v>
      </c>
      <c r="AG78" s="118" t="s">
        <v>385</v>
      </c>
      <c r="AH78" s="159" t="s">
        <v>193</v>
      </c>
      <c r="AI78" s="162" t="str">
        <f>CONCATENATE(PAA[[#This Row],[Id Interno]],"-",PAA[[#This Row],[tipo de Contrato (TH talento humano - B/S bienes y/o servicios)]],"-",S78,"-",T78,"-",PAA[[#This Row],[Objeto de la contratación]])</f>
        <v>20260029-TH-8126-4-Prestar servicios profesionales para la administración, mantenimiento y optimización de las bases de datos institucionales de la U.A.E. Cuerpo Oficial de Bomberos Bogotá, asegurando su disponibilidad y respaldo oportuno de la infraestructura tecnológica a cargo del área de Tecnologías de la Información y las Comunicaciones.</v>
      </c>
    </row>
    <row r="79" spans="2:35" ht="70" x14ac:dyDescent="0.35">
      <c r="B79" s="23">
        <v>20260030</v>
      </c>
      <c r="C79" s="99" t="s">
        <v>614</v>
      </c>
      <c r="D79" s="23" t="s">
        <v>105</v>
      </c>
      <c r="E79" s="23" t="s">
        <v>363</v>
      </c>
      <c r="F79" s="156" t="s">
        <v>144</v>
      </c>
      <c r="G79" s="157" t="s">
        <v>373</v>
      </c>
      <c r="H79" s="158">
        <v>10</v>
      </c>
      <c r="I79" s="158">
        <v>0</v>
      </c>
      <c r="J79" s="127">
        <v>55000000</v>
      </c>
      <c r="K79" s="88" t="s">
        <v>398</v>
      </c>
      <c r="L79" s="156" t="s">
        <v>151</v>
      </c>
      <c r="M79" s="159" t="s">
        <v>401</v>
      </c>
      <c r="N79" s="23" t="s">
        <v>197</v>
      </c>
      <c r="O79" s="151" t="s">
        <v>963</v>
      </c>
      <c r="P79" s="156" t="s">
        <v>348</v>
      </c>
      <c r="Q79" s="53">
        <v>80111600</v>
      </c>
      <c r="R79" s="159" t="s">
        <v>205</v>
      </c>
      <c r="S79" s="159" t="str">
        <f>MID(PAA[[#This Row],[Meta Proyecto de Inversión]],1,4)</f>
        <v>8126</v>
      </c>
      <c r="T79" s="159" t="str">
        <f>MID(PAA[[#This Row],[Meta Proyecto de Inversión]],6,1)</f>
        <v>6</v>
      </c>
      <c r="U79" s="160" t="str">
        <f>IFERROR(VLOOKUP(N79,TD!$B$50:$F$54,2,0)," ")</f>
        <v>O230117</v>
      </c>
      <c r="V79" s="160" t="str">
        <f>IFERROR(VLOOKUP(N79,TD!$B$50:$F$54,3,0)," ")</f>
        <v>4599</v>
      </c>
      <c r="W79" s="160">
        <f>IFERROR(VLOOKUP(N79,TD!$B$50:$F$54,4,0)," ")</f>
        <v>20240207</v>
      </c>
      <c r="X79" s="159" t="s">
        <v>168</v>
      </c>
      <c r="Y79" s="160" t="str">
        <f>IFERROR(VLOOKUP(X79,TD!$J$51:$K$64,2,0)," ")</f>
        <v>Infraestructura Tecnológica   (Sistemas de Información y Tecnologia)</v>
      </c>
      <c r="Z79" s="161" t="str">
        <f>CONCATENATE(X79,"-",Y79)</f>
        <v>11-Infraestructura Tecnológica   (Sistemas de Información y Tecnologia)</v>
      </c>
      <c r="AA79" s="159" t="s">
        <v>228</v>
      </c>
      <c r="AB79" s="160" t="str">
        <f>IFERROR(VLOOKUP(AA79,TD!$N$51:$O$66,2,0)," ")</f>
        <v>Servicios tecnológicos</v>
      </c>
      <c r="AC79" s="161" t="str">
        <f>CONCATENATE(AA79,"_",AB79)</f>
        <v>007_Servicios tecnológicos</v>
      </c>
      <c r="AD79" s="161" t="str">
        <f>CONCATENATE(Z79," ",AC79)</f>
        <v>11-Infraestructura Tecnológica   (Sistemas de Información y Tecnologia) 007_Servicios tecnológicos</v>
      </c>
      <c r="AE79" s="160" t="str">
        <f>CONCATENATE(U79,V79,W79,X79,AA79)</f>
        <v>O23011745992024020711007</v>
      </c>
      <c r="AF79" s="160" t="str">
        <f>IFERROR(VLOOKUP(AD79,TD!$J$66:$K$89,2,0)," ")</f>
        <v>PM/0131/0111/45990070207</v>
      </c>
      <c r="AG79" s="118" t="s">
        <v>385</v>
      </c>
      <c r="AH79" s="159" t="s">
        <v>193</v>
      </c>
      <c r="AI79" s="162" t="str">
        <f>CONCATENATE(PAA[[#This Row],[Id Interno]],"-",PAA[[#This Row],[tipo de Contrato (TH talento humano - B/S bienes y/o servicios)]],"-",S79,"-",T79,"-",PAA[[#This Row],[Objeto de la contratación]])</f>
        <v>20260030-TH-8126-6-Prestar servicios profesionales, en el levantamiento de requerimientos, análisis y mejora de soluciones digitales a cargo de la Dirección de Tecnologías de la Información y las Comunicaciones de la U.A.E Cuerpo Oficial de Bomberos de Bogotá D.C.</v>
      </c>
    </row>
    <row r="80" spans="2:35" ht="70" x14ac:dyDescent="0.35">
      <c r="B80" s="23">
        <v>20260031</v>
      </c>
      <c r="C80" s="99" t="s">
        <v>615</v>
      </c>
      <c r="D80" s="23" t="s">
        <v>105</v>
      </c>
      <c r="E80" s="23" t="s">
        <v>363</v>
      </c>
      <c r="F80" s="156" t="s">
        <v>144</v>
      </c>
      <c r="G80" s="157" t="s">
        <v>373</v>
      </c>
      <c r="H80" s="158">
        <v>10</v>
      </c>
      <c r="I80" s="158">
        <v>0</v>
      </c>
      <c r="J80" s="127">
        <v>75000000</v>
      </c>
      <c r="K80" s="88" t="s">
        <v>398</v>
      </c>
      <c r="L80" s="156" t="s">
        <v>151</v>
      </c>
      <c r="M80" s="159" t="s">
        <v>401</v>
      </c>
      <c r="N80" s="23" t="s">
        <v>197</v>
      </c>
      <c r="O80" s="151" t="s">
        <v>963</v>
      </c>
      <c r="P80" s="156" t="s">
        <v>348</v>
      </c>
      <c r="Q80" s="53">
        <v>80111600</v>
      </c>
      <c r="R80" s="159" t="s">
        <v>205</v>
      </c>
      <c r="S80" s="159" t="str">
        <f>MID(PAA[[#This Row],[Meta Proyecto de Inversión]],1,4)</f>
        <v>8126</v>
      </c>
      <c r="T80" s="159" t="str">
        <f>MID(PAA[[#This Row],[Meta Proyecto de Inversión]],6,1)</f>
        <v>6</v>
      </c>
      <c r="U80" s="160" t="str">
        <f>IFERROR(VLOOKUP(N80,TD!$B$50:$F$54,2,0)," ")</f>
        <v>O230117</v>
      </c>
      <c r="V80" s="160" t="str">
        <f>IFERROR(VLOOKUP(N80,TD!$B$50:$F$54,3,0)," ")</f>
        <v>4599</v>
      </c>
      <c r="W80" s="160">
        <f>IFERROR(VLOOKUP(N80,TD!$B$50:$F$54,4,0)," ")</f>
        <v>20240207</v>
      </c>
      <c r="X80" s="159" t="s">
        <v>168</v>
      </c>
      <c r="Y80" s="160" t="str">
        <f>IFERROR(VLOOKUP(X80,TD!$J$51:$K$64,2,0)," ")</f>
        <v>Infraestructura Tecnológica   (Sistemas de Información y Tecnologia)</v>
      </c>
      <c r="Z80" s="161" t="str">
        <f>CONCATENATE(X80,"-",Y80)</f>
        <v>11-Infraestructura Tecnológica   (Sistemas de Información y Tecnologia)</v>
      </c>
      <c r="AA80" s="159" t="s">
        <v>228</v>
      </c>
      <c r="AB80" s="160" t="str">
        <f>IFERROR(VLOOKUP(AA80,TD!$N$51:$O$66,2,0)," ")</f>
        <v>Servicios tecnológicos</v>
      </c>
      <c r="AC80" s="161" t="str">
        <f>CONCATENATE(AA80,"_",AB80)</f>
        <v>007_Servicios tecnológicos</v>
      </c>
      <c r="AD80" s="161" t="str">
        <f>CONCATENATE(Z80," ",AC80)</f>
        <v>11-Infraestructura Tecnológica   (Sistemas de Información y Tecnologia) 007_Servicios tecnológicos</v>
      </c>
      <c r="AE80" s="160" t="str">
        <f>CONCATENATE(U80,V80,W80,X80,AA80)</f>
        <v>O23011745992024020711007</v>
      </c>
      <c r="AF80" s="160" t="str">
        <f>IFERROR(VLOOKUP(AD80,TD!$J$66:$K$89,2,0)," ")</f>
        <v>PM/0131/0111/45990070207</v>
      </c>
      <c r="AG80" s="118" t="s">
        <v>385</v>
      </c>
      <c r="AH80" s="159" t="s">
        <v>193</v>
      </c>
      <c r="AI80" s="162" t="str">
        <f>CONCATENATE(PAA[[#This Row],[Id Interno]],"-",PAA[[#This Row],[tipo de Contrato (TH talento humano - B/S bienes y/o servicios)]],"-",S80,"-",T80,"-",PAA[[#This Row],[Objeto de la contratación]])</f>
        <v>20260031-TH-8126-6-Prestar servicios profesionales, orientados al fortalecimiento de los procesos de análisis, desarrollo, implementación y soporte tecnológico que contribuyan a la modernización institucional a cargo  del área de tecnología de la información y las comunicaciones de la U.A.E Cuerpo Oficial de Bomberos de Bogotá D.C.</v>
      </c>
    </row>
    <row r="81" spans="2:35" ht="84" x14ac:dyDescent="0.35">
      <c r="B81" s="23">
        <v>20260033</v>
      </c>
      <c r="C81" s="99" t="s">
        <v>430</v>
      </c>
      <c r="D81" s="23" t="s">
        <v>83</v>
      </c>
      <c r="E81" s="23" t="s">
        <v>402</v>
      </c>
      <c r="F81" s="156" t="s">
        <v>89</v>
      </c>
      <c r="G81" s="157" t="s">
        <v>382</v>
      </c>
      <c r="H81" s="158">
        <v>6</v>
      </c>
      <c r="I81" s="158">
        <v>0</v>
      </c>
      <c r="J81" s="127">
        <f>122500000-20296300-38029786</f>
        <v>64173914</v>
      </c>
      <c r="K81" s="88" t="s">
        <v>398</v>
      </c>
      <c r="L81" s="156" t="s">
        <v>151</v>
      </c>
      <c r="M81" s="159" t="s">
        <v>401</v>
      </c>
      <c r="N81" s="23" t="s">
        <v>197</v>
      </c>
      <c r="O81" s="151" t="s">
        <v>963</v>
      </c>
      <c r="P81" s="156" t="s">
        <v>348</v>
      </c>
      <c r="Q81" s="53" t="s">
        <v>447</v>
      </c>
      <c r="R81" s="159" t="s">
        <v>204</v>
      </c>
      <c r="S81" s="159" t="str">
        <f>MID(PAA[[#This Row],[Meta Proyecto de Inversión]],1,4)</f>
        <v>8126</v>
      </c>
      <c r="T81" s="159" t="str">
        <f>MID(PAA[[#This Row],[Meta Proyecto de Inversión]],6,1)</f>
        <v>5</v>
      </c>
      <c r="U81" s="160" t="str">
        <f>IFERROR(VLOOKUP(N81,TD!$B$50:$F$54,2,0)," ")</f>
        <v>O230117</v>
      </c>
      <c r="V81" s="160" t="str">
        <f>IFERROR(VLOOKUP(N81,TD!$B$50:$F$54,3,0)," ")</f>
        <v>4599</v>
      </c>
      <c r="W81" s="160">
        <f>IFERROR(VLOOKUP(N81,TD!$B$50:$F$54,4,0)," ")</f>
        <v>20240207</v>
      </c>
      <c r="X81" s="159" t="s">
        <v>168</v>
      </c>
      <c r="Y81" s="160" t="str">
        <f>IFERROR(VLOOKUP(X81,TD!$J$51:$K$64,2,0)," ")</f>
        <v>Infraestructura Tecnológica   (Sistemas de Información y Tecnologia)</v>
      </c>
      <c r="Z81" s="161" t="str">
        <f>CONCATENATE(X81,"-",Y81)</f>
        <v>11-Infraestructura Tecnológica   (Sistemas de Información y Tecnologia)</v>
      </c>
      <c r="AA81" s="159" t="s">
        <v>228</v>
      </c>
      <c r="AB81" s="160" t="str">
        <f>IFERROR(VLOOKUP(AA81,TD!$N$51:$O$66,2,0)," ")</f>
        <v>Servicios tecnológicos</v>
      </c>
      <c r="AC81" s="161" t="str">
        <f>CONCATENATE(AA81,"_",AB81)</f>
        <v>007_Servicios tecnológicos</v>
      </c>
      <c r="AD81" s="161" t="str">
        <f>CONCATENATE(Z81," ",AC81)</f>
        <v>11-Infraestructura Tecnológica   (Sistemas de Información y Tecnologia) 007_Servicios tecnológicos</v>
      </c>
      <c r="AE81" s="160" t="str">
        <f>CONCATENATE(U81,V81,W81,X81,AA81)</f>
        <v>O23011745992024020711007</v>
      </c>
      <c r="AF81" s="160" t="str">
        <f>IFERROR(VLOOKUP(AD81,TD!$J$66:$K$89,2,0)," ")</f>
        <v>PM/0131/0111/45990070207</v>
      </c>
      <c r="AG81" s="118" t="s">
        <v>121</v>
      </c>
      <c r="AH81" s="159" t="s">
        <v>193</v>
      </c>
      <c r="AI81" s="162" t="str">
        <f>CONCATENATE(PAA[[#This Row],[Id Interno]],"-",PAA[[#This Row],[tipo de Contrato (TH talento humano - B/S bienes y/o servicios)]],"-",S81,"-",T81,"-",PAA[[#This Row],[Objeto de la contratación]])</f>
        <v>20260033-BS-8126-5-Adquisición, actualización y configuración de la plataforma de comunicaciones de Voz IP compatible con la solución actual con la que cuenta la entidad.</v>
      </c>
    </row>
    <row r="82" spans="2:35" ht="84" x14ac:dyDescent="0.35">
      <c r="B82" s="23">
        <v>20260034</v>
      </c>
      <c r="C82" s="99" t="s">
        <v>431</v>
      </c>
      <c r="D82" s="23" t="s">
        <v>92</v>
      </c>
      <c r="E82" s="23" t="s">
        <v>402</v>
      </c>
      <c r="F82" s="156" t="s">
        <v>101</v>
      </c>
      <c r="G82" s="157" t="s">
        <v>382</v>
      </c>
      <c r="H82" s="158">
        <v>12</v>
      </c>
      <c r="I82" s="158">
        <v>0</v>
      </c>
      <c r="J82" s="127">
        <v>10000000</v>
      </c>
      <c r="K82" s="88" t="s">
        <v>398</v>
      </c>
      <c r="L82" s="156" t="s">
        <v>151</v>
      </c>
      <c r="M82" s="159" t="s">
        <v>401</v>
      </c>
      <c r="N82" s="23" t="s">
        <v>197</v>
      </c>
      <c r="O82" s="151" t="s">
        <v>963</v>
      </c>
      <c r="P82" s="156" t="s">
        <v>348</v>
      </c>
      <c r="Q82" s="53" t="s">
        <v>447</v>
      </c>
      <c r="R82" s="159" t="s">
        <v>203</v>
      </c>
      <c r="S82" s="159" t="str">
        <f>MID(PAA[[#This Row],[Meta Proyecto de Inversión]],1,4)</f>
        <v>8126</v>
      </c>
      <c r="T82" s="159" t="str">
        <f>MID(PAA[[#This Row],[Meta Proyecto de Inversión]],6,1)</f>
        <v>4</v>
      </c>
      <c r="U82" s="160" t="str">
        <f>IFERROR(VLOOKUP(N82,TD!$B$50:$F$54,2,0)," ")</f>
        <v>O230117</v>
      </c>
      <c r="V82" s="160" t="str">
        <f>IFERROR(VLOOKUP(N82,TD!$B$50:$F$54,3,0)," ")</f>
        <v>4599</v>
      </c>
      <c r="W82" s="160">
        <f>IFERROR(VLOOKUP(N82,TD!$B$50:$F$54,4,0)," ")</f>
        <v>20240207</v>
      </c>
      <c r="X82" s="159" t="s">
        <v>168</v>
      </c>
      <c r="Y82" s="160" t="str">
        <f>IFERROR(VLOOKUP(X82,TD!$J$51:$K$64,2,0)," ")</f>
        <v>Infraestructura Tecnológica   (Sistemas de Información y Tecnologia)</v>
      </c>
      <c r="Z82" s="161" t="str">
        <f>CONCATENATE(X82,"-",Y82)</f>
        <v>11-Infraestructura Tecnológica   (Sistemas de Información y Tecnologia)</v>
      </c>
      <c r="AA82" s="159" t="s">
        <v>228</v>
      </c>
      <c r="AB82" s="160" t="str">
        <f>IFERROR(VLOOKUP(AA82,TD!$N$51:$O$66,2,0)," ")</f>
        <v>Servicios tecnológicos</v>
      </c>
      <c r="AC82" s="161" t="str">
        <f>CONCATENATE(AA82,"_",AB82)</f>
        <v>007_Servicios tecnológicos</v>
      </c>
      <c r="AD82" s="161" t="str">
        <f>CONCATENATE(Z82," ",AC82)</f>
        <v>11-Infraestructura Tecnológica   (Sistemas de Información y Tecnologia) 007_Servicios tecnológicos</v>
      </c>
      <c r="AE82" s="160" t="str">
        <f>CONCATENATE(U82,V82,W82,X82,AA82)</f>
        <v>O23011745992024020711007</v>
      </c>
      <c r="AF82" s="160" t="str">
        <f>IFERROR(VLOOKUP(AD82,TD!$J$66:$K$89,2,0)," ")</f>
        <v>PM/0131/0111/45990070207</v>
      </c>
      <c r="AG82" s="118" t="s">
        <v>116</v>
      </c>
      <c r="AH82" s="159" t="s">
        <v>193</v>
      </c>
      <c r="AI82" s="162" t="str">
        <f>CONCATENATE(PAA[[#This Row],[Id Interno]],"-",PAA[[#This Row],[tipo de Contrato (TH talento humano - B/S bienes y/o servicios)]],"-",S82,"-",T82,"-",PAA[[#This Row],[Objeto de la contratación]])</f>
        <v>20260034-BS-8126-4-Adquisición de un certificado digital servidor seguro SSL para múltiples subdominios y aplicaciones para los sistemas misionales de la UAE cuerpo oficial de bomberos de Bogotá</v>
      </c>
    </row>
    <row r="83" spans="2:35" ht="70" x14ac:dyDescent="0.35">
      <c r="B83" s="23">
        <v>20260035</v>
      </c>
      <c r="C83" s="99" t="s">
        <v>432</v>
      </c>
      <c r="D83" s="23" t="s">
        <v>92</v>
      </c>
      <c r="E83" s="23" t="s">
        <v>402</v>
      </c>
      <c r="F83" s="156" t="s">
        <v>141</v>
      </c>
      <c r="G83" s="157" t="s">
        <v>378</v>
      </c>
      <c r="H83" s="158">
        <v>12</v>
      </c>
      <c r="I83" s="158">
        <v>0</v>
      </c>
      <c r="J83" s="127">
        <v>300000000</v>
      </c>
      <c r="K83" s="88" t="s">
        <v>398</v>
      </c>
      <c r="L83" s="156" t="s">
        <v>151</v>
      </c>
      <c r="M83" s="159" t="s">
        <v>401</v>
      </c>
      <c r="N83" s="23" t="s">
        <v>197</v>
      </c>
      <c r="O83" s="151" t="s">
        <v>963</v>
      </c>
      <c r="P83" s="156" t="s">
        <v>348</v>
      </c>
      <c r="Q83" s="53" t="s">
        <v>448</v>
      </c>
      <c r="R83" s="159" t="s">
        <v>206</v>
      </c>
      <c r="S83" s="159" t="str">
        <f>MID(PAA[[#This Row],[Meta Proyecto de Inversión]],1,4)</f>
        <v>8126</v>
      </c>
      <c r="T83" s="159" t="str">
        <f>MID(PAA[[#This Row],[Meta Proyecto de Inversión]],6,1)</f>
        <v>7</v>
      </c>
      <c r="U83" s="160" t="str">
        <f>IFERROR(VLOOKUP(N83,TD!$B$50:$F$54,2,0)," ")</f>
        <v>O230117</v>
      </c>
      <c r="V83" s="160" t="str">
        <f>IFERROR(VLOOKUP(N83,TD!$B$50:$F$54,3,0)," ")</f>
        <v>4599</v>
      </c>
      <c r="W83" s="160">
        <f>IFERROR(VLOOKUP(N83,TD!$B$50:$F$54,4,0)," ")</f>
        <v>20240207</v>
      </c>
      <c r="X83" s="159" t="s">
        <v>168</v>
      </c>
      <c r="Y83" s="160" t="str">
        <f>IFERROR(VLOOKUP(X83,TD!$J$51:$K$64,2,0)," ")</f>
        <v>Infraestructura Tecnológica   (Sistemas de Información y Tecnologia)</v>
      </c>
      <c r="Z83" s="161" t="str">
        <f>CONCATENATE(X83,"-",Y83)</f>
        <v>11-Infraestructura Tecnológica   (Sistemas de Información y Tecnologia)</v>
      </c>
      <c r="AA83" s="159" t="s">
        <v>228</v>
      </c>
      <c r="AB83" s="160" t="str">
        <f>IFERROR(VLOOKUP(AA83,TD!$N$51:$O$66,2,0)," ")</f>
        <v>Servicios tecnológicos</v>
      </c>
      <c r="AC83" s="161" t="str">
        <f>CONCATENATE(AA83,"_",AB83)</f>
        <v>007_Servicios tecnológicos</v>
      </c>
      <c r="AD83" s="161" t="str">
        <f>CONCATENATE(Z83," ",AC83)</f>
        <v>11-Infraestructura Tecnológica   (Sistemas de Información y Tecnologia) 007_Servicios tecnológicos</v>
      </c>
      <c r="AE83" s="160" t="str">
        <f>CONCATENATE(U83,V83,W83,X83,AA83)</f>
        <v>O23011745992024020711007</v>
      </c>
      <c r="AF83" s="160" t="str">
        <f>IFERROR(VLOOKUP(AD83,TD!$J$66:$K$89,2,0)," ")</f>
        <v>PM/0131/0111/45990070207</v>
      </c>
      <c r="AG83" s="118" t="s">
        <v>116</v>
      </c>
      <c r="AH83" s="159" t="s">
        <v>193</v>
      </c>
      <c r="AI83" s="162" t="str">
        <f>CONCATENATE(PAA[[#This Row],[Id Interno]],"-",PAA[[#This Row],[tipo de Contrato (TH talento humano - B/S bienes y/o servicios)]],"-",S83,"-",T83,"-",PAA[[#This Row],[Objeto de la contratación]])</f>
        <v>20260035-BS-8126-7-Contratar la renovación del licenciamiento y soporte de las plataformas de seguridad perimetral Fortinet, firewalls y WAF del edificio comando y estaciones para la U.A.E. Cuerpo Oficial de Bomberos de Bogotá - TIC</v>
      </c>
    </row>
    <row r="84" spans="2:35" ht="56" x14ac:dyDescent="0.35">
      <c r="B84" s="23">
        <v>20260036</v>
      </c>
      <c r="C84" s="99" t="s">
        <v>433</v>
      </c>
      <c r="D84" s="23" t="s">
        <v>92</v>
      </c>
      <c r="E84" s="23" t="s">
        <v>402</v>
      </c>
      <c r="F84" s="156" t="s">
        <v>142</v>
      </c>
      <c r="G84" s="157" t="s">
        <v>374</v>
      </c>
      <c r="H84" s="158">
        <v>12</v>
      </c>
      <c r="I84" s="158">
        <v>0</v>
      </c>
      <c r="J84" s="127">
        <v>30000000</v>
      </c>
      <c r="K84" s="88" t="s">
        <v>398</v>
      </c>
      <c r="L84" s="156" t="s">
        <v>151</v>
      </c>
      <c r="M84" s="159" t="s">
        <v>401</v>
      </c>
      <c r="N84" s="23" t="s">
        <v>197</v>
      </c>
      <c r="O84" s="151" t="s">
        <v>963</v>
      </c>
      <c r="P84" s="156" t="s">
        <v>348</v>
      </c>
      <c r="Q84" s="53">
        <v>81112401</v>
      </c>
      <c r="R84" s="159" t="s">
        <v>204</v>
      </c>
      <c r="S84" s="159" t="str">
        <f>MID(PAA[[#This Row],[Meta Proyecto de Inversión]],1,4)</f>
        <v>8126</v>
      </c>
      <c r="T84" s="159" t="str">
        <f>MID(PAA[[#This Row],[Meta Proyecto de Inversión]],6,1)</f>
        <v>5</v>
      </c>
      <c r="U84" s="160" t="str">
        <f>IFERROR(VLOOKUP(N84,TD!$B$50:$F$54,2,0)," ")</f>
        <v>O230117</v>
      </c>
      <c r="V84" s="160" t="str">
        <f>IFERROR(VLOOKUP(N84,TD!$B$50:$F$54,3,0)," ")</f>
        <v>4599</v>
      </c>
      <c r="W84" s="160">
        <f>IFERROR(VLOOKUP(N84,TD!$B$50:$F$54,4,0)," ")</f>
        <v>20240207</v>
      </c>
      <c r="X84" s="159" t="s">
        <v>168</v>
      </c>
      <c r="Y84" s="160" t="str">
        <f>IFERROR(VLOOKUP(X84,TD!$J$51:$K$64,2,0)," ")</f>
        <v>Infraestructura Tecnológica   (Sistemas de Información y Tecnologia)</v>
      </c>
      <c r="Z84" s="161" t="str">
        <f>CONCATENATE(X84,"-",Y84)</f>
        <v>11-Infraestructura Tecnológica   (Sistemas de Información y Tecnologia)</v>
      </c>
      <c r="AA84" s="159" t="s">
        <v>228</v>
      </c>
      <c r="AB84" s="160" t="str">
        <f>IFERROR(VLOOKUP(AA84,TD!$N$51:$O$66,2,0)," ")</f>
        <v>Servicios tecnológicos</v>
      </c>
      <c r="AC84" s="161" t="str">
        <f>CONCATENATE(AA84,"_",AB84)</f>
        <v>007_Servicios tecnológicos</v>
      </c>
      <c r="AD84" s="161" t="str">
        <f>CONCATENATE(Z84," ",AC84)</f>
        <v>11-Infraestructura Tecnológica   (Sistemas de Información y Tecnologia) 007_Servicios tecnológicos</v>
      </c>
      <c r="AE84" s="160" t="str">
        <f>CONCATENATE(U84,V84,W84,X84,AA84)</f>
        <v>O23011745992024020711007</v>
      </c>
      <c r="AF84" s="160" t="str">
        <f>IFERROR(VLOOKUP(AD84,TD!$J$66:$K$89,2,0)," ")</f>
        <v>PM/0131/0111/45990070207</v>
      </c>
      <c r="AG84" s="118" t="s">
        <v>121</v>
      </c>
      <c r="AH84" s="159" t="s">
        <v>193</v>
      </c>
      <c r="AI84" s="162" t="str">
        <f>CONCATENATE(PAA[[#This Row],[Id Interno]],"-",PAA[[#This Row],[tipo de Contrato (TH talento humano - B/S bienes y/o servicios)]],"-",S84,"-",T84,"-",PAA[[#This Row],[Objeto de la contratación]])</f>
        <v>20260036-BS-8126-5-Contratar el alquiler de equipos tecnológicos, periféricos y servicios complementarios para la U.A.E. Cuerpo Oficial de Bomberos de Bogotá. - TIC</v>
      </c>
    </row>
    <row r="85" spans="2:35" ht="126" x14ac:dyDescent="0.35">
      <c r="B85" s="23">
        <v>20260037</v>
      </c>
      <c r="C85" s="99" t="s">
        <v>918</v>
      </c>
      <c r="D85" s="23" t="s">
        <v>114</v>
      </c>
      <c r="E85" s="23" t="s">
        <v>402</v>
      </c>
      <c r="F85" s="156" t="s">
        <v>143</v>
      </c>
      <c r="G85" s="157" t="s">
        <v>377</v>
      </c>
      <c r="H85" s="158">
        <v>12</v>
      </c>
      <c r="I85" s="158">
        <v>0</v>
      </c>
      <c r="J85" s="127">
        <v>200000000</v>
      </c>
      <c r="K85" s="88" t="s">
        <v>398</v>
      </c>
      <c r="L85" s="156" t="s">
        <v>151</v>
      </c>
      <c r="M85" s="159" t="s">
        <v>401</v>
      </c>
      <c r="N85" s="23" t="s">
        <v>197</v>
      </c>
      <c r="O85" s="151" t="s">
        <v>963</v>
      </c>
      <c r="P85" s="156" t="s">
        <v>348</v>
      </c>
      <c r="Q85" s="53" t="s">
        <v>919</v>
      </c>
      <c r="R85" s="159" t="s">
        <v>204</v>
      </c>
      <c r="S85" s="159" t="str">
        <f>MID(PAA[[#This Row],[Meta Proyecto de Inversión]],1,4)</f>
        <v>8126</v>
      </c>
      <c r="T85" s="159" t="str">
        <f>MID(PAA[[#This Row],[Meta Proyecto de Inversión]],6,1)</f>
        <v>5</v>
      </c>
      <c r="U85" s="160" t="str">
        <f>IFERROR(VLOOKUP(N85,TD!$B$50:$F$54,2,0)," ")</f>
        <v>O230117</v>
      </c>
      <c r="V85" s="160" t="str">
        <f>IFERROR(VLOOKUP(N85,TD!$B$50:$F$54,3,0)," ")</f>
        <v>4599</v>
      </c>
      <c r="W85" s="160">
        <f>IFERROR(VLOOKUP(N85,TD!$B$50:$F$54,4,0)," ")</f>
        <v>20240207</v>
      </c>
      <c r="X85" s="159" t="s">
        <v>168</v>
      </c>
      <c r="Y85" s="160" t="str">
        <f>IFERROR(VLOOKUP(X85,TD!$J$51:$K$64,2,0)," ")</f>
        <v>Infraestructura Tecnológica   (Sistemas de Información y Tecnologia)</v>
      </c>
      <c r="Z85" s="161" t="str">
        <f>CONCATENATE(X85,"-",Y85)</f>
        <v>11-Infraestructura Tecnológica   (Sistemas de Información y Tecnologia)</v>
      </c>
      <c r="AA85" s="159" t="s">
        <v>228</v>
      </c>
      <c r="AB85" s="160" t="str">
        <f>IFERROR(VLOOKUP(AA85,TD!$N$51:$O$66,2,0)," ")</f>
        <v>Servicios tecnológicos</v>
      </c>
      <c r="AC85" s="161" t="str">
        <f>CONCATENATE(AA85,"_",AB85)</f>
        <v>007_Servicios tecnológicos</v>
      </c>
      <c r="AD85" s="161" t="str">
        <f>CONCATENATE(Z85," ",AC85)</f>
        <v>11-Infraestructura Tecnológica   (Sistemas de Información y Tecnologia) 007_Servicios tecnológicos</v>
      </c>
      <c r="AE85" s="160" t="str">
        <f>CONCATENATE(U85,V85,W85,X85,AA85)</f>
        <v>O23011745992024020711007</v>
      </c>
      <c r="AF85" s="160" t="str">
        <f>IFERROR(VLOOKUP(AD85,TD!$J$66:$K$89,2,0)," ")</f>
        <v>PM/0131/0111/45990070207</v>
      </c>
      <c r="AG85" s="118" t="s">
        <v>121</v>
      </c>
      <c r="AH85" s="159" t="s">
        <v>193</v>
      </c>
      <c r="AI85" s="162" t="str">
        <f>CONCATENATE(PAA[[#This Row],[Id Interno]],"-",PAA[[#This Row],[tipo de Contrato (TH talento humano - B/S bienes y/o servicios)]],"-",S85,"-",T85,"-",PAA[[#This Row],[Objeto de la contratación]])</f>
        <v>20260037-BS-8126-5-Contratar la adquisición de dispositivos para el fortalecimiento y modernización de la infraestructura tecnológica de la U.A.E. Cuerpo Oficial de Bomberos de Bogotá.</v>
      </c>
    </row>
    <row r="86" spans="2:35" ht="126" x14ac:dyDescent="0.35">
      <c r="B86" s="23">
        <v>20260038</v>
      </c>
      <c r="C86" s="99" t="s">
        <v>920</v>
      </c>
      <c r="D86" s="23" t="s">
        <v>105</v>
      </c>
      <c r="E86" s="23" t="s">
        <v>402</v>
      </c>
      <c r="F86" s="156" t="s">
        <v>89</v>
      </c>
      <c r="G86" s="157" t="s">
        <v>375</v>
      </c>
      <c r="H86" s="158">
        <v>12</v>
      </c>
      <c r="I86" s="158">
        <v>0</v>
      </c>
      <c r="J86" s="127">
        <v>100000000</v>
      </c>
      <c r="K86" s="88" t="s">
        <v>398</v>
      </c>
      <c r="L86" s="156" t="s">
        <v>151</v>
      </c>
      <c r="M86" s="159" t="s">
        <v>401</v>
      </c>
      <c r="N86" s="23" t="s">
        <v>197</v>
      </c>
      <c r="O86" s="151" t="s">
        <v>963</v>
      </c>
      <c r="P86" s="156" t="s">
        <v>348</v>
      </c>
      <c r="Q86" s="53" t="s">
        <v>449</v>
      </c>
      <c r="R86" s="159" t="s">
        <v>204</v>
      </c>
      <c r="S86" s="159" t="str">
        <f>MID(PAA[[#This Row],[Meta Proyecto de Inversión]],1,4)</f>
        <v>8126</v>
      </c>
      <c r="T86" s="159" t="str">
        <f>MID(PAA[[#This Row],[Meta Proyecto de Inversión]],6,1)</f>
        <v>5</v>
      </c>
      <c r="U86" s="160" t="str">
        <f>IFERROR(VLOOKUP(N86,TD!$B$50:$F$54,2,0)," ")</f>
        <v>O230117</v>
      </c>
      <c r="V86" s="160" t="str">
        <f>IFERROR(VLOOKUP(N86,TD!$B$50:$F$54,3,0)," ")</f>
        <v>4599</v>
      </c>
      <c r="W86" s="160">
        <f>IFERROR(VLOOKUP(N86,TD!$B$50:$F$54,4,0)," ")</f>
        <v>20240207</v>
      </c>
      <c r="X86" s="159" t="s">
        <v>168</v>
      </c>
      <c r="Y86" s="160" t="str">
        <f>IFERROR(VLOOKUP(X86,TD!$J$51:$K$64,2,0)," ")</f>
        <v>Infraestructura Tecnológica   (Sistemas de Información y Tecnologia)</v>
      </c>
      <c r="Z86" s="161" t="str">
        <f>CONCATENATE(X86,"-",Y86)</f>
        <v>11-Infraestructura Tecnológica   (Sistemas de Información y Tecnologia)</v>
      </c>
      <c r="AA86" s="159" t="s">
        <v>228</v>
      </c>
      <c r="AB86" s="160" t="str">
        <f>IFERROR(VLOOKUP(AA86,TD!$N$51:$O$66,2,0)," ")</f>
        <v>Servicios tecnológicos</v>
      </c>
      <c r="AC86" s="161" t="str">
        <f>CONCATENATE(AA86,"_",AB86)</f>
        <v>007_Servicios tecnológicos</v>
      </c>
      <c r="AD86" s="161" t="str">
        <f>CONCATENATE(Z86," ",AC86)</f>
        <v>11-Infraestructura Tecnológica   (Sistemas de Información y Tecnologia) 007_Servicios tecnológicos</v>
      </c>
      <c r="AE86" s="160" t="str">
        <f>CONCATENATE(U86,V86,W86,X86,AA86)</f>
        <v>O23011745992024020711007</v>
      </c>
      <c r="AF86" s="160" t="str">
        <f>IFERROR(VLOOKUP(AD86,TD!$J$66:$K$89,2,0)," ")</f>
        <v>PM/0131/0111/45990070207</v>
      </c>
      <c r="AG86" s="118" t="s">
        <v>116</v>
      </c>
      <c r="AH86" s="159" t="s">
        <v>194</v>
      </c>
      <c r="AI86" s="162" t="str">
        <f>CONCATENATE(PAA[[#This Row],[Id Interno]],"-",PAA[[#This Row],[tipo de Contrato (TH talento humano - B/S bienes y/o servicios)]],"-",S86,"-",T86,"-",PAA[[#This Row],[Objeto de la contratación]])</f>
        <v>20260038-BS-8126-5-Adición y prorróga al contrato No. 245 de 2025 cuyo objeto es  "Contratar el servicio de mantenimiento preventivo y correctivo de los radios portátiles y móviles marca Motorola propiedad de la U.A.E. Cuerpo Oficial de Bomberos de Bogotá – TIC"</v>
      </c>
    </row>
    <row r="87" spans="2:35" ht="56" x14ac:dyDescent="0.35">
      <c r="B87" s="23">
        <v>20260039</v>
      </c>
      <c r="C87" s="99" t="s">
        <v>921</v>
      </c>
      <c r="D87" s="23" t="s">
        <v>88</v>
      </c>
      <c r="E87" s="23" t="s">
        <v>402</v>
      </c>
      <c r="F87" s="156" t="s">
        <v>89</v>
      </c>
      <c r="G87" s="157" t="s">
        <v>375</v>
      </c>
      <c r="H87" s="158">
        <v>12</v>
      </c>
      <c r="I87" s="158">
        <v>0</v>
      </c>
      <c r="J87" s="127">
        <v>100000000</v>
      </c>
      <c r="K87" s="88" t="s">
        <v>398</v>
      </c>
      <c r="L87" s="156" t="s">
        <v>151</v>
      </c>
      <c r="M87" s="159" t="s">
        <v>401</v>
      </c>
      <c r="N87" s="23" t="s">
        <v>197</v>
      </c>
      <c r="O87" s="151" t="s">
        <v>963</v>
      </c>
      <c r="P87" s="156" t="s">
        <v>348</v>
      </c>
      <c r="Q87" s="53" t="s">
        <v>450</v>
      </c>
      <c r="R87" s="159" t="s">
        <v>204</v>
      </c>
      <c r="S87" s="159" t="str">
        <f>MID(PAA[[#This Row],[Meta Proyecto de Inversión]],1,4)</f>
        <v>8126</v>
      </c>
      <c r="T87" s="159" t="str">
        <f>MID(PAA[[#This Row],[Meta Proyecto de Inversión]],6,1)</f>
        <v>5</v>
      </c>
      <c r="U87" s="160" t="str">
        <f>IFERROR(VLOOKUP(N87,TD!$B$50:$F$54,2,0)," ")</f>
        <v>O230117</v>
      </c>
      <c r="V87" s="160" t="str">
        <f>IFERROR(VLOOKUP(N87,TD!$B$50:$F$54,3,0)," ")</f>
        <v>4599</v>
      </c>
      <c r="W87" s="160">
        <f>IFERROR(VLOOKUP(N87,TD!$B$50:$F$54,4,0)," ")</f>
        <v>20240207</v>
      </c>
      <c r="X87" s="159" t="s">
        <v>168</v>
      </c>
      <c r="Y87" s="160" t="str">
        <f>IFERROR(VLOOKUP(X87,TD!$J$51:$K$64,2,0)," ")</f>
        <v>Infraestructura Tecnológica   (Sistemas de Información y Tecnologia)</v>
      </c>
      <c r="Z87" s="161" t="str">
        <f>CONCATENATE(X87,"-",Y87)</f>
        <v>11-Infraestructura Tecnológica   (Sistemas de Información y Tecnologia)</v>
      </c>
      <c r="AA87" s="159" t="s">
        <v>228</v>
      </c>
      <c r="AB87" s="160" t="str">
        <f>IFERROR(VLOOKUP(AA87,TD!$N$51:$O$66,2,0)," ")</f>
        <v>Servicios tecnológicos</v>
      </c>
      <c r="AC87" s="161" t="str">
        <f>CONCATENATE(AA87,"_",AB87)</f>
        <v>007_Servicios tecnológicos</v>
      </c>
      <c r="AD87" s="161" t="str">
        <f>CONCATENATE(Z87," ",AC87)</f>
        <v>11-Infraestructura Tecnológica   (Sistemas de Información y Tecnologia) 007_Servicios tecnológicos</v>
      </c>
      <c r="AE87" s="160" t="str">
        <f>CONCATENATE(U87,V87,W87,X87,AA87)</f>
        <v>O23011745992024020711007</v>
      </c>
      <c r="AF87" s="160" t="str">
        <f>IFERROR(VLOOKUP(AD87,TD!$J$66:$K$89,2,0)," ")</f>
        <v>PM/0131/0111/45990070207</v>
      </c>
      <c r="AG87" s="118" t="s">
        <v>116</v>
      </c>
      <c r="AH87" s="159" t="s">
        <v>194</v>
      </c>
      <c r="AI87" s="162" t="str">
        <f>CONCATENATE(PAA[[#This Row],[Id Interno]],"-",PAA[[#This Row],[tipo de Contrato (TH talento humano - B/S bienes y/o servicios)]],"-",S87,"-",T87,"-",PAA[[#This Row],[Objeto de la contratación]])</f>
        <v>20260039-BS-8126-5-Adición y prorróga al contrato No. 493 de 2025 cuyo objeto es "Contratar la adquisicion, modernizacion y mantenimiento preventivo y correctivo de UPS,  aires acondicionados con suministro de repuestos, para todas las sedes de la U.A.E. Cuerpo Oficial de Bomberos de Bogotá - TIC."</v>
      </c>
    </row>
    <row r="88" spans="2:35" ht="84" x14ac:dyDescent="0.35">
      <c r="B88" s="23">
        <v>20260040</v>
      </c>
      <c r="C88" s="99" t="s">
        <v>434</v>
      </c>
      <c r="D88" s="23" t="s">
        <v>105</v>
      </c>
      <c r="E88" s="23" t="s">
        <v>402</v>
      </c>
      <c r="F88" s="156" t="s">
        <v>138</v>
      </c>
      <c r="G88" s="157" t="s">
        <v>383</v>
      </c>
      <c r="H88" s="158">
        <v>12</v>
      </c>
      <c r="I88" s="158">
        <v>0</v>
      </c>
      <c r="J88" s="127">
        <v>100000000</v>
      </c>
      <c r="K88" s="88" t="s">
        <v>398</v>
      </c>
      <c r="L88" s="156" t="s">
        <v>151</v>
      </c>
      <c r="M88" s="159" t="s">
        <v>401</v>
      </c>
      <c r="N88" s="23" t="s">
        <v>197</v>
      </c>
      <c r="O88" s="151" t="s">
        <v>963</v>
      </c>
      <c r="P88" s="156" t="s">
        <v>348</v>
      </c>
      <c r="Q88" s="53">
        <v>81112217</v>
      </c>
      <c r="R88" s="159" t="s">
        <v>203</v>
      </c>
      <c r="S88" s="159" t="str">
        <f>MID(PAA[[#This Row],[Meta Proyecto de Inversión]],1,4)</f>
        <v>8126</v>
      </c>
      <c r="T88" s="159" t="str">
        <f>MID(PAA[[#This Row],[Meta Proyecto de Inversión]],6,1)</f>
        <v>4</v>
      </c>
      <c r="U88" s="160" t="str">
        <f>IFERROR(VLOOKUP(N88,TD!$B$50:$F$54,2,0)," ")</f>
        <v>O230117</v>
      </c>
      <c r="V88" s="160" t="str">
        <f>IFERROR(VLOOKUP(N88,TD!$B$50:$F$54,3,0)," ")</f>
        <v>4599</v>
      </c>
      <c r="W88" s="160">
        <f>IFERROR(VLOOKUP(N88,TD!$B$50:$F$54,4,0)," ")</f>
        <v>20240207</v>
      </c>
      <c r="X88" s="159" t="s">
        <v>168</v>
      </c>
      <c r="Y88" s="160" t="str">
        <f>IFERROR(VLOOKUP(X88,TD!$J$51:$K$64,2,0)," ")</f>
        <v>Infraestructura Tecnológica   (Sistemas de Información y Tecnologia)</v>
      </c>
      <c r="Z88" s="161" t="str">
        <f>CONCATENATE(X88,"-",Y88)</f>
        <v>11-Infraestructura Tecnológica   (Sistemas de Información y Tecnologia)</v>
      </c>
      <c r="AA88" s="159" t="s">
        <v>228</v>
      </c>
      <c r="AB88" s="160" t="str">
        <f>IFERROR(VLOOKUP(AA88,TD!$N$51:$O$66,2,0)," ")</f>
        <v>Servicios tecnológicos</v>
      </c>
      <c r="AC88" s="161" t="str">
        <f>CONCATENATE(AA88,"_",AB88)</f>
        <v>007_Servicios tecnológicos</v>
      </c>
      <c r="AD88" s="161" t="str">
        <f>CONCATENATE(Z88," ",AC88)</f>
        <v>11-Infraestructura Tecnológica   (Sistemas de Información y Tecnologia) 007_Servicios tecnológicos</v>
      </c>
      <c r="AE88" s="160" t="str">
        <f>CONCATENATE(U88,V88,W88,X88,AA88)</f>
        <v>O23011745992024020711007</v>
      </c>
      <c r="AF88" s="160" t="str">
        <f>IFERROR(VLOOKUP(AD88,TD!$J$66:$K$89,2,0)," ")</f>
        <v>PM/0131/0111/45990070207</v>
      </c>
      <c r="AG88" s="118" t="s">
        <v>116</v>
      </c>
      <c r="AH88" s="159" t="s">
        <v>193</v>
      </c>
      <c r="AI88" s="162" t="str">
        <f>CONCATENATE(PAA[[#This Row],[Id Interno]],"-",PAA[[#This Row],[tipo de Contrato (TH talento humano - B/S bienes y/o servicios)]],"-",S88,"-",T88,"-",PAA[[#This Row],[Objeto de la contratación]])</f>
        <v>20260040-BS-8126-4-Contratar el servicio de actualización y soporte de licenciamiento ArcGIS para la U.A.E. Cuerpo Oficial de Bomberos de Bogotá.- TIC</v>
      </c>
    </row>
    <row r="89" spans="2:35" ht="70" x14ac:dyDescent="0.35">
      <c r="B89" s="23">
        <v>20260041</v>
      </c>
      <c r="C89" s="99" t="s">
        <v>435</v>
      </c>
      <c r="D89" s="23" t="s">
        <v>92</v>
      </c>
      <c r="E89" s="23" t="s">
        <v>402</v>
      </c>
      <c r="F89" s="156" t="s">
        <v>89</v>
      </c>
      <c r="G89" s="157" t="s">
        <v>380</v>
      </c>
      <c r="H89" s="158">
        <v>12</v>
      </c>
      <c r="I89" s="158">
        <v>0</v>
      </c>
      <c r="J89" s="127">
        <v>15000000</v>
      </c>
      <c r="K89" s="88" t="s">
        <v>398</v>
      </c>
      <c r="L89" s="156" t="s">
        <v>151</v>
      </c>
      <c r="M89" s="159" t="s">
        <v>401</v>
      </c>
      <c r="N89" s="23" t="s">
        <v>197</v>
      </c>
      <c r="O89" s="151" t="s">
        <v>963</v>
      </c>
      <c r="P89" s="156" t="s">
        <v>348</v>
      </c>
      <c r="Q89" s="53" t="s">
        <v>451</v>
      </c>
      <c r="R89" s="159" t="s">
        <v>204</v>
      </c>
      <c r="S89" s="159" t="str">
        <f>MID(PAA[[#This Row],[Meta Proyecto de Inversión]],1,4)</f>
        <v>8126</v>
      </c>
      <c r="T89" s="159" t="str">
        <f>MID(PAA[[#This Row],[Meta Proyecto de Inversión]],6,1)</f>
        <v>5</v>
      </c>
      <c r="U89" s="160" t="str">
        <f>IFERROR(VLOOKUP(N89,TD!$B$50:$F$54,2,0)," ")</f>
        <v>O230117</v>
      </c>
      <c r="V89" s="160" t="str">
        <f>IFERROR(VLOOKUP(N89,TD!$B$50:$F$54,3,0)," ")</f>
        <v>4599</v>
      </c>
      <c r="W89" s="160">
        <f>IFERROR(VLOOKUP(N89,TD!$B$50:$F$54,4,0)," ")</f>
        <v>20240207</v>
      </c>
      <c r="X89" s="159" t="s">
        <v>168</v>
      </c>
      <c r="Y89" s="160" t="str">
        <f>IFERROR(VLOOKUP(X89,TD!$J$51:$K$64,2,0)," ")</f>
        <v>Infraestructura Tecnológica   (Sistemas de Información y Tecnologia)</v>
      </c>
      <c r="Z89" s="161" t="str">
        <f>CONCATENATE(X89,"-",Y89)</f>
        <v>11-Infraestructura Tecnológica   (Sistemas de Información y Tecnologia)</v>
      </c>
      <c r="AA89" s="159" t="s">
        <v>228</v>
      </c>
      <c r="AB89" s="160" t="str">
        <f>IFERROR(VLOOKUP(AA89,TD!$N$51:$O$66,2,0)," ")</f>
        <v>Servicios tecnológicos</v>
      </c>
      <c r="AC89" s="161" t="str">
        <f>CONCATENATE(AA89,"_",AB89)</f>
        <v>007_Servicios tecnológicos</v>
      </c>
      <c r="AD89" s="161" t="str">
        <f>CONCATENATE(Z89," ",AC89)</f>
        <v>11-Infraestructura Tecnológica   (Sistemas de Información y Tecnologia) 007_Servicios tecnológicos</v>
      </c>
      <c r="AE89" s="160" t="str">
        <f>CONCATENATE(U89,V89,W89,X89,AA89)</f>
        <v>O23011745992024020711007</v>
      </c>
      <c r="AF89" s="160" t="str">
        <f>IFERROR(VLOOKUP(AD89,TD!$J$66:$K$89,2,0)," ")</f>
        <v>PM/0131/0111/45990070207</v>
      </c>
      <c r="AG89" s="118" t="s">
        <v>116</v>
      </c>
      <c r="AH89" s="159" t="s">
        <v>193</v>
      </c>
      <c r="AI89" s="162" t="str">
        <f>CONCATENATE(PAA[[#This Row],[Id Interno]],"-",PAA[[#This Row],[tipo de Contrato (TH talento humano - B/S bienes y/o servicios)]],"-",S89,"-",T89,"-",PAA[[#This Row],[Objeto de la contratación]])</f>
        <v xml:space="preserve">20260041-BS-8126-5-Contratar la adquisición de tarjetas de comunicación satelital de voz, para la U.A.E. Cuerpo Oficial de Bomberos de Bogotá. </v>
      </c>
    </row>
    <row r="90" spans="2:35" ht="56" x14ac:dyDescent="0.35">
      <c r="B90" s="23">
        <v>20260042</v>
      </c>
      <c r="C90" s="99" t="s">
        <v>436</v>
      </c>
      <c r="D90" s="23" t="s">
        <v>88</v>
      </c>
      <c r="E90" s="23" t="s">
        <v>402</v>
      </c>
      <c r="F90" s="156" t="s">
        <v>138</v>
      </c>
      <c r="G90" s="157" t="s">
        <v>382</v>
      </c>
      <c r="H90" s="158">
        <v>12</v>
      </c>
      <c r="I90" s="158">
        <v>0</v>
      </c>
      <c r="J90" s="127">
        <v>100000000</v>
      </c>
      <c r="K90" s="88" t="s">
        <v>398</v>
      </c>
      <c r="L90" s="156" t="s">
        <v>151</v>
      </c>
      <c r="M90" s="159" t="s">
        <v>401</v>
      </c>
      <c r="N90" s="23" t="s">
        <v>197</v>
      </c>
      <c r="O90" s="151" t="s">
        <v>963</v>
      </c>
      <c r="P90" s="156" t="s">
        <v>348</v>
      </c>
      <c r="Q90" s="53">
        <v>43222635</v>
      </c>
      <c r="R90" s="159" t="s">
        <v>204</v>
      </c>
      <c r="S90" s="159" t="str">
        <f>MID(PAA[[#This Row],[Meta Proyecto de Inversión]],1,4)</f>
        <v>8126</v>
      </c>
      <c r="T90" s="159" t="str">
        <f>MID(PAA[[#This Row],[Meta Proyecto de Inversión]],6,1)</f>
        <v>5</v>
      </c>
      <c r="U90" s="160" t="str">
        <f>IFERROR(VLOOKUP(N90,TD!$B$50:$F$54,2,0)," ")</f>
        <v>O230117</v>
      </c>
      <c r="V90" s="160" t="str">
        <f>IFERROR(VLOOKUP(N90,TD!$B$50:$F$54,3,0)," ")</f>
        <v>4599</v>
      </c>
      <c r="W90" s="160">
        <f>IFERROR(VLOOKUP(N90,TD!$B$50:$F$54,4,0)," ")</f>
        <v>20240207</v>
      </c>
      <c r="X90" s="159" t="s">
        <v>168</v>
      </c>
      <c r="Y90" s="160" t="str">
        <f>IFERROR(VLOOKUP(X90,TD!$J$51:$K$64,2,0)," ")</f>
        <v>Infraestructura Tecnológica   (Sistemas de Información y Tecnologia)</v>
      </c>
      <c r="Z90" s="161" t="str">
        <f>CONCATENATE(X90,"-",Y90)</f>
        <v>11-Infraestructura Tecnológica   (Sistemas de Información y Tecnologia)</v>
      </c>
      <c r="AA90" s="159" t="s">
        <v>228</v>
      </c>
      <c r="AB90" s="160" t="str">
        <f>IFERROR(VLOOKUP(AA90,TD!$N$51:$O$66,2,0)," ")</f>
        <v>Servicios tecnológicos</v>
      </c>
      <c r="AC90" s="161" t="str">
        <f>CONCATENATE(AA90,"_",AB90)</f>
        <v>007_Servicios tecnológicos</v>
      </c>
      <c r="AD90" s="161" t="str">
        <f>CONCATENATE(Z90," ",AC90)</f>
        <v>11-Infraestructura Tecnológica   (Sistemas de Información y Tecnologia) 007_Servicios tecnológicos</v>
      </c>
      <c r="AE90" s="160" t="str">
        <f>CONCATENATE(U90,V90,W90,X90,AA90)</f>
        <v>O23011745992024020711007</v>
      </c>
      <c r="AF90" s="160" t="str">
        <f>IFERROR(VLOOKUP(AD90,TD!$J$66:$K$89,2,0)," ")</f>
        <v>PM/0131/0111/45990070207</v>
      </c>
      <c r="AG90" s="118" t="s">
        <v>116</v>
      </c>
      <c r="AH90" s="159" t="s">
        <v>193</v>
      </c>
      <c r="AI90" s="162" t="str">
        <f>CONCATENATE(PAA[[#This Row],[Id Interno]],"-",PAA[[#This Row],[tipo de Contrato (TH talento humano - B/S bienes y/o servicios)]],"-",S90,"-",T90,"-",PAA[[#This Row],[Objeto de la contratación]])</f>
        <v>20260042-BS-8126-5-Contratar la renovación de garantía y soporte de fabrica de los equipos activos que hacen parte de la infraestructura tecnológica de la U.A.E. Cuerpo Oficial de Bomberos de Bogotá.</v>
      </c>
    </row>
    <row r="91" spans="2:35" ht="56" x14ac:dyDescent="0.35">
      <c r="B91" s="23">
        <v>20260043</v>
      </c>
      <c r="C91" s="99" t="s">
        <v>437</v>
      </c>
      <c r="D91" s="23" t="s">
        <v>105</v>
      </c>
      <c r="E91" s="23" t="s">
        <v>402</v>
      </c>
      <c r="F91" s="156" t="s">
        <v>138</v>
      </c>
      <c r="G91" s="157" t="s">
        <v>376</v>
      </c>
      <c r="H91" s="158">
        <v>12</v>
      </c>
      <c r="I91" s="158">
        <v>0</v>
      </c>
      <c r="J91" s="127">
        <v>30000000</v>
      </c>
      <c r="K91" s="88" t="s">
        <v>398</v>
      </c>
      <c r="L91" s="156" t="s">
        <v>151</v>
      </c>
      <c r="M91" s="159" t="s">
        <v>401</v>
      </c>
      <c r="N91" s="23" t="s">
        <v>197</v>
      </c>
      <c r="O91" s="151" t="s">
        <v>963</v>
      </c>
      <c r="P91" s="156" t="s">
        <v>348</v>
      </c>
      <c r="Q91" s="53" t="s">
        <v>452</v>
      </c>
      <c r="R91" s="159" t="s">
        <v>203</v>
      </c>
      <c r="S91" s="159" t="str">
        <f>MID(PAA[[#This Row],[Meta Proyecto de Inversión]],1,4)</f>
        <v>8126</v>
      </c>
      <c r="T91" s="159" t="str">
        <f>MID(PAA[[#This Row],[Meta Proyecto de Inversión]],6,1)</f>
        <v>4</v>
      </c>
      <c r="U91" s="160" t="str">
        <f>IFERROR(VLOOKUP(N91,TD!$B$50:$F$54,2,0)," ")</f>
        <v>O230117</v>
      </c>
      <c r="V91" s="160" t="str">
        <f>IFERROR(VLOOKUP(N91,TD!$B$50:$F$54,3,0)," ")</f>
        <v>4599</v>
      </c>
      <c r="W91" s="160">
        <f>IFERROR(VLOOKUP(N91,TD!$B$50:$F$54,4,0)," ")</f>
        <v>20240207</v>
      </c>
      <c r="X91" s="159" t="s">
        <v>168</v>
      </c>
      <c r="Y91" s="160" t="str">
        <f>IFERROR(VLOOKUP(X91,TD!$J$51:$K$64,2,0)," ")</f>
        <v>Infraestructura Tecnológica   (Sistemas de Información y Tecnologia)</v>
      </c>
      <c r="Z91" s="161" t="str">
        <f>CONCATENATE(X91,"-",Y91)</f>
        <v>11-Infraestructura Tecnológica   (Sistemas de Información y Tecnologia)</v>
      </c>
      <c r="AA91" s="159" t="s">
        <v>228</v>
      </c>
      <c r="AB91" s="160" t="str">
        <f>IFERROR(VLOOKUP(AA91,TD!$N$51:$O$66,2,0)," ")</f>
        <v>Servicios tecnológicos</v>
      </c>
      <c r="AC91" s="161" t="str">
        <f>CONCATENATE(AA91,"_",AB91)</f>
        <v>007_Servicios tecnológicos</v>
      </c>
      <c r="AD91" s="161" t="str">
        <f>CONCATENATE(Z91," ",AC91)</f>
        <v>11-Infraestructura Tecnológica   (Sistemas de Información y Tecnologia) 007_Servicios tecnológicos</v>
      </c>
      <c r="AE91" s="160" t="str">
        <f>CONCATENATE(U91,V91,W91,X91,AA91)</f>
        <v>O23011745992024020711007</v>
      </c>
      <c r="AF91" s="160" t="str">
        <f>IFERROR(VLOOKUP(AD91,TD!$J$66:$K$89,2,0)," ")</f>
        <v>PM/0131/0111/45990070207</v>
      </c>
      <c r="AG91" s="118" t="s">
        <v>116</v>
      </c>
      <c r="AH91" s="159" t="s">
        <v>193</v>
      </c>
      <c r="AI91" s="162" t="str">
        <f>CONCATENATE(PAA[[#This Row],[Id Interno]],"-",PAA[[#This Row],[tipo de Contrato (TH talento humano - B/S bienes y/o servicios)]],"-",S91,"-",T91,"-",PAA[[#This Row],[Objeto de la contratación]])</f>
        <v>20260043-BS-8126-4-Actualización y renovación para ASMS( Aranda service manangment suite), soporte y mantenimiento del licenciamiento Software Aranda para la U.A.E. Cuerpo Oficial de Bomberos Bogota - TIC</v>
      </c>
    </row>
    <row r="92" spans="2:35" ht="56" x14ac:dyDescent="0.35">
      <c r="B92" s="23">
        <v>20260044</v>
      </c>
      <c r="C92" s="99" t="s">
        <v>438</v>
      </c>
      <c r="D92" s="23" t="s">
        <v>105</v>
      </c>
      <c r="E92" s="23" t="s">
        <v>402</v>
      </c>
      <c r="F92" s="156" t="s">
        <v>143</v>
      </c>
      <c r="G92" s="157" t="s">
        <v>373</v>
      </c>
      <c r="H92" s="158">
        <v>12</v>
      </c>
      <c r="I92" s="158">
        <v>0</v>
      </c>
      <c r="J92" s="127">
        <v>25000000</v>
      </c>
      <c r="K92" s="88" t="s">
        <v>398</v>
      </c>
      <c r="L92" s="156" t="s">
        <v>151</v>
      </c>
      <c r="M92" s="159" t="s">
        <v>401</v>
      </c>
      <c r="N92" s="23" t="s">
        <v>197</v>
      </c>
      <c r="O92" s="151" t="s">
        <v>963</v>
      </c>
      <c r="P92" s="156" t="s">
        <v>348</v>
      </c>
      <c r="Q92" s="53" t="s">
        <v>453</v>
      </c>
      <c r="R92" s="159" t="s">
        <v>203</v>
      </c>
      <c r="S92" s="159" t="str">
        <f>MID(PAA[[#This Row],[Meta Proyecto de Inversión]],1,4)</f>
        <v>8126</v>
      </c>
      <c r="T92" s="159" t="str">
        <f>MID(PAA[[#This Row],[Meta Proyecto de Inversión]],6,1)</f>
        <v>4</v>
      </c>
      <c r="U92" s="160" t="str">
        <f>IFERROR(VLOOKUP(N92,TD!$B$50:$F$54,2,0)," ")</f>
        <v>O230117</v>
      </c>
      <c r="V92" s="160" t="str">
        <f>IFERROR(VLOOKUP(N92,TD!$B$50:$F$54,3,0)," ")</f>
        <v>4599</v>
      </c>
      <c r="W92" s="160">
        <f>IFERROR(VLOOKUP(N92,TD!$B$50:$F$54,4,0)," ")</f>
        <v>20240207</v>
      </c>
      <c r="X92" s="159" t="s">
        <v>168</v>
      </c>
      <c r="Y92" s="160" t="str">
        <f>IFERROR(VLOOKUP(X92,TD!$J$51:$K$64,2,0)," ")</f>
        <v>Infraestructura Tecnológica   (Sistemas de Información y Tecnologia)</v>
      </c>
      <c r="Z92" s="161" t="str">
        <f>CONCATENATE(X92,"-",Y92)</f>
        <v>11-Infraestructura Tecnológica   (Sistemas de Información y Tecnologia)</v>
      </c>
      <c r="AA92" s="159" t="s">
        <v>228</v>
      </c>
      <c r="AB92" s="160" t="str">
        <f>IFERROR(VLOOKUP(AA92,TD!$N$51:$O$66,2,0)," ")</f>
        <v>Servicios tecnológicos</v>
      </c>
      <c r="AC92" s="161" t="str">
        <f>CONCATENATE(AA92,"_",AB92)</f>
        <v>007_Servicios tecnológicos</v>
      </c>
      <c r="AD92" s="161" t="str">
        <f>CONCATENATE(Z92," ",AC92)</f>
        <v>11-Infraestructura Tecnológica   (Sistemas de Información y Tecnologia) 007_Servicios tecnológicos</v>
      </c>
      <c r="AE92" s="160" t="str">
        <f>CONCATENATE(U92,V92,W92,X92,AA92)</f>
        <v>O23011745992024020711007</v>
      </c>
      <c r="AF92" s="160" t="str">
        <f>IFERROR(VLOOKUP(AD92,TD!$J$66:$K$89,2,0)," ")</f>
        <v>PM/0131/0111/45990070207</v>
      </c>
      <c r="AG92" s="118" t="s">
        <v>116</v>
      </c>
      <c r="AH92" s="159" t="s">
        <v>193</v>
      </c>
      <c r="AI92" s="162" t="str">
        <f>CONCATENATE(PAA[[#This Row],[Id Interno]],"-",PAA[[#This Row],[tipo de Contrato (TH talento humano - B/S bienes y/o servicios)]],"-",S92,"-",T92,"-",PAA[[#This Row],[Objeto de la contratación]])</f>
        <v>20260044-BS-8126-4-Contratar el servicio de mantenimiento, soporte técnico y actualización del aplicativo PCT, utilizado por la UAE Cuerpo Oficial de Bomberos de Bogota - TIC</v>
      </c>
    </row>
    <row r="93" spans="2:35" ht="70" x14ac:dyDescent="0.35">
      <c r="B93" s="23">
        <v>20260045</v>
      </c>
      <c r="C93" s="99" t="s">
        <v>439</v>
      </c>
      <c r="D93" s="23" t="s">
        <v>105</v>
      </c>
      <c r="E93" s="23" t="s">
        <v>402</v>
      </c>
      <c r="F93" s="156" t="s">
        <v>138</v>
      </c>
      <c r="G93" s="157" t="s">
        <v>378</v>
      </c>
      <c r="H93" s="158">
        <v>12</v>
      </c>
      <c r="I93" s="158">
        <v>0</v>
      </c>
      <c r="J93" s="127">
        <v>200000000</v>
      </c>
      <c r="K93" s="88" t="s">
        <v>398</v>
      </c>
      <c r="L93" s="156" t="s">
        <v>151</v>
      </c>
      <c r="M93" s="159" t="s">
        <v>401</v>
      </c>
      <c r="N93" s="23" t="s">
        <v>197</v>
      </c>
      <c r="O93" s="151" t="s">
        <v>963</v>
      </c>
      <c r="P93" s="156" t="s">
        <v>348</v>
      </c>
      <c r="Q93" s="53" t="s">
        <v>454</v>
      </c>
      <c r="R93" s="159" t="s">
        <v>203</v>
      </c>
      <c r="S93" s="159" t="str">
        <f>MID(PAA[[#This Row],[Meta Proyecto de Inversión]],1,4)</f>
        <v>8126</v>
      </c>
      <c r="T93" s="159" t="str">
        <f>MID(PAA[[#This Row],[Meta Proyecto de Inversión]],6,1)</f>
        <v>4</v>
      </c>
      <c r="U93" s="160" t="str">
        <f>IFERROR(VLOOKUP(N93,TD!$B$50:$F$54,2,0)," ")</f>
        <v>O230117</v>
      </c>
      <c r="V93" s="160" t="str">
        <f>IFERROR(VLOOKUP(N93,TD!$B$50:$F$54,3,0)," ")</f>
        <v>4599</v>
      </c>
      <c r="W93" s="160">
        <f>IFERROR(VLOOKUP(N93,TD!$B$50:$F$54,4,0)," ")</f>
        <v>20240207</v>
      </c>
      <c r="X93" s="159" t="s">
        <v>168</v>
      </c>
      <c r="Y93" s="160" t="str">
        <f>IFERROR(VLOOKUP(X93,TD!$J$51:$K$64,2,0)," ")</f>
        <v>Infraestructura Tecnológica   (Sistemas de Información y Tecnologia)</v>
      </c>
      <c r="Z93" s="161" t="str">
        <f>CONCATENATE(X93,"-",Y93)</f>
        <v>11-Infraestructura Tecnológica   (Sistemas de Información y Tecnologia)</v>
      </c>
      <c r="AA93" s="159" t="s">
        <v>228</v>
      </c>
      <c r="AB93" s="160" t="str">
        <f>IFERROR(VLOOKUP(AA93,TD!$N$51:$O$66,2,0)," ")</f>
        <v>Servicios tecnológicos</v>
      </c>
      <c r="AC93" s="161" t="str">
        <f>CONCATENATE(AA93,"_",AB93)</f>
        <v>007_Servicios tecnológicos</v>
      </c>
      <c r="AD93" s="161" t="str">
        <f>CONCATENATE(Z93," ",AC93)</f>
        <v>11-Infraestructura Tecnológica   (Sistemas de Información y Tecnologia) 007_Servicios tecnológicos</v>
      </c>
      <c r="AE93" s="160" t="str">
        <f>CONCATENATE(U93,V93,W93,X93,AA93)</f>
        <v>O23011745992024020711007</v>
      </c>
      <c r="AF93" s="160" t="str">
        <f>IFERROR(VLOOKUP(AD93,TD!$J$66:$K$89,2,0)," ")</f>
        <v>PM/0131/0111/45990070207</v>
      </c>
      <c r="AG93" s="118" t="s">
        <v>116</v>
      </c>
      <c r="AH93" s="159" t="s">
        <v>193</v>
      </c>
      <c r="AI93" s="162" t="str">
        <f>CONCATENATE(PAA[[#This Row],[Id Interno]],"-",PAA[[#This Row],[tipo de Contrato (TH talento humano - B/S bienes y/o servicios)]],"-",S93,"-",T93,"-",PAA[[#This Row],[Objeto de la contratación]])</f>
        <v>20260045-BS-8126-4-Contratar la renovación , servicio de actualización y soporte de licenciamiento Oracle para Base de Datos,  y Web Logic para la U.A.E. Cuerpo Oficial de Bomberos de Bogotá - TIC</v>
      </c>
    </row>
    <row r="94" spans="2:35" ht="56" x14ac:dyDescent="0.35">
      <c r="B94" s="23">
        <v>20260046</v>
      </c>
      <c r="C94" s="99" t="s">
        <v>440</v>
      </c>
      <c r="D94" s="23" t="s">
        <v>88</v>
      </c>
      <c r="E94" s="23" t="s">
        <v>402</v>
      </c>
      <c r="F94" s="156" t="s">
        <v>89</v>
      </c>
      <c r="G94" s="157" t="s">
        <v>374</v>
      </c>
      <c r="H94" s="158">
        <v>12</v>
      </c>
      <c r="I94" s="158">
        <v>0</v>
      </c>
      <c r="J94" s="127">
        <v>50000000</v>
      </c>
      <c r="K94" s="88" t="s">
        <v>398</v>
      </c>
      <c r="L94" s="156" t="s">
        <v>151</v>
      </c>
      <c r="M94" s="159" t="s">
        <v>401</v>
      </c>
      <c r="N94" s="23" t="s">
        <v>197</v>
      </c>
      <c r="O94" s="151" t="s">
        <v>963</v>
      </c>
      <c r="P94" s="156" t="s">
        <v>348</v>
      </c>
      <c r="Q94" s="53" t="s">
        <v>455</v>
      </c>
      <c r="R94" s="159" t="s">
        <v>204</v>
      </c>
      <c r="S94" s="159" t="str">
        <f>MID(PAA[[#This Row],[Meta Proyecto de Inversión]],1,4)</f>
        <v>8126</v>
      </c>
      <c r="T94" s="159" t="str">
        <f>MID(PAA[[#This Row],[Meta Proyecto de Inversión]],6,1)</f>
        <v>5</v>
      </c>
      <c r="U94" s="160" t="str">
        <f>IFERROR(VLOOKUP(N94,TD!$B$50:$F$54,2,0)," ")</f>
        <v>O230117</v>
      </c>
      <c r="V94" s="160" t="str">
        <f>IFERROR(VLOOKUP(N94,TD!$B$50:$F$54,3,0)," ")</f>
        <v>4599</v>
      </c>
      <c r="W94" s="160">
        <f>IFERROR(VLOOKUP(N94,TD!$B$50:$F$54,4,0)," ")</f>
        <v>20240207</v>
      </c>
      <c r="X94" s="159" t="s">
        <v>168</v>
      </c>
      <c r="Y94" s="160" t="str">
        <f>IFERROR(VLOOKUP(X94,TD!$J$51:$K$64,2,0)," ")</f>
        <v>Infraestructura Tecnológica   (Sistemas de Información y Tecnologia)</v>
      </c>
      <c r="Z94" s="161" t="str">
        <f>CONCATENATE(X94,"-",Y94)</f>
        <v>11-Infraestructura Tecnológica   (Sistemas de Información y Tecnologia)</v>
      </c>
      <c r="AA94" s="159" t="s">
        <v>228</v>
      </c>
      <c r="AB94" s="160" t="str">
        <f>IFERROR(VLOOKUP(AA94,TD!$N$51:$O$66,2,0)," ")</f>
        <v>Servicios tecnológicos</v>
      </c>
      <c r="AC94" s="161" t="str">
        <f>CONCATENATE(AA94,"_",AB94)</f>
        <v>007_Servicios tecnológicos</v>
      </c>
      <c r="AD94" s="161" t="str">
        <f>CONCATENATE(Z94," ",AC94)</f>
        <v>11-Infraestructura Tecnológica   (Sistemas de Información y Tecnologia) 007_Servicios tecnológicos</v>
      </c>
      <c r="AE94" s="160" t="str">
        <f>CONCATENATE(U94,V94,W94,X94,AA94)</f>
        <v>O23011745992024020711007</v>
      </c>
      <c r="AF94" s="160" t="str">
        <f>IFERROR(VLOOKUP(AD94,TD!$J$66:$K$89,2,0)," ")</f>
        <v>PM/0131/0111/45990070207</v>
      </c>
      <c r="AG94" s="118" t="s">
        <v>116</v>
      </c>
      <c r="AH94" s="159" t="s">
        <v>193</v>
      </c>
      <c r="AI94" s="162" t="str">
        <f>CONCATENATE(PAA[[#This Row],[Id Interno]],"-",PAA[[#This Row],[tipo de Contrato (TH talento humano - B/S bienes y/o servicios)]],"-",S94,"-",T94,"-",PAA[[#This Row],[Objeto de la contratación]])</f>
        <v>20260046-BS-8126-5-Modernización y mantenimiento de la solución de control de acceso con reconocimiento facial para la U.A.E. Cuerpo Oficial Bomberos de Bogotá</v>
      </c>
    </row>
    <row r="95" spans="2:35" ht="56" x14ac:dyDescent="0.35">
      <c r="B95" s="23">
        <v>20260047</v>
      </c>
      <c r="C95" s="99" t="s">
        <v>441</v>
      </c>
      <c r="D95" s="23" t="s">
        <v>88</v>
      </c>
      <c r="E95" s="23" t="s">
        <v>402</v>
      </c>
      <c r="F95" s="156" t="s">
        <v>146</v>
      </c>
      <c r="G95" s="157" t="s">
        <v>378</v>
      </c>
      <c r="H95" s="158">
        <v>12</v>
      </c>
      <c r="I95" s="158">
        <v>0</v>
      </c>
      <c r="J95" s="127">
        <v>10000000</v>
      </c>
      <c r="K95" s="88" t="s">
        <v>398</v>
      </c>
      <c r="L95" s="156" t="s">
        <v>151</v>
      </c>
      <c r="M95" s="159" t="s">
        <v>401</v>
      </c>
      <c r="N95" s="23" t="s">
        <v>197</v>
      </c>
      <c r="O95" s="151" t="s">
        <v>963</v>
      </c>
      <c r="P95" s="156" t="s">
        <v>348</v>
      </c>
      <c r="Q95" s="53" t="s">
        <v>456</v>
      </c>
      <c r="R95" s="159" t="s">
        <v>203</v>
      </c>
      <c r="S95" s="159" t="str">
        <f>MID(PAA[[#This Row],[Meta Proyecto de Inversión]],1,4)</f>
        <v>8126</v>
      </c>
      <c r="T95" s="159" t="str">
        <f>MID(PAA[[#This Row],[Meta Proyecto de Inversión]],6,1)</f>
        <v>4</v>
      </c>
      <c r="U95" s="160" t="str">
        <f>IFERROR(VLOOKUP(N95,TD!$B$50:$F$54,2,0)," ")</f>
        <v>O230117</v>
      </c>
      <c r="V95" s="160" t="str">
        <f>IFERROR(VLOOKUP(N95,TD!$B$50:$F$54,3,0)," ")</f>
        <v>4599</v>
      </c>
      <c r="W95" s="160">
        <f>IFERROR(VLOOKUP(N95,TD!$B$50:$F$54,4,0)," ")</f>
        <v>20240207</v>
      </c>
      <c r="X95" s="159" t="s">
        <v>168</v>
      </c>
      <c r="Y95" s="160" t="str">
        <f>IFERROR(VLOOKUP(X95,TD!$J$51:$K$64,2,0)," ")</f>
        <v>Infraestructura Tecnológica   (Sistemas de Información y Tecnologia)</v>
      </c>
      <c r="Z95" s="161" t="str">
        <f>CONCATENATE(X95,"-",Y95)</f>
        <v>11-Infraestructura Tecnológica   (Sistemas de Información y Tecnologia)</v>
      </c>
      <c r="AA95" s="159" t="s">
        <v>228</v>
      </c>
      <c r="AB95" s="160" t="str">
        <f>IFERROR(VLOOKUP(AA95,TD!$N$51:$O$66,2,0)," ")</f>
        <v>Servicios tecnológicos</v>
      </c>
      <c r="AC95" s="161" t="str">
        <f>CONCATENATE(AA95,"_",AB95)</f>
        <v>007_Servicios tecnológicos</v>
      </c>
      <c r="AD95" s="161" t="str">
        <f>CONCATENATE(Z95," ",AC95)</f>
        <v>11-Infraestructura Tecnológica   (Sistemas de Información y Tecnologia) 007_Servicios tecnológicos</v>
      </c>
      <c r="AE95" s="160" t="str">
        <f>CONCATENATE(U95,V95,W95,X95,AA95)</f>
        <v>O23011745992024020711007</v>
      </c>
      <c r="AF95" s="160" t="str">
        <f>IFERROR(VLOOKUP(AD95,TD!$J$66:$K$89,2,0)," ")</f>
        <v>PM/0131/0111/45990070207</v>
      </c>
      <c r="AG95" s="118" t="s">
        <v>116</v>
      </c>
      <c r="AH95" s="159" t="s">
        <v>193</v>
      </c>
      <c r="AI95" s="162" t="str">
        <f>CONCATENATE(PAA[[#This Row],[Id Interno]],"-",PAA[[#This Row],[tipo de Contrato (TH talento humano - B/S bienes y/o servicios)]],"-",S95,"-",T95,"-",PAA[[#This Row],[Objeto de la contratación]])</f>
        <v>20260047-BS-8126-4-Contratar el servicios de mantenimiento para el sistema de atención de turnos de la U.A.E. Cuerpo Ofical de Bomberos de Bogotá - TIC</v>
      </c>
    </row>
    <row r="96" spans="2:35" ht="56" x14ac:dyDescent="0.35">
      <c r="B96" s="23">
        <v>20260048</v>
      </c>
      <c r="C96" s="99" t="s">
        <v>442</v>
      </c>
      <c r="D96" s="23" t="s">
        <v>78</v>
      </c>
      <c r="E96" s="23" t="s">
        <v>402</v>
      </c>
      <c r="F96" s="156" t="s">
        <v>89</v>
      </c>
      <c r="G96" s="157" t="s">
        <v>375</v>
      </c>
      <c r="H96" s="158">
        <v>12</v>
      </c>
      <c r="I96" s="158">
        <v>0</v>
      </c>
      <c r="J96" s="127">
        <v>307000000</v>
      </c>
      <c r="K96" s="88" t="s">
        <v>398</v>
      </c>
      <c r="L96" s="156" t="s">
        <v>151</v>
      </c>
      <c r="M96" s="159" t="s">
        <v>401</v>
      </c>
      <c r="N96" s="23" t="s">
        <v>197</v>
      </c>
      <c r="O96" s="151" t="s">
        <v>963</v>
      </c>
      <c r="P96" s="156" t="s">
        <v>348</v>
      </c>
      <c r="Q96" s="53" t="s">
        <v>457</v>
      </c>
      <c r="R96" s="159" t="s">
        <v>204</v>
      </c>
      <c r="S96" s="159" t="str">
        <f>MID(PAA[[#This Row],[Meta Proyecto de Inversión]],1,4)</f>
        <v>8126</v>
      </c>
      <c r="T96" s="159" t="str">
        <f>MID(PAA[[#This Row],[Meta Proyecto de Inversión]],6,1)</f>
        <v>5</v>
      </c>
      <c r="U96" s="160" t="str">
        <f>IFERROR(VLOOKUP(N96,TD!$B$50:$F$54,2,0)," ")</f>
        <v>O230117</v>
      </c>
      <c r="V96" s="160" t="str">
        <f>IFERROR(VLOOKUP(N96,TD!$B$50:$F$54,3,0)," ")</f>
        <v>4599</v>
      </c>
      <c r="W96" s="160">
        <f>IFERROR(VLOOKUP(N96,TD!$B$50:$F$54,4,0)," ")</f>
        <v>20240207</v>
      </c>
      <c r="X96" s="159" t="s">
        <v>168</v>
      </c>
      <c r="Y96" s="160" t="str">
        <f>IFERROR(VLOOKUP(X96,TD!$J$51:$K$64,2,0)," ")</f>
        <v>Infraestructura Tecnológica   (Sistemas de Información y Tecnologia)</v>
      </c>
      <c r="Z96" s="161" t="str">
        <f>CONCATENATE(X96,"-",Y96)</f>
        <v>11-Infraestructura Tecnológica   (Sistemas de Información y Tecnologia)</v>
      </c>
      <c r="AA96" s="159" t="s">
        <v>228</v>
      </c>
      <c r="AB96" s="160" t="str">
        <f>IFERROR(VLOOKUP(AA96,TD!$N$51:$O$66,2,0)," ")</f>
        <v>Servicios tecnológicos</v>
      </c>
      <c r="AC96" s="161" t="str">
        <f>CONCATENATE(AA96,"_",AB96)</f>
        <v>007_Servicios tecnológicos</v>
      </c>
      <c r="AD96" s="161" t="str">
        <f>CONCATENATE(Z96," ",AC96)</f>
        <v>11-Infraestructura Tecnológica   (Sistemas de Información y Tecnologia) 007_Servicios tecnológicos</v>
      </c>
      <c r="AE96" s="160" t="str">
        <f>CONCATENATE(U96,V96,W96,X96,AA96)</f>
        <v>O23011745992024020711007</v>
      </c>
      <c r="AF96" s="160" t="str">
        <f>IFERROR(VLOOKUP(AD96,TD!$J$66:$K$89,2,0)," ")</f>
        <v>PM/0131/0111/45990070207</v>
      </c>
      <c r="AG96" s="118" t="s">
        <v>121</v>
      </c>
      <c r="AH96" s="159" t="s">
        <v>193</v>
      </c>
      <c r="AI96" s="162" t="str">
        <f>CONCATENATE(PAA[[#This Row],[Id Interno]],"-",PAA[[#This Row],[tipo de Contrato (TH talento humano - B/S bienes y/o servicios)]],"-",S96,"-",T96,"-",PAA[[#This Row],[Objeto de la contratación]])</f>
        <v xml:space="preserve">20260048-BS-8126-5-Modernizacion y soporte sala de auditorio sede Principal </v>
      </c>
    </row>
    <row r="97" spans="2:35" ht="56" x14ac:dyDescent="0.35">
      <c r="B97" s="23">
        <v>20260049</v>
      </c>
      <c r="C97" s="99" t="s">
        <v>443</v>
      </c>
      <c r="D97" s="23" t="s">
        <v>83</v>
      </c>
      <c r="E97" s="23" t="s">
        <v>402</v>
      </c>
      <c r="F97" s="156" t="s">
        <v>101</v>
      </c>
      <c r="G97" s="157" t="s">
        <v>382</v>
      </c>
      <c r="H97" s="158">
        <v>6</v>
      </c>
      <c r="I97" s="158">
        <v>0</v>
      </c>
      <c r="J97" s="127">
        <v>198089314</v>
      </c>
      <c r="K97" s="88" t="s">
        <v>398</v>
      </c>
      <c r="L97" s="156" t="s">
        <v>151</v>
      </c>
      <c r="M97" s="159" t="s">
        <v>401</v>
      </c>
      <c r="N97" s="23" t="s">
        <v>197</v>
      </c>
      <c r="O97" s="151" t="s">
        <v>963</v>
      </c>
      <c r="P97" s="156" t="s">
        <v>348</v>
      </c>
      <c r="Q97" s="53" t="s">
        <v>458</v>
      </c>
      <c r="R97" s="159" t="s">
        <v>204</v>
      </c>
      <c r="S97" s="159" t="str">
        <f>MID(PAA[[#This Row],[Meta Proyecto de Inversión]],1,4)</f>
        <v>8126</v>
      </c>
      <c r="T97" s="159" t="str">
        <f>MID(PAA[[#This Row],[Meta Proyecto de Inversión]],6,1)</f>
        <v>5</v>
      </c>
      <c r="U97" s="160" t="str">
        <f>IFERROR(VLOOKUP(N97,TD!$B$50:$F$54,2,0)," ")</f>
        <v>O230117</v>
      </c>
      <c r="V97" s="160" t="str">
        <f>IFERROR(VLOOKUP(N97,TD!$B$50:$F$54,3,0)," ")</f>
        <v>4599</v>
      </c>
      <c r="W97" s="160">
        <f>IFERROR(VLOOKUP(N97,TD!$B$50:$F$54,4,0)," ")</f>
        <v>20240207</v>
      </c>
      <c r="X97" s="159" t="s">
        <v>168</v>
      </c>
      <c r="Y97" s="160" t="str">
        <f>IFERROR(VLOOKUP(X97,TD!$J$51:$K$64,2,0)," ")</f>
        <v>Infraestructura Tecnológica   (Sistemas de Información y Tecnologia)</v>
      </c>
      <c r="Z97" s="161" t="str">
        <f>CONCATENATE(X97,"-",Y97)</f>
        <v>11-Infraestructura Tecnológica   (Sistemas de Información y Tecnologia)</v>
      </c>
      <c r="AA97" s="159" t="s">
        <v>228</v>
      </c>
      <c r="AB97" s="160" t="str">
        <f>IFERROR(VLOOKUP(AA97,TD!$N$51:$O$66,2,0)," ")</f>
        <v>Servicios tecnológicos</v>
      </c>
      <c r="AC97" s="161" t="str">
        <f>CONCATENATE(AA97,"_",AB97)</f>
        <v>007_Servicios tecnológicos</v>
      </c>
      <c r="AD97" s="161" t="str">
        <f>CONCATENATE(Z97," ",AC97)</f>
        <v>11-Infraestructura Tecnológica   (Sistemas de Información y Tecnologia) 007_Servicios tecnológicos</v>
      </c>
      <c r="AE97" s="160" t="str">
        <f>CONCATENATE(U97,V97,W97,X97,AA97)</f>
        <v>O23011745992024020711007</v>
      </c>
      <c r="AF97" s="160" t="str">
        <f>IFERROR(VLOOKUP(AD97,TD!$J$66:$K$89,2,0)," ")</f>
        <v>PM/0131/0111/45990070207</v>
      </c>
      <c r="AG97" s="118" t="s">
        <v>121</v>
      </c>
      <c r="AH97" s="159" t="s">
        <v>193</v>
      </c>
      <c r="AI97" s="162" t="str">
        <f>CONCATENATE(PAA[[#This Row],[Id Interno]],"-",PAA[[#This Row],[tipo de Contrato (TH talento humano - B/S bienes y/o servicios)]],"-",S97,"-",T97,"-",PAA[[#This Row],[Objeto de la contratación]])</f>
        <v>20260049-BS-8126-5-Adquisición,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v>
      </c>
    </row>
    <row r="98" spans="2:35" ht="56" x14ac:dyDescent="0.35">
      <c r="B98" s="23">
        <v>20260050</v>
      </c>
      <c r="C98" s="99" t="s">
        <v>444</v>
      </c>
      <c r="D98" s="23" t="s">
        <v>88</v>
      </c>
      <c r="E98" s="23" t="s">
        <v>402</v>
      </c>
      <c r="F98" s="156" t="s">
        <v>101</v>
      </c>
      <c r="G98" s="157" t="s">
        <v>375</v>
      </c>
      <c r="H98" s="158">
        <v>12</v>
      </c>
      <c r="I98" s="158">
        <v>0</v>
      </c>
      <c r="J98" s="127">
        <v>300000000</v>
      </c>
      <c r="K98" s="88" t="s">
        <v>398</v>
      </c>
      <c r="L98" s="156" t="s">
        <v>151</v>
      </c>
      <c r="M98" s="159" t="s">
        <v>401</v>
      </c>
      <c r="N98" s="23" t="s">
        <v>197</v>
      </c>
      <c r="O98" s="151" t="s">
        <v>963</v>
      </c>
      <c r="P98" s="156" t="s">
        <v>348</v>
      </c>
      <c r="Q98" s="53" t="s">
        <v>458</v>
      </c>
      <c r="R98" s="159" t="s">
        <v>204</v>
      </c>
      <c r="S98" s="159" t="str">
        <f>MID(PAA[[#This Row],[Meta Proyecto de Inversión]],1,4)</f>
        <v>8126</v>
      </c>
      <c r="T98" s="159" t="str">
        <f>MID(PAA[[#This Row],[Meta Proyecto de Inversión]],6,1)</f>
        <v>5</v>
      </c>
      <c r="U98" s="160" t="str">
        <f>IFERROR(VLOOKUP(N98,TD!$B$50:$F$54,2,0)," ")</f>
        <v>O230117</v>
      </c>
      <c r="V98" s="160" t="str">
        <f>IFERROR(VLOOKUP(N98,TD!$B$50:$F$54,3,0)," ")</f>
        <v>4599</v>
      </c>
      <c r="W98" s="160">
        <f>IFERROR(VLOOKUP(N98,TD!$B$50:$F$54,4,0)," ")</f>
        <v>20240207</v>
      </c>
      <c r="X98" s="159" t="s">
        <v>168</v>
      </c>
      <c r="Y98" s="160" t="str">
        <f>IFERROR(VLOOKUP(X98,TD!$J$51:$K$64,2,0)," ")</f>
        <v>Infraestructura Tecnológica   (Sistemas de Información y Tecnologia)</v>
      </c>
      <c r="Z98" s="161" t="str">
        <f>CONCATENATE(X98,"-",Y98)</f>
        <v>11-Infraestructura Tecnológica   (Sistemas de Información y Tecnologia)</v>
      </c>
      <c r="AA98" s="159" t="s">
        <v>228</v>
      </c>
      <c r="AB98" s="160" t="str">
        <f>IFERROR(VLOOKUP(AA98,TD!$N$51:$O$66,2,0)," ")</f>
        <v>Servicios tecnológicos</v>
      </c>
      <c r="AC98" s="161" t="str">
        <f>CONCATENATE(AA98,"_",AB98)</f>
        <v>007_Servicios tecnológicos</v>
      </c>
      <c r="AD98" s="161" t="str">
        <f>CONCATENATE(Z98," ",AC98)</f>
        <v>11-Infraestructura Tecnológica   (Sistemas de Información y Tecnologia) 007_Servicios tecnológicos</v>
      </c>
      <c r="AE98" s="160" t="str">
        <f>CONCATENATE(U98,V98,W98,X98,AA98)</f>
        <v>O23011745992024020711007</v>
      </c>
      <c r="AF98" s="160" t="str">
        <f>IFERROR(VLOOKUP(AD98,TD!$J$66:$K$89,2,0)," ")</f>
        <v>PM/0131/0111/45990070207</v>
      </c>
      <c r="AG98" s="118" t="s">
        <v>121</v>
      </c>
      <c r="AH98" s="159" t="s">
        <v>193</v>
      </c>
      <c r="AI98" s="162" t="str">
        <f>CONCATENATE(PAA[[#This Row],[Id Interno]],"-",PAA[[#This Row],[tipo de Contrato (TH talento humano - B/S bienes y/o servicios)]],"-",S98,"-",T98,"-",PAA[[#This Row],[Objeto de la contratación]])</f>
        <v>20260050-BS-8126-5-Contratar la renovación tecnologica y fortalecimiento para la infraestructura de seguridad perimetral del edificio comando y estaciones para la U.A.E. Cuerpo Oficial de Bomberos de Bogotá - TIC</v>
      </c>
    </row>
    <row r="99" spans="2:35" ht="56" x14ac:dyDescent="0.35">
      <c r="B99" s="23">
        <v>20260051</v>
      </c>
      <c r="C99" s="99" t="s">
        <v>445</v>
      </c>
      <c r="D99" s="23" t="s">
        <v>114</v>
      </c>
      <c r="E99" s="23" t="s">
        <v>402</v>
      </c>
      <c r="F99" s="156" t="s">
        <v>89</v>
      </c>
      <c r="G99" s="157" t="s">
        <v>377</v>
      </c>
      <c r="H99" s="158">
        <v>12</v>
      </c>
      <c r="I99" s="158">
        <v>0</v>
      </c>
      <c r="J99" s="127">
        <f>1080700000-95000000-65650000</f>
        <v>920050000</v>
      </c>
      <c r="K99" s="88" t="s">
        <v>398</v>
      </c>
      <c r="L99" s="156" t="s">
        <v>151</v>
      </c>
      <c r="M99" s="159" t="s">
        <v>401</v>
      </c>
      <c r="N99" s="23" t="s">
        <v>197</v>
      </c>
      <c r="O99" s="151" t="s">
        <v>963</v>
      </c>
      <c r="P99" s="156" t="s">
        <v>348</v>
      </c>
      <c r="Q99" s="53" t="s">
        <v>459</v>
      </c>
      <c r="R99" s="159" t="s">
        <v>203</v>
      </c>
      <c r="S99" s="159" t="str">
        <f>MID(PAA[[#This Row],[Meta Proyecto de Inversión]],1,4)</f>
        <v>8126</v>
      </c>
      <c r="T99" s="159" t="str">
        <f>MID(PAA[[#This Row],[Meta Proyecto de Inversión]],6,1)</f>
        <v>4</v>
      </c>
      <c r="U99" s="160" t="str">
        <f>IFERROR(VLOOKUP(N99,TD!$B$50:$F$54,2,0)," ")</f>
        <v>O230117</v>
      </c>
      <c r="V99" s="160" t="str">
        <f>IFERROR(VLOOKUP(N99,TD!$B$50:$F$54,3,0)," ")</f>
        <v>4599</v>
      </c>
      <c r="W99" s="160">
        <f>IFERROR(VLOOKUP(N99,TD!$B$50:$F$54,4,0)," ")</f>
        <v>20240207</v>
      </c>
      <c r="X99" s="159" t="s">
        <v>168</v>
      </c>
      <c r="Y99" s="160" t="str">
        <f>IFERROR(VLOOKUP(X99,TD!$J$51:$K$64,2,0)," ")</f>
        <v>Infraestructura Tecnológica   (Sistemas de Información y Tecnologia)</v>
      </c>
      <c r="Z99" s="161" t="str">
        <f>CONCATENATE(X99,"-",Y99)</f>
        <v>11-Infraestructura Tecnológica   (Sistemas de Información y Tecnologia)</v>
      </c>
      <c r="AA99" s="159" t="s">
        <v>228</v>
      </c>
      <c r="AB99" s="160" t="str">
        <f>IFERROR(VLOOKUP(AA99,TD!$N$51:$O$66,2,0)," ")</f>
        <v>Servicios tecnológicos</v>
      </c>
      <c r="AC99" s="161" t="str">
        <f>CONCATENATE(AA99,"_",AB99)</f>
        <v>007_Servicios tecnológicos</v>
      </c>
      <c r="AD99" s="161" t="str">
        <f>CONCATENATE(Z99," ",AC99)</f>
        <v>11-Infraestructura Tecnológica   (Sistemas de Información y Tecnologia) 007_Servicios tecnológicos</v>
      </c>
      <c r="AE99" s="160" t="str">
        <f>CONCATENATE(U99,V99,W99,X99,AA99)</f>
        <v>O23011745992024020711007</v>
      </c>
      <c r="AF99" s="160" t="str">
        <f>IFERROR(VLOOKUP(AD99,TD!$J$66:$K$89,2,0)," ")</f>
        <v>PM/0131/0111/45990070207</v>
      </c>
      <c r="AG99" s="118" t="s">
        <v>121</v>
      </c>
      <c r="AH99" s="159" t="s">
        <v>193</v>
      </c>
      <c r="AI99" s="162" t="str">
        <f>CONCATENATE(PAA[[#This Row],[Id Interno]],"-",PAA[[#This Row],[tipo de Contrato (TH talento humano - B/S bienes y/o servicios)]],"-",S99,"-",T99,"-",PAA[[#This Row],[Objeto de la contratación]])</f>
        <v>20260051-BS-8126-4-Contratar la adquisición, renovación y  suscripciones de licencia Microsoft y modulos de seguridad y vulnerabilidad para la U.A.E. Cuerpo Oficial de Bomberos de Bogotá - TIC</v>
      </c>
    </row>
    <row r="100" spans="2:35" ht="56" x14ac:dyDescent="0.35">
      <c r="B100" s="23">
        <v>20260052</v>
      </c>
      <c r="C100" s="99" t="s">
        <v>616</v>
      </c>
      <c r="D100" s="23" t="s">
        <v>114</v>
      </c>
      <c r="E100" s="23" t="s">
        <v>402</v>
      </c>
      <c r="F100" s="156" t="s">
        <v>138</v>
      </c>
      <c r="G100" s="157" t="s">
        <v>381</v>
      </c>
      <c r="H100" s="158">
        <v>12</v>
      </c>
      <c r="I100" s="158">
        <v>0</v>
      </c>
      <c r="J100" s="127">
        <v>50000000</v>
      </c>
      <c r="K100" s="88" t="s">
        <v>398</v>
      </c>
      <c r="L100" s="156" t="s">
        <v>151</v>
      </c>
      <c r="M100" s="159" t="s">
        <v>401</v>
      </c>
      <c r="N100" s="23" t="s">
        <v>330</v>
      </c>
      <c r="O100" s="151" t="s">
        <v>963</v>
      </c>
      <c r="P100" s="156" t="s">
        <v>161</v>
      </c>
      <c r="Q100" s="53" t="s">
        <v>620</v>
      </c>
      <c r="R100" s="159" t="s">
        <v>331</v>
      </c>
      <c r="S100" s="159" t="str">
        <f>MID(PAA[[#This Row],[Meta Proyecto de Inversión]],1,4)</f>
        <v>No a</v>
      </c>
      <c r="T100" s="159" t="str">
        <f>MID(PAA[[#This Row],[Meta Proyecto de Inversión]],6,1)</f>
        <v>l</v>
      </c>
      <c r="U100" s="160" t="str">
        <f>IFERROR(VLOOKUP(N100,TD!$B$50:$F$54,2,0)," ")</f>
        <v>NA</v>
      </c>
      <c r="V100" s="160" t="str">
        <f>IFERROR(VLOOKUP(N100,TD!$B$50:$F$54,3,0)," ")</f>
        <v>NA</v>
      </c>
      <c r="W100" s="160" t="str">
        <f>IFERROR(VLOOKUP(N100,TD!$B$50:$F$54,4,0)," ")</f>
        <v>NA</v>
      </c>
      <c r="X100" s="159" t="s">
        <v>335</v>
      </c>
      <c r="Y100" s="160" t="str">
        <f>IFERROR(VLOOKUP(X100,TD!$J$51:$K$64,2,0)," ")</f>
        <v>N/A</v>
      </c>
      <c r="Z100" s="161" t="str">
        <f>CONCATENATE(X100,"-",Y100)</f>
        <v>N/A-N/A</v>
      </c>
      <c r="AA100" s="159" t="s">
        <v>335</v>
      </c>
      <c r="AB100" s="160" t="str">
        <f>IFERROR(VLOOKUP(AA100,TD!$N$51:$O$66,2,0)," ")</f>
        <v>N/A</v>
      </c>
      <c r="AC100" s="161" t="str">
        <f>CONCATENATE(AA100,"_",AB100)</f>
        <v>N/A_N/A</v>
      </c>
      <c r="AD100" s="161" t="str">
        <f>CONCATENATE(Z100," ",AC100)</f>
        <v>N/A-N/A N/A_N/A</v>
      </c>
      <c r="AE100" s="160" t="str">
        <f>CONCATENATE(U100,V100,W100,X100,AA100)</f>
        <v>NANANAN/AN/A</v>
      </c>
      <c r="AF100" s="160" t="str">
        <f>IFERROR(VLOOKUP(AD100,TD!$J$66:$K$89,2,0)," ")</f>
        <v>N/A</v>
      </c>
      <c r="AG100" s="118" t="s">
        <v>345</v>
      </c>
      <c r="AH100" s="159" t="s">
        <v>193</v>
      </c>
      <c r="AI100" s="162" t="str">
        <f>CONCATENATE(PAA[[#This Row],[Id Interno]],"-",PAA[[#This Row],[tipo de Contrato (TH talento humano - B/S bienes y/o servicios)]],"-",S100,"-",T100,"-",PAA[[#This Row],[Objeto de la contratación]])</f>
        <v>20260052-BS-No a-l-Contratar  la suscripción de licencias Suite Adobe para la UAE Cuerpo Oficial de Bomberos de Bogotá-TIC</v>
      </c>
    </row>
    <row r="101" spans="2:35" ht="56" x14ac:dyDescent="0.35">
      <c r="B101" s="23">
        <v>20260053</v>
      </c>
      <c r="C101" s="99" t="s">
        <v>617</v>
      </c>
      <c r="D101" s="23" t="s">
        <v>114</v>
      </c>
      <c r="E101" s="23" t="s">
        <v>402</v>
      </c>
      <c r="F101" s="156" t="s">
        <v>143</v>
      </c>
      <c r="G101" s="157" t="s">
        <v>376</v>
      </c>
      <c r="H101" s="158">
        <v>12</v>
      </c>
      <c r="I101" s="158">
        <v>0</v>
      </c>
      <c r="J101" s="127">
        <v>508870000</v>
      </c>
      <c r="K101" s="88" t="s">
        <v>398</v>
      </c>
      <c r="L101" s="156" t="s">
        <v>151</v>
      </c>
      <c r="M101" s="159" t="s">
        <v>401</v>
      </c>
      <c r="N101" s="23" t="s">
        <v>330</v>
      </c>
      <c r="O101" s="151" t="s">
        <v>963</v>
      </c>
      <c r="P101" s="156" t="s">
        <v>161</v>
      </c>
      <c r="Q101" s="53">
        <v>81112100</v>
      </c>
      <c r="R101" s="159" t="s">
        <v>331</v>
      </c>
      <c r="S101" s="159" t="str">
        <f>MID(PAA[[#This Row],[Meta Proyecto de Inversión]],1,4)</f>
        <v>No a</v>
      </c>
      <c r="T101" s="159" t="str">
        <f>MID(PAA[[#This Row],[Meta Proyecto de Inversión]],6,1)</f>
        <v>l</v>
      </c>
      <c r="U101" s="160" t="str">
        <f>IFERROR(VLOOKUP(N101,TD!$B$50:$F$54,2,0)," ")</f>
        <v>NA</v>
      </c>
      <c r="V101" s="160" t="str">
        <f>IFERROR(VLOOKUP(N101,TD!$B$50:$F$54,3,0)," ")</f>
        <v>NA</v>
      </c>
      <c r="W101" s="160" t="str">
        <f>IFERROR(VLOOKUP(N101,TD!$B$50:$F$54,4,0)," ")</f>
        <v>NA</v>
      </c>
      <c r="X101" s="159" t="s">
        <v>335</v>
      </c>
      <c r="Y101" s="160" t="str">
        <f>IFERROR(VLOOKUP(X101,TD!$J$51:$K$64,2,0)," ")</f>
        <v>N/A</v>
      </c>
      <c r="Z101" s="161" t="str">
        <f>CONCATENATE(X101,"-",Y101)</f>
        <v>N/A-N/A</v>
      </c>
      <c r="AA101" s="159" t="s">
        <v>335</v>
      </c>
      <c r="AB101" s="160" t="str">
        <f>IFERROR(VLOOKUP(AA101,TD!$N$51:$O$66,2,0)," ")</f>
        <v>N/A</v>
      </c>
      <c r="AC101" s="161" t="str">
        <f>CONCATENATE(AA101,"_",AB101)</f>
        <v>N/A_N/A</v>
      </c>
      <c r="AD101" s="161" t="str">
        <f>CONCATENATE(Z101," ",AC101)</f>
        <v>N/A-N/A N/A_N/A</v>
      </c>
      <c r="AE101" s="160" t="str">
        <f>CONCATENATE(U101,V101,W101,X101,AA101)</f>
        <v>NANANAN/AN/A</v>
      </c>
      <c r="AF101" s="160" t="str">
        <f>IFERROR(VLOOKUP(AD101,TD!$J$66:$K$89,2,0)," ")</f>
        <v>N/A</v>
      </c>
      <c r="AG101" s="118" t="s">
        <v>344</v>
      </c>
      <c r="AH101" s="159" t="s">
        <v>193</v>
      </c>
      <c r="AI101" s="162" t="str">
        <f>CONCATENATE(PAA[[#This Row],[Id Interno]],"-",PAA[[#This Row],[tipo de Contrato (TH talento humano - B/S bienes y/o servicios)]],"-",S101,"-",T101,"-",PAA[[#This Row],[Objeto de la contratación]])</f>
        <v>20260053-BS-No a-l-Contratar los servicios de canales de datos dedicados para la UAE Cuerpo Oficial de Bomberos de Bogotá-TIC</v>
      </c>
    </row>
    <row r="102" spans="2:35" ht="70" x14ac:dyDescent="0.35">
      <c r="B102" s="23">
        <v>20260054</v>
      </c>
      <c r="C102" s="99" t="s">
        <v>923</v>
      </c>
      <c r="D102" s="23" t="s">
        <v>88</v>
      </c>
      <c r="E102" s="23" t="s">
        <v>402</v>
      </c>
      <c r="F102" s="156" t="s">
        <v>146</v>
      </c>
      <c r="G102" s="157" t="s">
        <v>376</v>
      </c>
      <c r="H102" s="158">
        <v>12</v>
      </c>
      <c r="I102" s="158">
        <v>0</v>
      </c>
      <c r="J102" s="127">
        <v>100000000</v>
      </c>
      <c r="K102" s="88" t="s">
        <v>398</v>
      </c>
      <c r="L102" s="156" t="s">
        <v>151</v>
      </c>
      <c r="M102" s="159" t="s">
        <v>401</v>
      </c>
      <c r="N102" s="23" t="s">
        <v>330</v>
      </c>
      <c r="O102" s="151" t="s">
        <v>963</v>
      </c>
      <c r="P102" s="156" t="s">
        <v>161</v>
      </c>
      <c r="Q102" s="53" t="s">
        <v>621</v>
      </c>
      <c r="R102" s="159" t="s">
        <v>331</v>
      </c>
      <c r="S102" s="159" t="str">
        <f>MID(PAA[[#This Row],[Meta Proyecto de Inversión]],1,4)</f>
        <v>No a</v>
      </c>
      <c r="T102" s="159" t="str">
        <f>MID(PAA[[#This Row],[Meta Proyecto de Inversión]],6,1)</f>
        <v>l</v>
      </c>
      <c r="U102" s="160" t="str">
        <f>IFERROR(VLOOKUP(N102,TD!$B$50:$F$54,2,0)," ")</f>
        <v>NA</v>
      </c>
      <c r="V102" s="160" t="str">
        <f>IFERROR(VLOOKUP(N102,TD!$B$50:$F$54,3,0)," ")</f>
        <v>NA</v>
      </c>
      <c r="W102" s="160" t="str">
        <f>IFERROR(VLOOKUP(N102,TD!$B$50:$F$54,4,0)," ")</f>
        <v>NA</v>
      </c>
      <c r="X102" s="159" t="s">
        <v>335</v>
      </c>
      <c r="Y102" s="160" t="str">
        <f>IFERROR(VLOOKUP(X102,TD!$J$51:$K$64,2,0)," ")</f>
        <v>N/A</v>
      </c>
      <c r="Z102" s="161" t="str">
        <f>CONCATENATE(X102,"-",Y102)</f>
        <v>N/A-N/A</v>
      </c>
      <c r="AA102" s="159" t="s">
        <v>335</v>
      </c>
      <c r="AB102" s="160" t="str">
        <f>IFERROR(VLOOKUP(AA102,TD!$N$51:$O$66,2,0)," ")</f>
        <v>N/A</v>
      </c>
      <c r="AC102" s="161" t="str">
        <f>CONCATENATE(AA102,"_",AB102)</f>
        <v>N/A_N/A</v>
      </c>
      <c r="AD102" s="161" t="str">
        <f>CONCATENATE(Z102," ",AC102)</f>
        <v>N/A-N/A N/A_N/A</v>
      </c>
      <c r="AE102" s="160" t="str">
        <f>CONCATENATE(U102,V102,W102,X102,AA102)</f>
        <v>NANANAN/AN/A</v>
      </c>
      <c r="AF102" s="160" t="str">
        <f>IFERROR(VLOOKUP(AD102,TD!$J$66:$K$89,2,0)," ")</f>
        <v>N/A</v>
      </c>
      <c r="AG102" s="118" t="s">
        <v>343</v>
      </c>
      <c r="AH102" s="159" t="s">
        <v>194</v>
      </c>
      <c r="AI102" s="162" t="str">
        <f>CONCATENATE(PAA[[#This Row],[Id Interno]],"-",PAA[[#This Row],[tipo de Contrato (TH talento humano - B/S bienes y/o servicios)]],"-",S102,"-",T102,"-",PAA[[#This Row],[Objeto de la contratación]])</f>
        <v>20260054-BS-No a-l-Adición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v>
      </c>
    </row>
    <row r="103" spans="2:35" ht="84" x14ac:dyDescent="0.35">
      <c r="B103" s="23">
        <v>20260055</v>
      </c>
      <c r="C103" s="99" t="s">
        <v>618</v>
      </c>
      <c r="D103" s="23" t="s">
        <v>88</v>
      </c>
      <c r="E103" s="23" t="s">
        <v>402</v>
      </c>
      <c r="F103" s="156" t="s">
        <v>143</v>
      </c>
      <c r="G103" s="157" t="s">
        <v>378</v>
      </c>
      <c r="H103" s="158">
        <v>12</v>
      </c>
      <c r="I103" s="158">
        <v>0</v>
      </c>
      <c r="J103" s="127">
        <v>100000000</v>
      </c>
      <c r="K103" s="88" t="s">
        <v>398</v>
      </c>
      <c r="L103" s="156" t="s">
        <v>151</v>
      </c>
      <c r="M103" s="159" t="s">
        <v>401</v>
      </c>
      <c r="N103" s="23" t="s">
        <v>330</v>
      </c>
      <c r="O103" s="151" t="s">
        <v>963</v>
      </c>
      <c r="P103" s="156" t="s">
        <v>161</v>
      </c>
      <c r="Q103" s="53" t="s">
        <v>622</v>
      </c>
      <c r="R103" s="159" t="s">
        <v>331</v>
      </c>
      <c r="S103" s="159" t="str">
        <f>MID(PAA[[#This Row],[Meta Proyecto de Inversión]],1,4)</f>
        <v>No a</v>
      </c>
      <c r="T103" s="159" t="str">
        <f>MID(PAA[[#This Row],[Meta Proyecto de Inversión]],6,1)</f>
        <v>l</v>
      </c>
      <c r="U103" s="160" t="str">
        <f>IFERROR(VLOOKUP(N103,TD!$B$50:$F$54,2,0)," ")</f>
        <v>NA</v>
      </c>
      <c r="V103" s="160" t="str">
        <f>IFERROR(VLOOKUP(N103,TD!$B$50:$F$54,3,0)," ")</f>
        <v>NA</v>
      </c>
      <c r="W103" s="160" t="str">
        <f>IFERROR(VLOOKUP(N103,TD!$B$50:$F$54,4,0)," ")</f>
        <v>NA</v>
      </c>
      <c r="X103" s="159" t="s">
        <v>335</v>
      </c>
      <c r="Y103" s="160" t="str">
        <f>IFERROR(VLOOKUP(X103,TD!$J$51:$K$64,2,0)," ")</f>
        <v>N/A</v>
      </c>
      <c r="Z103" s="161" t="str">
        <f>CONCATENATE(X103,"-",Y103)</f>
        <v>N/A-N/A</v>
      </c>
      <c r="AA103" s="159" t="s">
        <v>335</v>
      </c>
      <c r="AB103" s="160" t="str">
        <f>IFERROR(VLOOKUP(AA103,TD!$N$51:$O$66,2,0)," ")</f>
        <v>N/A</v>
      </c>
      <c r="AC103" s="161" t="str">
        <f>CONCATENATE(AA103,"_",AB103)</f>
        <v>N/A_N/A</v>
      </c>
      <c r="AD103" s="161" t="str">
        <f>CONCATENATE(Z103," ",AC103)</f>
        <v>N/A-N/A N/A_N/A</v>
      </c>
      <c r="AE103" s="160" t="str">
        <f>CONCATENATE(U103,V103,W103,X103,AA103)</f>
        <v>NANANAN/AN/A</v>
      </c>
      <c r="AF103" s="160" t="str">
        <f>IFERROR(VLOOKUP(AD103,TD!$J$66:$K$89,2,0)," ")</f>
        <v>N/A</v>
      </c>
      <c r="AG103" s="118" t="s">
        <v>332</v>
      </c>
      <c r="AH103" s="159" t="s">
        <v>193</v>
      </c>
      <c r="AI103" s="162" t="str">
        <f>CONCATENATE(PAA[[#This Row],[Id Interno]],"-",PAA[[#This Row],[tipo de Contrato (TH talento humano - B/S bienes y/o servicios)]],"-",S103,"-",T103,"-",PAA[[#This Row],[Objeto de la contratación]])</f>
        <v>20260055-BS-No a-l-Contratar la modernización integral  tecnológica, soporte y mantenimiento preventivo y correctivo con repuestos, para los sistemas de video vigilancia de la U.A.E. Cuerpo Oficial de Bomberos de Bogotá - TIC.</v>
      </c>
    </row>
    <row r="104" spans="2:35" ht="56" x14ac:dyDescent="0.35">
      <c r="B104" s="23">
        <v>20260056</v>
      </c>
      <c r="C104" s="99" t="s">
        <v>619</v>
      </c>
      <c r="D104" s="23" t="s">
        <v>92</v>
      </c>
      <c r="E104" s="23" t="s">
        <v>402</v>
      </c>
      <c r="F104" s="156" t="s">
        <v>138</v>
      </c>
      <c r="G104" s="157" t="s">
        <v>375</v>
      </c>
      <c r="H104" s="158">
        <v>12</v>
      </c>
      <c r="I104" s="158">
        <v>0</v>
      </c>
      <c r="J104" s="127">
        <v>27600000</v>
      </c>
      <c r="K104" s="88" t="s">
        <v>398</v>
      </c>
      <c r="L104" s="156" t="s">
        <v>151</v>
      </c>
      <c r="M104" s="159" t="s">
        <v>401</v>
      </c>
      <c r="N104" s="23" t="s">
        <v>330</v>
      </c>
      <c r="O104" s="151" t="s">
        <v>963</v>
      </c>
      <c r="P104" s="156" t="s">
        <v>161</v>
      </c>
      <c r="Q104" s="53">
        <v>43233205</v>
      </c>
      <c r="R104" s="159" t="s">
        <v>331</v>
      </c>
      <c r="S104" s="159" t="str">
        <f>MID(PAA[[#This Row],[Meta Proyecto de Inversión]],1,4)</f>
        <v>No a</v>
      </c>
      <c r="T104" s="159" t="str">
        <f>MID(PAA[[#This Row],[Meta Proyecto de Inversión]],6,1)</f>
        <v>l</v>
      </c>
      <c r="U104" s="160" t="str">
        <f>IFERROR(VLOOKUP(N104,TD!$B$50:$F$54,2,0)," ")</f>
        <v>NA</v>
      </c>
      <c r="V104" s="160" t="str">
        <f>IFERROR(VLOOKUP(N104,TD!$B$50:$F$54,3,0)," ")</f>
        <v>NA</v>
      </c>
      <c r="W104" s="160" t="str">
        <f>IFERROR(VLOOKUP(N104,TD!$B$50:$F$54,4,0)," ")</f>
        <v>NA</v>
      </c>
      <c r="X104" s="159" t="s">
        <v>335</v>
      </c>
      <c r="Y104" s="160" t="str">
        <f>IFERROR(VLOOKUP(X104,TD!$J$51:$K$64,2,0)," ")</f>
        <v>N/A</v>
      </c>
      <c r="Z104" s="161" t="str">
        <f>CONCATENATE(X104,"-",Y104)</f>
        <v>N/A-N/A</v>
      </c>
      <c r="AA104" s="159" t="s">
        <v>335</v>
      </c>
      <c r="AB104" s="160" t="str">
        <f>IFERROR(VLOOKUP(AA104,TD!$N$51:$O$66,2,0)," ")</f>
        <v>N/A</v>
      </c>
      <c r="AC104" s="161" t="str">
        <f>CONCATENATE(AA104,"_",AB104)</f>
        <v>N/A_N/A</v>
      </c>
      <c r="AD104" s="161" t="str">
        <f>CONCATENATE(Z104," ",AC104)</f>
        <v>N/A-N/A N/A_N/A</v>
      </c>
      <c r="AE104" s="160" t="str">
        <f>CONCATENATE(U104,V104,W104,X104,AA104)</f>
        <v>NANANAN/AN/A</v>
      </c>
      <c r="AF104" s="160" t="str">
        <f>IFERROR(VLOOKUP(AD104,TD!$J$66:$K$89,2,0)," ")</f>
        <v>N/A</v>
      </c>
      <c r="AG104" s="118" t="s">
        <v>332</v>
      </c>
      <c r="AH104" s="159" t="s">
        <v>193</v>
      </c>
      <c r="AI104" s="162" t="str">
        <f>CONCATENATE(PAA[[#This Row],[Id Interno]],"-",PAA[[#This Row],[tipo de Contrato (TH talento humano - B/S bienes y/o servicios)]],"-",S104,"-",T104,"-",PAA[[#This Row],[Objeto de la contratación]])</f>
        <v>20260056-BS-No a-l-Contratar la adquisición de firma digital (token) para la U.A.E. Cuerpo Oficial de Bomberos de Bogotá - TIC</v>
      </c>
    </row>
    <row r="105" spans="2:35" ht="56" x14ac:dyDescent="0.35">
      <c r="B105" s="23">
        <v>20260057</v>
      </c>
      <c r="C105" s="99" t="s">
        <v>861</v>
      </c>
      <c r="D105" s="23" t="s">
        <v>105</v>
      </c>
      <c r="E105" s="23" t="s">
        <v>363</v>
      </c>
      <c r="F105" s="156" t="s">
        <v>145</v>
      </c>
      <c r="G105" s="157" t="s">
        <v>373</v>
      </c>
      <c r="H105" s="158">
        <v>12</v>
      </c>
      <c r="I105" s="158">
        <v>0</v>
      </c>
      <c r="J105" s="127">
        <v>45042216</v>
      </c>
      <c r="K105" s="88" t="s">
        <v>398</v>
      </c>
      <c r="L105" s="156" t="s">
        <v>36</v>
      </c>
      <c r="M105" s="159" t="s">
        <v>495</v>
      </c>
      <c r="N105" s="23" t="s">
        <v>197</v>
      </c>
      <c r="O105" s="151" t="s">
        <v>963</v>
      </c>
      <c r="P105" s="156" t="s">
        <v>348</v>
      </c>
      <c r="Q105" s="53">
        <v>80111600</v>
      </c>
      <c r="R105" s="159" t="s">
        <v>200</v>
      </c>
      <c r="S105" s="159" t="str">
        <f>MID(PAA[[#This Row],[Meta Proyecto de Inversión]],1,4)</f>
        <v>8126</v>
      </c>
      <c r="T105" s="159" t="str">
        <f>MID(PAA[[#This Row],[Meta Proyecto de Inversión]],6,1)</f>
        <v>1</v>
      </c>
      <c r="U105" s="160" t="str">
        <f>IFERROR(VLOOKUP(N105,TD!$B$50:$F$54,2,0)," ")</f>
        <v>O230117</v>
      </c>
      <c r="V105" s="160" t="str">
        <f>IFERROR(VLOOKUP(N105,TD!$B$50:$F$54,3,0)," ")</f>
        <v>4599</v>
      </c>
      <c r="W105" s="160">
        <f>IFERROR(VLOOKUP(N105,TD!$B$50:$F$54,4,0)," ")</f>
        <v>20240207</v>
      </c>
      <c r="X105" s="159" t="s">
        <v>182</v>
      </c>
      <c r="Y105" s="160" t="str">
        <f>IFERROR(VLOOKUP(X105,TD!$J$51:$K$64,2,0)," ")</f>
        <v>Servicios para la planeación y sistemas de gestión y comunicación estratégica</v>
      </c>
      <c r="Z105" s="161" t="str">
        <f>CONCATENATE(X105,"-",Y105)</f>
        <v>13-Servicios para la planeación y sistemas de gestión y comunicación estratégica</v>
      </c>
      <c r="AA105" s="159" t="s">
        <v>229</v>
      </c>
      <c r="AB105" s="160" t="str">
        <f>IFERROR(VLOOKUP(AA105,TD!$N$51:$O$66,2,0)," ")</f>
        <v>Servicio de asistencia técnica</v>
      </c>
      <c r="AC105" s="161" t="str">
        <f>CONCATENATE(AA105,"_",AB105)</f>
        <v>031_Servicio de asistencia técnica</v>
      </c>
      <c r="AD105" s="161" t="str">
        <f>CONCATENATE(Z105," ",AC105)</f>
        <v>13-Servicios para la planeación y sistemas de gestión y comunicación estratégica 031_Servicio de asistencia técnica</v>
      </c>
      <c r="AE105" s="160" t="str">
        <f>CONCATENATE(U105,V105,W105,X105,AA105)</f>
        <v>O23011745992024020713031</v>
      </c>
      <c r="AF105" s="160" t="str">
        <f>IFERROR(VLOOKUP(AD105,TD!$J$66:$K$89,2,0)," ")</f>
        <v>PM/0131/0113/45990310207</v>
      </c>
      <c r="AG105" s="118" t="s">
        <v>385</v>
      </c>
      <c r="AH105" s="159" t="s">
        <v>193</v>
      </c>
      <c r="AI105" s="162" t="str">
        <f>CONCATENATE(PAA[[#This Row],[Id Interno]],"-",PAA[[#This Row],[tipo de Contrato (TH talento humano - B/S bienes y/o servicios)]],"-",S105,"-",T105,"-",PAA[[#This Row],[Objeto de la contratación]])</f>
        <v>20260057-TH-8126-1-Prestar servicios de apoyo a la gestión como conductor para atender los requerimientos que se presenten en la Oficina Asesora de Planeación, así como los incidentes que puedan surgir en la Unidad Administrativa Especial Cuerpo Oficial de Bomberos de Bogotá.</v>
      </c>
    </row>
    <row r="106" spans="2:35" ht="56" x14ac:dyDescent="0.35">
      <c r="B106" s="23">
        <v>20260058</v>
      </c>
      <c r="C106" s="99" t="s">
        <v>623</v>
      </c>
      <c r="D106" s="23" t="s">
        <v>105</v>
      </c>
      <c r="E106" s="23" t="s">
        <v>363</v>
      </c>
      <c r="F106" s="156" t="s">
        <v>144</v>
      </c>
      <c r="G106" s="157" t="s">
        <v>373</v>
      </c>
      <c r="H106" s="158">
        <v>6</v>
      </c>
      <c r="I106" s="158">
        <v>0</v>
      </c>
      <c r="J106" s="127">
        <v>39000000</v>
      </c>
      <c r="K106" s="88" t="s">
        <v>398</v>
      </c>
      <c r="L106" s="156" t="s">
        <v>36</v>
      </c>
      <c r="M106" s="159" t="s">
        <v>495</v>
      </c>
      <c r="N106" s="23" t="s">
        <v>197</v>
      </c>
      <c r="O106" s="151" t="s">
        <v>963</v>
      </c>
      <c r="P106" s="156" t="s">
        <v>348</v>
      </c>
      <c r="Q106" s="53">
        <v>80111600</v>
      </c>
      <c r="R106" s="159" t="s">
        <v>201</v>
      </c>
      <c r="S106" s="159" t="str">
        <f>MID(PAA[[#This Row],[Meta Proyecto de Inversión]],1,4)</f>
        <v>8126</v>
      </c>
      <c r="T106" s="159" t="str">
        <f>MID(PAA[[#This Row],[Meta Proyecto de Inversión]],6,1)</f>
        <v>2</v>
      </c>
      <c r="U106" s="160" t="str">
        <f>IFERROR(VLOOKUP(N106,TD!$B$50:$F$54,2,0)," ")</f>
        <v>O230117</v>
      </c>
      <c r="V106" s="160" t="str">
        <f>IFERROR(VLOOKUP(N106,TD!$B$50:$F$54,3,0)," ")</f>
        <v>4599</v>
      </c>
      <c r="W106" s="160">
        <f>IFERROR(VLOOKUP(N106,TD!$B$50:$F$54,4,0)," ")</f>
        <v>20240207</v>
      </c>
      <c r="X106" s="159" t="s">
        <v>182</v>
      </c>
      <c r="Y106" s="160" t="str">
        <f>IFERROR(VLOOKUP(X106,TD!$J$51:$K$64,2,0)," ")</f>
        <v>Servicios para la planeación y sistemas de gestión y comunicación estratégica</v>
      </c>
      <c r="Z106" s="161" t="str">
        <f>CONCATENATE(X106,"-",Y106)</f>
        <v>13-Servicios para la planeación y sistemas de gestión y comunicación estratégica</v>
      </c>
      <c r="AA106" s="159" t="s">
        <v>229</v>
      </c>
      <c r="AB106" s="160" t="str">
        <f>IFERROR(VLOOKUP(AA106,TD!$N$51:$O$66,2,0)," ")</f>
        <v>Servicio de asistencia técnica</v>
      </c>
      <c r="AC106" s="161" t="str">
        <f>CONCATENATE(AA106,"_",AB106)</f>
        <v>031_Servicio de asistencia técnica</v>
      </c>
      <c r="AD106" s="161" t="str">
        <f>CONCATENATE(Z106," ",AC106)</f>
        <v>13-Servicios para la planeación y sistemas de gestión y comunicación estratégica 031_Servicio de asistencia técnica</v>
      </c>
      <c r="AE106" s="160" t="str">
        <f>CONCATENATE(U106,V106,W106,X106,AA106)</f>
        <v>O23011745992024020713031</v>
      </c>
      <c r="AF106" s="160" t="str">
        <f>IFERROR(VLOOKUP(AD106,TD!$J$66:$K$89,2,0)," ")</f>
        <v>PM/0131/0113/45990310207</v>
      </c>
      <c r="AG106" s="118" t="s">
        <v>385</v>
      </c>
      <c r="AH106" s="159" t="s">
        <v>193</v>
      </c>
      <c r="AI106" s="162" t="str">
        <f>CONCATENATE(PAA[[#This Row],[Id Interno]],"-",PAA[[#This Row],[tipo de Contrato (TH talento humano - B/S bienes y/o servicios)]],"-",S106,"-",T106,"-",PAA[[#This Row],[Objeto de la contratación]])</f>
        <v>20260058-TH-8126-2-Prestar servicios profesionales a la Oficina Asesora de Planeación para acompañar la gestión y el desempeño del proceso de Servicio a la Ciudadanía, así como para articular el Modelo Distrital de Relacionamiento Integral con la Ciudadanía, en el marco del Modelo Integrado de Planeación y Gestión - MIPG.</v>
      </c>
    </row>
    <row r="107" spans="2:35" ht="56" x14ac:dyDescent="0.35">
      <c r="B107" s="23">
        <v>20260061</v>
      </c>
      <c r="C107" s="99" t="s">
        <v>864</v>
      </c>
      <c r="D107" s="23" t="s">
        <v>105</v>
      </c>
      <c r="E107" s="23" t="s">
        <v>363</v>
      </c>
      <c r="F107" s="156" t="s">
        <v>144</v>
      </c>
      <c r="G107" s="157" t="s">
        <v>373</v>
      </c>
      <c r="H107" s="158">
        <v>6</v>
      </c>
      <c r="I107" s="158">
        <v>0</v>
      </c>
      <c r="J107" s="127">
        <v>42000000</v>
      </c>
      <c r="K107" s="88" t="s">
        <v>398</v>
      </c>
      <c r="L107" s="156" t="s">
        <v>36</v>
      </c>
      <c r="M107" s="159" t="s">
        <v>495</v>
      </c>
      <c r="N107" s="23" t="s">
        <v>197</v>
      </c>
      <c r="O107" s="151" t="s">
        <v>963</v>
      </c>
      <c r="P107" s="156" t="s">
        <v>348</v>
      </c>
      <c r="Q107" s="53">
        <v>80111600</v>
      </c>
      <c r="R107" s="159" t="s">
        <v>200</v>
      </c>
      <c r="S107" s="159" t="str">
        <f>MID(PAA[[#This Row],[Meta Proyecto de Inversión]],1,4)</f>
        <v>8126</v>
      </c>
      <c r="T107" s="159" t="str">
        <f>MID(PAA[[#This Row],[Meta Proyecto de Inversión]],6,1)</f>
        <v>1</v>
      </c>
      <c r="U107" s="160" t="str">
        <f>IFERROR(VLOOKUP(N107,TD!$B$50:$F$54,2,0)," ")</f>
        <v>O230117</v>
      </c>
      <c r="V107" s="160" t="str">
        <f>IFERROR(VLOOKUP(N107,TD!$B$50:$F$54,3,0)," ")</f>
        <v>4599</v>
      </c>
      <c r="W107" s="160">
        <f>IFERROR(VLOOKUP(N107,TD!$B$50:$F$54,4,0)," ")</f>
        <v>20240207</v>
      </c>
      <c r="X107" s="159" t="s">
        <v>182</v>
      </c>
      <c r="Y107" s="160" t="str">
        <f>IFERROR(VLOOKUP(X107,TD!$J$51:$K$64,2,0)," ")</f>
        <v>Servicios para la planeación y sistemas de gestión y comunicación estratégica</v>
      </c>
      <c r="Z107" s="161" t="str">
        <f>CONCATENATE(X107,"-",Y107)</f>
        <v>13-Servicios para la planeación y sistemas de gestión y comunicación estratégica</v>
      </c>
      <c r="AA107" s="159" t="s">
        <v>229</v>
      </c>
      <c r="AB107" s="160" t="str">
        <f>IFERROR(VLOOKUP(AA107,TD!$N$51:$O$66,2,0)," ")</f>
        <v>Servicio de asistencia técnica</v>
      </c>
      <c r="AC107" s="161" t="str">
        <f>CONCATENATE(AA107,"_",AB107)</f>
        <v>031_Servicio de asistencia técnica</v>
      </c>
      <c r="AD107" s="161" t="str">
        <f>CONCATENATE(Z107," ",AC107)</f>
        <v>13-Servicios para la planeación y sistemas de gestión y comunicación estratégica 031_Servicio de asistencia técnica</v>
      </c>
      <c r="AE107" s="160" t="str">
        <f>CONCATENATE(U107,V107,W107,X107,AA107)</f>
        <v>O23011745992024020713031</v>
      </c>
      <c r="AF107" s="160" t="str">
        <f>IFERROR(VLOOKUP(AD107,TD!$J$66:$K$89,2,0)," ")</f>
        <v>PM/0131/0113/45990310207</v>
      </c>
      <c r="AG107" s="118" t="s">
        <v>385</v>
      </c>
      <c r="AH107" s="159" t="s">
        <v>193</v>
      </c>
      <c r="AI107" s="162" t="str">
        <f>CONCATENATE(PAA[[#This Row],[Id Interno]],"-",PAA[[#This Row],[tipo de Contrato (TH talento humano - B/S bienes y/o servicios)]],"-",S107,"-",T107,"-",PAA[[#This Row],[Objeto de la contratación]])</f>
        <v>20260061-TH-8126-1-Prestar servicios profesionales a la Oficina Asesora de Planeación para acompañar la gestión y el desempeño del proceso de Gestión Jurídica, mediante el seguimiento, monitoreo, control y fortalecimiento organizacional. Asimismo, apoyar la implementación de la política de Gestión del Conocimiento y la Innovación, en el marco del Modelo Integrado de Planeación y Gestión - MIPG.</v>
      </c>
    </row>
    <row r="108" spans="2:35" ht="56" x14ac:dyDescent="0.35">
      <c r="B108" s="23">
        <v>20260062</v>
      </c>
      <c r="C108" s="99" t="s">
        <v>865</v>
      </c>
      <c r="D108" s="23" t="s">
        <v>105</v>
      </c>
      <c r="E108" s="23" t="s">
        <v>363</v>
      </c>
      <c r="F108" s="156" t="s">
        <v>144</v>
      </c>
      <c r="G108" s="157" t="s">
        <v>373</v>
      </c>
      <c r="H108" s="158">
        <v>12</v>
      </c>
      <c r="I108" s="158">
        <v>0</v>
      </c>
      <c r="J108" s="127">
        <v>96000000</v>
      </c>
      <c r="K108" s="88" t="s">
        <v>398</v>
      </c>
      <c r="L108" s="156" t="s">
        <v>36</v>
      </c>
      <c r="M108" s="159" t="s">
        <v>495</v>
      </c>
      <c r="N108" s="23" t="s">
        <v>197</v>
      </c>
      <c r="O108" s="151" t="s">
        <v>963</v>
      </c>
      <c r="P108" s="156" t="s">
        <v>348</v>
      </c>
      <c r="Q108" s="53">
        <v>80111600</v>
      </c>
      <c r="R108" s="159" t="s">
        <v>200</v>
      </c>
      <c r="S108" s="159" t="str">
        <f>MID(PAA[[#This Row],[Meta Proyecto de Inversión]],1,4)</f>
        <v>8126</v>
      </c>
      <c r="T108" s="159" t="str">
        <f>MID(PAA[[#This Row],[Meta Proyecto de Inversión]],6,1)</f>
        <v>1</v>
      </c>
      <c r="U108" s="160" t="str">
        <f>IFERROR(VLOOKUP(N108,TD!$B$50:$F$54,2,0)," ")</f>
        <v>O230117</v>
      </c>
      <c r="V108" s="160" t="str">
        <f>IFERROR(VLOOKUP(N108,TD!$B$50:$F$54,3,0)," ")</f>
        <v>4599</v>
      </c>
      <c r="W108" s="160">
        <f>IFERROR(VLOOKUP(N108,TD!$B$50:$F$54,4,0)," ")</f>
        <v>20240207</v>
      </c>
      <c r="X108" s="159" t="s">
        <v>182</v>
      </c>
      <c r="Y108" s="160" t="str">
        <f>IFERROR(VLOOKUP(X108,TD!$J$51:$K$64,2,0)," ")</f>
        <v>Servicios para la planeación y sistemas de gestión y comunicación estratégica</v>
      </c>
      <c r="Z108" s="161" t="str">
        <f>CONCATENATE(X108,"-",Y108)</f>
        <v>13-Servicios para la planeación y sistemas de gestión y comunicación estratégica</v>
      </c>
      <c r="AA108" s="159" t="s">
        <v>229</v>
      </c>
      <c r="AB108" s="160" t="str">
        <f>IFERROR(VLOOKUP(AA108,TD!$N$51:$O$66,2,0)," ")</f>
        <v>Servicio de asistencia técnica</v>
      </c>
      <c r="AC108" s="161" t="str">
        <f>CONCATENATE(AA108,"_",AB108)</f>
        <v>031_Servicio de asistencia técnica</v>
      </c>
      <c r="AD108" s="161" t="str">
        <f>CONCATENATE(Z108," ",AC108)</f>
        <v>13-Servicios para la planeación y sistemas de gestión y comunicación estratégica 031_Servicio de asistencia técnica</v>
      </c>
      <c r="AE108" s="160" t="str">
        <f>CONCATENATE(U108,V108,W108,X108,AA108)</f>
        <v>O23011745992024020713031</v>
      </c>
      <c r="AF108" s="160" t="str">
        <f>IFERROR(VLOOKUP(AD108,TD!$J$66:$K$89,2,0)," ")</f>
        <v>PM/0131/0113/45990310207</v>
      </c>
      <c r="AG108" s="118" t="s">
        <v>385</v>
      </c>
      <c r="AH108" s="159" t="s">
        <v>193</v>
      </c>
      <c r="AI108" s="162" t="str">
        <f>CONCATENATE(PAA[[#This Row],[Id Interno]],"-",PAA[[#This Row],[tipo de Contrato (TH talento humano - B/S bienes y/o servicios)]],"-",S108,"-",T108,"-",PAA[[#This Row],[Objeto de la contratación]])</f>
        <v>20260062-TH-8126-1-Prestar servicios profesionales para desarrollar las actividades relacionadas con la formulación, actualización y seguimiento de los proyectos de inversión asignados, así como la consolidación y reporte de los indicadores PMR, en el marco de la política de Gestión Presupuestal y Eficiencia del Gasto Público del Modelo Integrado de Planeación y Gestión - MIPG.</v>
      </c>
    </row>
    <row r="109" spans="2:35" ht="56" x14ac:dyDescent="0.35">
      <c r="B109" s="23">
        <v>20260063</v>
      </c>
      <c r="C109" s="99" t="s">
        <v>866</v>
      </c>
      <c r="D109" s="23" t="s">
        <v>105</v>
      </c>
      <c r="E109" s="23" t="s">
        <v>363</v>
      </c>
      <c r="F109" s="156" t="s">
        <v>144</v>
      </c>
      <c r="G109" s="157" t="s">
        <v>373</v>
      </c>
      <c r="H109" s="158">
        <v>12</v>
      </c>
      <c r="I109" s="158">
        <v>0</v>
      </c>
      <c r="J109" s="127">
        <v>108000000</v>
      </c>
      <c r="K109" s="88" t="s">
        <v>398</v>
      </c>
      <c r="L109" s="156" t="s">
        <v>36</v>
      </c>
      <c r="M109" s="159" t="s">
        <v>495</v>
      </c>
      <c r="N109" s="23" t="s">
        <v>197</v>
      </c>
      <c r="O109" s="151" t="s">
        <v>963</v>
      </c>
      <c r="P109" s="156" t="s">
        <v>348</v>
      </c>
      <c r="Q109" s="53">
        <v>80111600</v>
      </c>
      <c r="R109" s="159" t="s">
        <v>200</v>
      </c>
      <c r="S109" s="159" t="str">
        <f>MID(PAA[[#This Row],[Meta Proyecto de Inversión]],1,4)</f>
        <v>8126</v>
      </c>
      <c r="T109" s="159" t="str">
        <f>MID(PAA[[#This Row],[Meta Proyecto de Inversión]],6,1)</f>
        <v>1</v>
      </c>
      <c r="U109" s="160" t="str">
        <f>IFERROR(VLOOKUP(N109,TD!$B$50:$F$54,2,0)," ")</f>
        <v>O230117</v>
      </c>
      <c r="V109" s="160" t="str">
        <f>IFERROR(VLOOKUP(N109,TD!$B$50:$F$54,3,0)," ")</f>
        <v>4599</v>
      </c>
      <c r="W109" s="160">
        <f>IFERROR(VLOOKUP(N109,TD!$B$50:$F$54,4,0)," ")</f>
        <v>20240207</v>
      </c>
      <c r="X109" s="159" t="s">
        <v>182</v>
      </c>
      <c r="Y109" s="160" t="str">
        <f>IFERROR(VLOOKUP(X109,TD!$J$51:$K$64,2,0)," ")</f>
        <v>Servicios para la planeación y sistemas de gestión y comunicación estratégica</v>
      </c>
      <c r="Z109" s="161" t="str">
        <f>CONCATENATE(X109,"-",Y109)</f>
        <v>13-Servicios para la planeación y sistemas de gestión y comunicación estratégica</v>
      </c>
      <c r="AA109" s="159" t="s">
        <v>230</v>
      </c>
      <c r="AB109" s="160" t="str">
        <f>IFERROR(VLOOKUP(AA109,TD!$N$51:$O$66,2,0)," ")</f>
        <v>Servicio de Implementación Sistemas de Gestión</v>
      </c>
      <c r="AC109" s="161" t="str">
        <f>CONCATENATE(AA109,"_",AB109)</f>
        <v>023_Servicio de Implementación Sistemas de Gestión</v>
      </c>
      <c r="AD109" s="161" t="str">
        <f>CONCATENATE(Z109," ",AC109)</f>
        <v>13-Servicios para la planeación y sistemas de gestión y comunicación estratégica 023_Servicio de Implementación Sistemas de Gestión</v>
      </c>
      <c r="AE109" s="160" t="str">
        <f>CONCATENATE(U109,V109,W109,X109,AA109)</f>
        <v>O23011745992024020713023</v>
      </c>
      <c r="AF109" s="160" t="str">
        <f>IFERROR(VLOOKUP(AD109,TD!$J$66:$K$89,2,0)," ")</f>
        <v>PM/0131/0113/45990230207</v>
      </c>
      <c r="AG109" s="118" t="s">
        <v>385</v>
      </c>
      <c r="AH109" s="159" t="s">
        <v>193</v>
      </c>
      <c r="AI109" s="162" t="str">
        <f>CONCATENATE(PAA[[#This Row],[Id Interno]],"-",PAA[[#This Row],[tipo de Contrato (TH talento humano - B/S bienes y/o servicios)]],"-",S109,"-",T109,"-",PAA[[#This Row],[Objeto de la contratación]])</f>
        <v>20260063-TH-8126-1-Prestar servicios profesionales a la Oficina Asesora de Planeación para fortalecer el proceso de Gestión Estratégica y el desarrollo organizacional, así como la articulación y seguimiento de las políticas públicas en las que participe la UAECOB, en el marco del Modelo Integrado de Planeación y Gestión - MIPG.</v>
      </c>
    </row>
    <row r="110" spans="2:35" ht="112" x14ac:dyDescent="0.35">
      <c r="B110" s="23">
        <v>20260064</v>
      </c>
      <c r="C110" s="99" t="s">
        <v>867</v>
      </c>
      <c r="D110" s="23" t="s">
        <v>105</v>
      </c>
      <c r="E110" s="23" t="s">
        <v>363</v>
      </c>
      <c r="F110" s="156" t="s">
        <v>144</v>
      </c>
      <c r="G110" s="157" t="s">
        <v>373</v>
      </c>
      <c r="H110" s="158">
        <v>12</v>
      </c>
      <c r="I110" s="158">
        <v>0</v>
      </c>
      <c r="J110" s="127">
        <v>90000000</v>
      </c>
      <c r="K110" s="88" t="s">
        <v>398</v>
      </c>
      <c r="L110" s="156" t="s">
        <v>36</v>
      </c>
      <c r="M110" s="159" t="s">
        <v>495</v>
      </c>
      <c r="N110" s="23" t="s">
        <v>197</v>
      </c>
      <c r="O110" s="151" t="s">
        <v>963</v>
      </c>
      <c r="P110" s="156" t="s">
        <v>348</v>
      </c>
      <c r="Q110" s="53">
        <v>80111600</v>
      </c>
      <c r="R110" s="159" t="s">
        <v>201</v>
      </c>
      <c r="S110" s="159" t="str">
        <f>MID(PAA[[#This Row],[Meta Proyecto de Inversión]],1,4)</f>
        <v>8126</v>
      </c>
      <c r="T110" s="159" t="str">
        <f>MID(PAA[[#This Row],[Meta Proyecto de Inversión]],6,1)</f>
        <v>2</v>
      </c>
      <c r="U110" s="160" t="str">
        <f>IFERROR(VLOOKUP(N110,TD!$B$50:$F$54,2,0)," ")</f>
        <v>O230117</v>
      </c>
      <c r="V110" s="160" t="str">
        <f>IFERROR(VLOOKUP(N110,TD!$B$50:$F$54,3,0)," ")</f>
        <v>4599</v>
      </c>
      <c r="W110" s="160">
        <f>IFERROR(VLOOKUP(N110,TD!$B$50:$F$54,4,0)," ")</f>
        <v>20240207</v>
      </c>
      <c r="X110" s="159" t="s">
        <v>182</v>
      </c>
      <c r="Y110" s="160" t="str">
        <f>IFERROR(VLOOKUP(X110,TD!$J$51:$K$64,2,0)," ")</f>
        <v>Servicios para la planeación y sistemas de gestión y comunicación estratégica</v>
      </c>
      <c r="Z110" s="161" t="str">
        <f>CONCATENATE(X110,"-",Y110)</f>
        <v>13-Servicios para la planeación y sistemas de gestión y comunicación estratégica</v>
      </c>
      <c r="AA110" s="159" t="s">
        <v>230</v>
      </c>
      <c r="AB110" s="160" t="str">
        <f>IFERROR(VLOOKUP(AA110,TD!$N$51:$O$66,2,0)," ")</f>
        <v>Servicio de Implementación Sistemas de Gestión</v>
      </c>
      <c r="AC110" s="161" t="str">
        <f>CONCATENATE(AA110,"_",AB110)</f>
        <v>023_Servicio de Implementación Sistemas de Gestión</v>
      </c>
      <c r="AD110" s="161" t="str">
        <f>CONCATENATE(Z110," ",AC110)</f>
        <v>13-Servicios para la planeación y sistemas de gestión y comunicación estratégica 023_Servicio de Implementación Sistemas de Gestión</v>
      </c>
      <c r="AE110" s="160" t="str">
        <f>CONCATENATE(U110,V110,W110,X110,AA110)</f>
        <v>O23011745992024020713023</v>
      </c>
      <c r="AF110" s="160" t="str">
        <f>IFERROR(VLOOKUP(AD110,TD!$J$66:$K$89,2,0)," ")</f>
        <v>PM/0131/0113/45990230207</v>
      </c>
      <c r="AG110" s="118" t="s">
        <v>385</v>
      </c>
      <c r="AH110" s="159" t="s">
        <v>193</v>
      </c>
      <c r="AI110" s="162" t="str">
        <f>CONCATENATE(PAA[[#This Row],[Id Interno]],"-",PAA[[#This Row],[tipo de Contrato (TH talento humano - B/S bienes y/o servicios)]],"-",S110,"-",T110,"-",PAA[[#This Row],[Objeto de la contratación]])</f>
        <v>20260064-TH-8126-2-Prestar servicios profesionales a la Oficina Asesora de Planeación para acompañar la gestión del proceso de Gestión del Talento Humano y el fortalecimiento organizacional. Asimismo, apoyar el seguimiento de los índices de medición y evaluación que debe presentar la entidad, en el marco del sostenimiento y la mejora continua del Modelo Integrado de Planeación y Gestión - MIPG.</v>
      </c>
    </row>
    <row r="111" spans="2:35" ht="56" x14ac:dyDescent="0.35">
      <c r="B111" s="23">
        <v>20260065</v>
      </c>
      <c r="C111" s="99" t="s">
        <v>868</v>
      </c>
      <c r="D111" s="23" t="s">
        <v>105</v>
      </c>
      <c r="E111" s="23" t="s">
        <v>363</v>
      </c>
      <c r="F111" s="156" t="s">
        <v>144</v>
      </c>
      <c r="G111" s="157" t="s">
        <v>373</v>
      </c>
      <c r="H111" s="158">
        <v>8</v>
      </c>
      <c r="I111" s="158">
        <v>0</v>
      </c>
      <c r="J111" s="127">
        <v>33600000</v>
      </c>
      <c r="K111" s="88" t="s">
        <v>398</v>
      </c>
      <c r="L111" s="156" t="s">
        <v>36</v>
      </c>
      <c r="M111" s="159" t="s">
        <v>495</v>
      </c>
      <c r="N111" s="23" t="s">
        <v>197</v>
      </c>
      <c r="O111" s="151" t="s">
        <v>963</v>
      </c>
      <c r="P111" s="156" t="s">
        <v>348</v>
      </c>
      <c r="Q111" s="53">
        <v>80111600</v>
      </c>
      <c r="R111" s="159" t="s">
        <v>200</v>
      </c>
      <c r="S111" s="159" t="str">
        <f>MID(PAA[[#This Row],[Meta Proyecto de Inversión]],1,4)</f>
        <v>8126</v>
      </c>
      <c r="T111" s="159" t="str">
        <f>MID(PAA[[#This Row],[Meta Proyecto de Inversión]],6,1)</f>
        <v>1</v>
      </c>
      <c r="U111" s="160" t="str">
        <f>IFERROR(VLOOKUP(N111,TD!$B$50:$F$54,2,0)," ")</f>
        <v>O230117</v>
      </c>
      <c r="V111" s="160" t="str">
        <f>IFERROR(VLOOKUP(N111,TD!$B$50:$F$54,3,0)," ")</f>
        <v>4599</v>
      </c>
      <c r="W111" s="160">
        <f>IFERROR(VLOOKUP(N111,TD!$B$50:$F$54,4,0)," ")</f>
        <v>20240207</v>
      </c>
      <c r="X111" s="159" t="s">
        <v>182</v>
      </c>
      <c r="Y111" s="160" t="str">
        <f>IFERROR(VLOOKUP(X111,TD!$J$51:$K$64,2,0)," ")</f>
        <v>Servicios para la planeación y sistemas de gestión y comunicación estratégica</v>
      </c>
      <c r="Z111" s="161" t="str">
        <f>CONCATENATE(X111,"-",Y111)</f>
        <v>13-Servicios para la planeación y sistemas de gestión y comunicación estratégica</v>
      </c>
      <c r="AA111" s="159" t="s">
        <v>229</v>
      </c>
      <c r="AB111" s="160" t="str">
        <f>IFERROR(VLOOKUP(AA111,TD!$N$51:$O$66,2,0)," ")</f>
        <v>Servicio de asistencia técnica</v>
      </c>
      <c r="AC111" s="161" t="str">
        <f>CONCATENATE(AA111,"_",AB111)</f>
        <v>031_Servicio de asistencia técnica</v>
      </c>
      <c r="AD111" s="161" t="str">
        <f>CONCATENATE(Z111," ",AC111)</f>
        <v>13-Servicios para la planeación y sistemas de gestión y comunicación estratégica 031_Servicio de asistencia técnica</v>
      </c>
      <c r="AE111" s="160" t="str">
        <f>CONCATENATE(U111,V111,W111,X111,AA111)</f>
        <v>O23011745992024020713031</v>
      </c>
      <c r="AF111" s="160" t="str">
        <f>IFERROR(VLOOKUP(AD111,TD!$J$66:$K$89,2,0)," ")</f>
        <v>PM/0131/0113/45990310207</v>
      </c>
      <c r="AG111" s="118" t="s">
        <v>385</v>
      </c>
      <c r="AH111" s="159" t="s">
        <v>193</v>
      </c>
      <c r="AI111" s="162" t="str">
        <f>CONCATENATE(PAA[[#This Row],[Id Interno]],"-",PAA[[#This Row],[tipo de Contrato (TH talento humano - B/S bienes y/o servicios)]],"-",S111,"-",T111,"-",PAA[[#This Row],[Objeto de la contratación]])</f>
        <v>20260065-TH-8126-1-Prestar servicios de apoyo a la gestión administrativa para la ejecución de actividades asistenciales, logísticas y de gestión documental, requeridas para la implementación del Sistema de Gestión de la Calidad en el marco del Modelo Integrado de Planeación y Gestión - MIPG.</v>
      </c>
    </row>
    <row r="112" spans="2:35" ht="56" x14ac:dyDescent="0.35">
      <c r="B112" s="23">
        <v>20260066</v>
      </c>
      <c r="C112" s="99" t="s">
        <v>869</v>
      </c>
      <c r="D112" s="23" t="s">
        <v>105</v>
      </c>
      <c r="E112" s="23" t="s">
        <v>363</v>
      </c>
      <c r="F112" s="156" t="s">
        <v>144</v>
      </c>
      <c r="G112" s="157" t="s">
        <v>373</v>
      </c>
      <c r="H112" s="158">
        <v>11</v>
      </c>
      <c r="I112" s="158">
        <v>0</v>
      </c>
      <c r="J112" s="127">
        <v>99000000</v>
      </c>
      <c r="K112" s="88" t="s">
        <v>398</v>
      </c>
      <c r="L112" s="156" t="s">
        <v>36</v>
      </c>
      <c r="M112" s="159" t="s">
        <v>495</v>
      </c>
      <c r="N112" s="23" t="s">
        <v>197</v>
      </c>
      <c r="O112" s="151" t="s">
        <v>963</v>
      </c>
      <c r="P112" s="156" t="s">
        <v>348</v>
      </c>
      <c r="Q112" s="53">
        <v>80111600</v>
      </c>
      <c r="R112" s="159" t="s">
        <v>200</v>
      </c>
      <c r="S112" s="159" t="str">
        <f>MID(PAA[[#This Row],[Meta Proyecto de Inversión]],1,4)</f>
        <v>8126</v>
      </c>
      <c r="T112" s="159" t="str">
        <f>MID(PAA[[#This Row],[Meta Proyecto de Inversión]],6,1)</f>
        <v>1</v>
      </c>
      <c r="U112" s="160" t="str">
        <f>IFERROR(VLOOKUP(N112,TD!$B$50:$F$54,2,0)," ")</f>
        <v>O230117</v>
      </c>
      <c r="V112" s="160" t="str">
        <f>IFERROR(VLOOKUP(N112,TD!$B$50:$F$54,3,0)," ")</f>
        <v>4599</v>
      </c>
      <c r="W112" s="160">
        <f>IFERROR(VLOOKUP(N112,TD!$B$50:$F$54,4,0)," ")</f>
        <v>20240207</v>
      </c>
      <c r="X112" s="159" t="s">
        <v>182</v>
      </c>
      <c r="Y112" s="160" t="str">
        <f>IFERROR(VLOOKUP(X112,TD!$J$51:$K$64,2,0)," ")</f>
        <v>Servicios para la planeación y sistemas de gestión y comunicación estratégica</v>
      </c>
      <c r="Z112" s="161" t="str">
        <f>CONCATENATE(X112,"-",Y112)</f>
        <v>13-Servicios para la planeación y sistemas de gestión y comunicación estratégica</v>
      </c>
      <c r="AA112" s="159" t="s">
        <v>229</v>
      </c>
      <c r="AB112" s="160" t="str">
        <f>IFERROR(VLOOKUP(AA112,TD!$N$51:$O$66,2,0)," ")</f>
        <v>Servicio de asistencia técnica</v>
      </c>
      <c r="AC112" s="161" t="str">
        <f>CONCATENATE(AA112,"_",AB112)</f>
        <v>031_Servicio de asistencia técnica</v>
      </c>
      <c r="AD112" s="161" t="str">
        <f>CONCATENATE(Z112," ",AC112)</f>
        <v>13-Servicios para la planeación y sistemas de gestión y comunicación estratégica 031_Servicio de asistencia técnica</v>
      </c>
      <c r="AE112" s="160" t="str">
        <f>CONCATENATE(U112,V112,W112,X112,AA112)</f>
        <v>O23011745992024020713031</v>
      </c>
      <c r="AF112" s="160" t="str">
        <f>IFERROR(VLOOKUP(AD112,TD!$J$66:$K$89,2,0)," ")</f>
        <v>PM/0131/0113/45990310207</v>
      </c>
      <c r="AG112" s="118" t="s">
        <v>385</v>
      </c>
      <c r="AH112" s="159" t="s">
        <v>193</v>
      </c>
      <c r="AI112" s="162" t="str">
        <f>CONCATENATE(PAA[[#This Row],[Id Interno]],"-",PAA[[#This Row],[tipo de Contrato (TH talento humano - B/S bienes y/o servicios)]],"-",S112,"-",T112,"-",PAA[[#This Row],[Objeto de la contratación]])</f>
        <v>20260066-TH-8126-1-Prestar servicios profesionales en el desarrollo de actividades relacionadas con la formulación, actualización y seguimiento de los proyectos de inversión y las metas a cargo de la UAECOB, en el marco de la política de Gestión Presupuestal y Eficiencia del Gasto Público del Modelo Integrado de Planeación y Gestión - MIPG.</v>
      </c>
    </row>
    <row r="113" spans="2:35" ht="84" x14ac:dyDescent="0.35">
      <c r="B113" s="23">
        <v>20260067</v>
      </c>
      <c r="C113" s="99" t="s">
        <v>870</v>
      </c>
      <c r="D113" s="23" t="s">
        <v>105</v>
      </c>
      <c r="E113" s="23" t="s">
        <v>363</v>
      </c>
      <c r="F113" s="156" t="s">
        <v>144</v>
      </c>
      <c r="G113" s="157" t="s">
        <v>373</v>
      </c>
      <c r="H113" s="158">
        <v>11</v>
      </c>
      <c r="I113" s="158">
        <v>0</v>
      </c>
      <c r="J113" s="127">
        <v>88000000</v>
      </c>
      <c r="K113" s="88" t="s">
        <v>398</v>
      </c>
      <c r="L113" s="156" t="s">
        <v>36</v>
      </c>
      <c r="M113" s="159" t="s">
        <v>495</v>
      </c>
      <c r="N113" s="23" t="s">
        <v>197</v>
      </c>
      <c r="O113" s="151" t="s">
        <v>963</v>
      </c>
      <c r="P113" s="156" t="s">
        <v>348</v>
      </c>
      <c r="Q113" s="53">
        <v>80111600</v>
      </c>
      <c r="R113" s="159" t="s">
        <v>200</v>
      </c>
      <c r="S113" s="159" t="str">
        <f>MID(PAA[[#This Row],[Meta Proyecto de Inversión]],1,4)</f>
        <v>8126</v>
      </c>
      <c r="T113" s="159" t="str">
        <f>MID(PAA[[#This Row],[Meta Proyecto de Inversión]],6,1)</f>
        <v>1</v>
      </c>
      <c r="U113" s="160" t="str">
        <f>IFERROR(VLOOKUP(N113,TD!$B$50:$F$54,2,0)," ")</f>
        <v>O230117</v>
      </c>
      <c r="V113" s="160" t="str">
        <f>IFERROR(VLOOKUP(N113,TD!$B$50:$F$54,3,0)," ")</f>
        <v>4599</v>
      </c>
      <c r="W113" s="160">
        <f>IFERROR(VLOOKUP(N113,TD!$B$50:$F$54,4,0)," ")</f>
        <v>20240207</v>
      </c>
      <c r="X113" s="159" t="s">
        <v>182</v>
      </c>
      <c r="Y113" s="160" t="str">
        <f>IFERROR(VLOOKUP(X113,TD!$J$51:$K$64,2,0)," ")</f>
        <v>Servicios para la planeación y sistemas de gestión y comunicación estratégica</v>
      </c>
      <c r="Z113" s="161" t="str">
        <f>CONCATENATE(X113,"-",Y113)</f>
        <v>13-Servicios para la planeación y sistemas de gestión y comunicación estratégica</v>
      </c>
      <c r="AA113" s="159" t="s">
        <v>229</v>
      </c>
      <c r="AB113" s="160" t="str">
        <f>IFERROR(VLOOKUP(AA113,TD!$N$51:$O$66,2,0)," ")</f>
        <v>Servicio de asistencia técnica</v>
      </c>
      <c r="AC113" s="161" t="str">
        <f>CONCATENATE(AA113,"_",AB113)</f>
        <v>031_Servicio de asistencia técnica</v>
      </c>
      <c r="AD113" s="161" t="str">
        <f>CONCATENATE(Z113," ",AC113)</f>
        <v>13-Servicios para la planeación y sistemas de gestión y comunicación estratégica 031_Servicio de asistencia técnica</v>
      </c>
      <c r="AE113" s="160" t="str">
        <f>CONCATENATE(U113,V113,W113,X113,AA113)</f>
        <v>O23011745992024020713031</v>
      </c>
      <c r="AF113" s="160" t="str">
        <f>IFERROR(VLOOKUP(AD113,TD!$J$66:$K$89,2,0)," ")</f>
        <v>PM/0131/0113/45990310207</v>
      </c>
      <c r="AG113" s="118" t="s">
        <v>385</v>
      </c>
      <c r="AH113" s="159" t="s">
        <v>193</v>
      </c>
      <c r="AI113" s="162" t="str">
        <f>CONCATENATE(PAA[[#This Row],[Id Interno]],"-",PAA[[#This Row],[tipo de Contrato (TH talento humano - B/S bienes y/o servicios)]],"-",S113,"-",T113,"-",PAA[[#This Row],[Objeto de la contratación]])</f>
        <v>20260067-TH-8126-1-Prestar servicios profesionales a la Oficina Asesora de Planeación para apoyar la gestión técnica y financiera de los proyectos de inversión de la UAECOB, en el marco de la política de Gestión Presupuestal y Eficiencia del Gasto Público del Modelo Integrado de Planeación y Gestión - MIPG.</v>
      </c>
    </row>
    <row r="114" spans="2:35" ht="70" x14ac:dyDescent="0.35">
      <c r="B114" s="23">
        <v>20260068</v>
      </c>
      <c r="C114" s="99" t="s">
        <v>871</v>
      </c>
      <c r="D114" s="23" t="s">
        <v>105</v>
      </c>
      <c r="E114" s="23" t="s">
        <v>363</v>
      </c>
      <c r="F114" s="156" t="s">
        <v>144</v>
      </c>
      <c r="G114" s="157" t="s">
        <v>373</v>
      </c>
      <c r="H114" s="158">
        <v>6</v>
      </c>
      <c r="I114" s="158">
        <v>0</v>
      </c>
      <c r="J114" s="127">
        <v>42000000</v>
      </c>
      <c r="K114" s="88" t="s">
        <v>398</v>
      </c>
      <c r="L114" s="156" t="s">
        <v>36</v>
      </c>
      <c r="M114" s="159" t="s">
        <v>495</v>
      </c>
      <c r="N114" s="23" t="s">
        <v>197</v>
      </c>
      <c r="O114" s="151" t="s">
        <v>963</v>
      </c>
      <c r="P114" s="156" t="s">
        <v>348</v>
      </c>
      <c r="Q114" s="53">
        <v>80111600</v>
      </c>
      <c r="R114" s="159" t="s">
        <v>200</v>
      </c>
      <c r="S114" s="159" t="str">
        <f>MID(PAA[[#This Row],[Meta Proyecto de Inversión]],1,4)</f>
        <v>8126</v>
      </c>
      <c r="T114" s="159" t="str">
        <f>MID(PAA[[#This Row],[Meta Proyecto de Inversión]],6,1)</f>
        <v>1</v>
      </c>
      <c r="U114" s="160" t="str">
        <f>IFERROR(VLOOKUP(N114,TD!$B$50:$F$54,2,0)," ")</f>
        <v>O230117</v>
      </c>
      <c r="V114" s="160" t="str">
        <f>IFERROR(VLOOKUP(N114,TD!$B$50:$F$54,3,0)," ")</f>
        <v>4599</v>
      </c>
      <c r="W114" s="160">
        <f>IFERROR(VLOOKUP(N114,TD!$B$50:$F$54,4,0)," ")</f>
        <v>20240207</v>
      </c>
      <c r="X114" s="159" t="s">
        <v>182</v>
      </c>
      <c r="Y114" s="160" t="str">
        <f>IFERROR(VLOOKUP(X114,TD!$J$51:$K$64,2,0)," ")</f>
        <v>Servicios para la planeación y sistemas de gestión y comunicación estratégica</v>
      </c>
      <c r="Z114" s="161" t="str">
        <f>CONCATENATE(X114,"-",Y114)</f>
        <v>13-Servicios para la planeación y sistemas de gestión y comunicación estratégica</v>
      </c>
      <c r="AA114" s="159" t="s">
        <v>229</v>
      </c>
      <c r="AB114" s="160" t="str">
        <f>IFERROR(VLOOKUP(AA114,TD!$N$51:$O$66,2,0)," ")</f>
        <v>Servicio de asistencia técnica</v>
      </c>
      <c r="AC114" s="161" t="str">
        <f>CONCATENATE(AA114,"_",AB114)</f>
        <v>031_Servicio de asistencia técnica</v>
      </c>
      <c r="AD114" s="161" t="str">
        <f>CONCATENATE(Z114," ",AC114)</f>
        <v>13-Servicios para la planeación y sistemas de gestión y comunicación estratégica 031_Servicio de asistencia técnica</v>
      </c>
      <c r="AE114" s="160" t="str">
        <f>CONCATENATE(U114,V114,W114,X114,AA114)</f>
        <v>O23011745992024020713031</v>
      </c>
      <c r="AF114" s="160" t="str">
        <f>IFERROR(VLOOKUP(AD114,TD!$J$66:$K$89,2,0)," ")</f>
        <v>PM/0131/0113/45990310207</v>
      </c>
      <c r="AG114" s="118" t="s">
        <v>385</v>
      </c>
      <c r="AH114" s="159" t="s">
        <v>193</v>
      </c>
      <c r="AI114" s="162" t="str">
        <f>CONCATENATE(PAA[[#This Row],[Id Interno]],"-",PAA[[#This Row],[tipo de Contrato (TH talento humano - B/S bienes y/o servicios)]],"-",S114,"-",T114,"-",PAA[[#This Row],[Objeto de la contratación]])</f>
        <v>20260068-TH-8126-1-Prestar servicios profesionales a la Oficina Asesora de Planeación para apoyar la gestión del proceso de Evaluación y Control, así como la actualización y seguimiento del mapa institucional de riesgos y del mapa de aseguramiento, en el marco del Modelo Integrado de Planeación y Gestión - MIPG.</v>
      </c>
    </row>
    <row r="115" spans="2:35" ht="70" x14ac:dyDescent="0.35">
      <c r="B115" s="23">
        <v>20260069</v>
      </c>
      <c r="C115" s="99" t="s">
        <v>872</v>
      </c>
      <c r="D115" s="23" t="s">
        <v>105</v>
      </c>
      <c r="E115" s="23" t="s">
        <v>363</v>
      </c>
      <c r="F115" s="156" t="s">
        <v>144</v>
      </c>
      <c r="G115" s="157" t="s">
        <v>373</v>
      </c>
      <c r="H115" s="158">
        <v>12</v>
      </c>
      <c r="I115" s="158">
        <v>0</v>
      </c>
      <c r="J115" s="127">
        <v>126000000</v>
      </c>
      <c r="K115" s="88" t="s">
        <v>398</v>
      </c>
      <c r="L115" s="156" t="s">
        <v>36</v>
      </c>
      <c r="M115" s="159" t="s">
        <v>495</v>
      </c>
      <c r="N115" s="23" t="s">
        <v>197</v>
      </c>
      <c r="O115" s="151" t="s">
        <v>963</v>
      </c>
      <c r="P115" s="156" t="s">
        <v>348</v>
      </c>
      <c r="Q115" s="53">
        <v>80111600</v>
      </c>
      <c r="R115" s="159" t="s">
        <v>200</v>
      </c>
      <c r="S115" s="159" t="str">
        <f>MID(PAA[[#This Row],[Meta Proyecto de Inversión]],1,4)</f>
        <v>8126</v>
      </c>
      <c r="T115" s="159" t="str">
        <f>MID(PAA[[#This Row],[Meta Proyecto de Inversión]],6,1)</f>
        <v>1</v>
      </c>
      <c r="U115" s="160" t="str">
        <f>IFERROR(VLOOKUP(N115,TD!$B$50:$F$54,2,0)," ")</f>
        <v>O230117</v>
      </c>
      <c r="V115" s="160" t="str">
        <f>IFERROR(VLOOKUP(N115,TD!$B$50:$F$54,3,0)," ")</f>
        <v>4599</v>
      </c>
      <c r="W115" s="160">
        <f>IFERROR(VLOOKUP(N115,TD!$B$50:$F$54,4,0)," ")</f>
        <v>20240207</v>
      </c>
      <c r="X115" s="159" t="s">
        <v>182</v>
      </c>
      <c r="Y115" s="160" t="str">
        <f>IFERROR(VLOOKUP(X115,TD!$J$51:$K$64,2,0)," ")</f>
        <v>Servicios para la planeación y sistemas de gestión y comunicación estratégica</v>
      </c>
      <c r="Z115" s="161" t="str">
        <f>CONCATENATE(X115,"-",Y115)</f>
        <v>13-Servicios para la planeación y sistemas de gestión y comunicación estratégica</v>
      </c>
      <c r="AA115" s="159" t="s">
        <v>229</v>
      </c>
      <c r="AB115" s="160" t="str">
        <f>IFERROR(VLOOKUP(AA115,TD!$N$51:$O$66,2,0)," ")</f>
        <v>Servicio de asistencia técnica</v>
      </c>
      <c r="AC115" s="161" t="str">
        <f>CONCATENATE(AA115,"_",AB115)</f>
        <v>031_Servicio de asistencia técnica</v>
      </c>
      <c r="AD115" s="161" t="str">
        <f>CONCATENATE(Z115," ",AC115)</f>
        <v>13-Servicios para la planeación y sistemas de gestión y comunicación estratégica 031_Servicio de asistencia técnica</v>
      </c>
      <c r="AE115" s="160" t="str">
        <f>CONCATENATE(U115,V115,W115,X115,AA115)</f>
        <v>O23011745992024020713031</v>
      </c>
      <c r="AF115" s="160" t="str">
        <f>IFERROR(VLOOKUP(AD115,TD!$J$66:$K$89,2,0)," ")</f>
        <v>PM/0131/0113/45990310207</v>
      </c>
      <c r="AG115" s="118" t="s">
        <v>385</v>
      </c>
      <c r="AH115" s="159" t="s">
        <v>193</v>
      </c>
      <c r="AI115" s="162" t="str">
        <f>CONCATENATE(PAA[[#This Row],[Id Interno]],"-",PAA[[#This Row],[tipo de Contrato (TH talento humano - B/S bienes y/o servicios)]],"-",S115,"-",T115,"-",PAA[[#This Row],[Objeto de la contratación]])</f>
        <v>20260069-TH-8126-1-Prestar servicios profesionales a la Oficina Asesora de Planeación en los temas estratégicos y transversales relacionados con el Mejoramiento Continuo y la Gestión de la Calidad, en el marco del Modelo Integrado de Planeación y Gestión (MIPG).</v>
      </c>
    </row>
    <row r="116" spans="2:35" ht="70" x14ac:dyDescent="0.35">
      <c r="B116" s="23">
        <v>20260070</v>
      </c>
      <c r="C116" s="99" t="s">
        <v>873</v>
      </c>
      <c r="D116" s="23" t="s">
        <v>105</v>
      </c>
      <c r="E116" s="23" t="s">
        <v>363</v>
      </c>
      <c r="F116" s="156" t="s">
        <v>144</v>
      </c>
      <c r="G116" s="157" t="s">
        <v>373</v>
      </c>
      <c r="H116" s="158">
        <v>6</v>
      </c>
      <c r="I116" s="158">
        <v>0</v>
      </c>
      <c r="J116" s="127">
        <v>42000000</v>
      </c>
      <c r="K116" s="88" t="s">
        <v>398</v>
      </c>
      <c r="L116" s="156" t="s">
        <v>36</v>
      </c>
      <c r="M116" s="159" t="s">
        <v>495</v>
      </c>
      <c r="N116" s="23" t="s">
        <v>197</v>
      </c>
      <c r="O116" s="151" t="s">
        <v>963</v>
      </c>
      <c r="P116" s="156" t="s">
        <v>348</v>
      </c>
      <c r="Q116" s="53">
        <v>80111600</v>
      </c>
      <c r="R116" s="159" t="s">
        <v>200</v>
      </c>
      <c r="S116" s="159" t="str">
        <f>MID(PAA[[#This Row],[Meta Proyecto de Inversión]],1,4)</f>
        <v>8126</v>
      </c>
      <c r="T116" s="159" t="str">
        <f>MID(PAA[[#This Row],[Meta Proyecto de Inversión]],6,1)</f>
        <v>1</v>
      </c>
      <c r="U116" s="160" t="str">
        <f>IFERROR(VLOOKUP(N116,TD!$B$50:$F$54,2,0)," ")</f>
        <v>O230117</v>
      </c>
      <c r="V116" s="160" t="str">
        <f>IFERROR(VLOOKUP(N116,TD!$B$50:$F$54,3,0)," ")</f>
        <v>4599</v>
      </c>
      <c r="W116" s="160">
        <f>IFERROR(VLOOKUP(N116,TD!$B$50:$F$54,4,0)," ")</f>
        <v>20240207</v>
      </c>
      <c r="X116" s="159" t="s">
        <v>182</v>
      </c>
      <c r="Y116" s="160" t="str">
        <f>IFERROR(VLOOKUP(X116,TD!$J$51:$K$64,2,0)," ")</f>
        <v>Servicios para la planeación y sistemas de gestión y comunicación estratégica</v>
      </c>
      <c r="Z116" s="161" t="str">
        <f>CONCATENATE(X116,"-",Y116)</f>
        <v>13-Servicios para la planeación y sistemas de gestión y comunicación estratégica</v>
      </c>
      <c r="AA116" s="159" t="s">
        <v>229</v>
      </c>
      <c r="AB116" s="160" t="str">
        <f>IFERROR(VLOOKUP(AA116,TD!$N$51:$O$66,2,0)," ")</f>
        <v>Servicio de asistencia técnica</v>
      </c>
      <c r="AC116" s="161" t="str">
        <f>CONCATENATE(AA116,"_",AB116)</f>
        <v>031_Servicio de asistencia técnica</v>
      </c>
      <c r="AD116" s="161" t="str">
        <f>CONCATENATE(Z116," ",AC116)</f>
        <v>13-Servicios para la planeación y sistemas de gestión y comunicación estratégica 031_Servicio de asistencia técnica</v>
      </c>
      <c r="AE116" s="160" t="str">
        <f>CONCATENATE(U116,V116,W116,X116,AA116)</f>
        <v>O23011745992024020713031</v>
      </c>
      <c r="AF116" s="160" t="str">
        <f>IFERROR(VLOOKUP(AD116,TD!$J$66:$K$89,2,0)," ")</f>
        <v>PM/0131/0113/45990310207</v>
      </c>
      <c r="AG116" s="118" t="s">
        <v>385</v>
      </c>
      <c r="AH116" s="159" t="s">
        <v>193</v>
      </c>
      <c r="AI116" s="162" t="str">
        <f>CONCATENATE(PAA[[#This Row],[Id Interno]],"-",PAA[[#This Row],[tipo de Contrato (TH talento humano - B/S bienes y/o servicios)]],"-",S116,"-",T116,"-",PAA[[#This Row],[Objeto de la contratación]])</f>
        <v>20260070-TH-8126-1-Prestar servicios profesionales a la Oficina Asesora de Planeación para acompañar la gestión del proceso de Gestión de Tecnologías de la Información y las Comunicaciones, orientada al fortalecimiento organizacional. Asimismo, apoyar el seguimiento y control de los planes de mejoramiento, en el marco del Modelo Integrado de Planeación y Gestión - MIPG.</v>
      </c>
    </row>
    <row r="117" spans="2:35" ht="56" x14ac:dyDescent="0.35">
      <c r="B117" s="23">
        <v>20260073</v>
      </c>
      <c r="C117" s="99" t="s">
        <v>875</v>
      </c>
      <c r="D117" s="23" t="s">
        <v>105</v>
      </c>
      <c r="E117" s="23" t="s">
        <v>363</v>
      </c>
      <c r="F117" s="156" t="s">
        <v>144</v>
      </c>
      <c r="G117" s="157" t="s">
        <v>373</v>
      </c>
      <c r="H117" s="158">
        <v>6</v>
      </c>
      <c r="I117" s="158">
        <v>0</v>
      </c>
      <c r="J117" s="127">
        <v>39000000</v>
      </c>
      <c r="K117" s="88" t="s">
        <v>398</v>
      </c>
      <c r="L117" s="156" t="s">
        <v>36</v>
      </c>
      <c r="M117" s="159" t="s">
        <v>495</v>
      </c>
      <c r="N117" s="23" t="s">
        <v>197</v>
      </c>
      <c r="O117" s="151" t="s">
        <v>963</v>
      </c>
      <c r="P117" s="156" t="s">
        <v>348</v>
      </c>
      <c r="Q117" s="53">
        <v>80111600</v>
      </c>
      <c r="R117" s="159" t="s">
        <v>200</v>
      </c>
      <c r="S117" s="159" t="str">
        <f>MID(PAA[[#This Row],[Meta Proyecto de Inversión]],1,4)</f>
        <v>8126</v>
      </c>
      <c r="T117" s="159" t="str">
        <f>MID(PAA[[#This Row],[Meta Proyecto de Inversión]],6,1)</f>
        <v>1</v>
      </c>
      <c r="U117" s="160" t="str">
        <f>IFERROR(VLOOKUP(N117,TD!$B$50:$F$54,2,0)," ")</f>
        <v>O230117</v>
      </c>
      <c r="V117" s="160" t="str">
        <f>IFERROR(VLOOKUP(N117,TD!$B$50:$F$54,3,0)," ")</f>
        <v>4599</v>
      </c>
      <c r="W117" s="160">
        <f>IFERROR(VLOOKUP(N117,TD!$B$50:$F$54,4,0)," ")</f>
        <v>20240207</v>
      </c>
      <c r="X117" s="159" t="s">
        <v>182</v>
      </c>
      <c r="Y117" s="160" t="str">
        <f>IFERROR(VLOOKUP(X117,TD!$J$51:$K$64,2,0)," ")</f>
        <v>Servicios para la planeación y sistemas de gestión y comunicación estratégica</v>
      </c>
      <c r="Z117" s="161" t="str">
        <f>CONCATENATE(X117,"-",Y117)</f>
        <v>13-Servicios para la planeación y sistemas de gestión y comunicación estratégica</v>
      </c>
      <c r="AA117" s="159" t="s">
        <v>229</v>
      </c>
      <c r="AB117" s="160" t="str">
        <f>IFERROR(VLOOKUP(AA117,TD!$N$51:$O$66,2,0)," ")</f>
        <v>Servicio de asistencia técnica</v>
      </c>
      <c r="AC117" s="161" t="str">
        <f>CONCATENATE(AA117,"_",AB117)</f>
        <v>031_Servicio de asistencia técnica</v>
      </c>
      <c r="AD117" s="161" t="str">
        <f>CONCATENATE(Z117," ",AC117)</f>
        <v>13-Servicios para la planeación y sistemas de gestión y comunicación estratégica 031_Servicio de asistencia técnica</v>
      </c>
      <c r="AE117" s="160" t="str">
        <f>CONCATENATE(U117,V117,W117,X117,AA117)</f>
        <v>O23011745992024020713031</v>
      </c>
      <c r="AF117" s="160" t="str">
        <f>IFERROR(VLOOKUP(AD117,TD!$J$66:$K$89,2,0)," ")</f>
        <v>PM/0131/0113/45990310207</v>
      </c>
      <c r="AG117" s="118" t="s">
        <v>385</v>
      </c>
      <c r="AH117" s="159" t="s">
        <v>193</v>
      </c>
      <c r="AI117" s="162" t="str">
        <f>CONCATENATE(PAA[[#This Row],[Id Interno]],"-",PAA[[#This Row],[tipo de Contrato (TH talento humano - B/S bienes y/o servicios)]],"-",S117,"-",T117,"-",PAA[[#This Row],[Objeto de la contratación]])</f>
        <v>20260073-TH-8126-1-Prestar servicios profesionales para el desarrollo de actividades orientadas a la implementación de las políticas establecidas en el marco del Modelo Integrado de Planeación y Gestión - MIPG, liderado por la Oficina Asesora de Planeación.</v>
      </c>
    </row>
    <row r="118" spans="2:35" ht="56" x14ac:dyDescent="0.35">
      <c r="B118" s="23">
        <v>20260075</v>
      </c>
      <c r="C118" s="99" t="s">
        <v>877</v>
      </c>
      <c r="D118" s="23" t="s">
        <v>105</v>
      </c>
      <c r="E118" s="23" t="s">
        <v>363</v>
      </c>
      <c r="F118" s="156" t="s">
        <v>144</v>
      </c>
      <c r="G118" s="157" t="s">
        <v>373</v>
      </c>
      <c r="H118" s="158">
        <v>6</v>
      </c>
      <c r="I118" s="158">
        <v>0</v>
      </c>
      <c r="J118" s="127">
        <v>40200000</v>
      </c>
      <c r="K118" s="88" t="s">
        <v>398</v>
      </c>
      <c r="L118" s="156" t="s">
        <v>36</v>
      </c>
      <c r="M118" s="159" t="s">
        <v>495</v>
      </c>
      <c r="N118" s="23" t="s">
        <v>197</v>
      </c>
      <c r="O118" s="151" t="s">
        <v>963</v>
      </c>
      <c r="P118" s="156" t="s">
        <v>348</v>
      </c>
      <c r="Q118" s="53">
        <v>80111600</v>
      </c>
      <c r="R118" s="159" t="s">
        <v>201</v>
      </c>
      <c r="S118" s="159" t="str">
        <f>MID(PAA[[#This Row],[Meta Proyecto de Inversión]],1,4)</f>
        <v>8126</v>
      </c>
      <c r="T118" s="159" t="str">
        <f>MID(PAA[[#This Row],[Meta Proyecto de Inversión]],6,1)</f>
        <v>2</v>
      </c>
      <c r="U118" s="160" t="str">
        <f>IFERROR(VLOOKUP(N118,TD!$B$50:$F$54,2,0)," ")</f>
        <v>O230117</v>
      </c>
      <c r="V118" s="160" t="str">
        <f>IFERROR(VLOOKUP(N118,TD!$B$50:$F$54,3,0)," ")</f>
        <v>4599</v>
      </c>
      <c r="W118" s="160">
        <f>IFERROR(VLOOKUP(N118,TD!$B$50:$F$54,4,0)," ")</f>
        <v>20240207</v>
      </c>
      <c r="X118" s="159" t="s">
        <v>182</v>
      </c>
      <c r="Y118" s="160" t="str">
        <f>IFERROR(VLOOKUP(X118,TD!$J$51:$K$64,2,0)," ")</f>
        <v>Servicios para la planeación y sistemas de gestión y comunicación estratégica</v>
      </c>
      <c r="Z118" s="161" t="str">
        <f>CONCATENATE(X118,"-",Y118)</f>
        <v>13-Servicios para la planeación y sistemas de gestión y comunicación estratégica</v>
      </c>
      <c r="AA118" s="159" t="s">
        <v>230</v>
      </c>
      <c r="AB118" s="160" t="str">
        <f>IFERROR(VLOOKUP(AA118,TD!$N$51:$O$66,2,0)," ")</f>
        <v>Servicio de Implementación Sistemas de Gestión</v>
      </c>
      <c r="AC118" s="161" t="str">
        <f>CONCATENATE(AA118,"_",AB118)</f>
        <v>023_Servicio de Implementación Sistemas de Gestión</v>
      </c>
      <c r="AD118" s="161" t="str">
        <f>CONCATENATE(Z118," ",AC118)</f>
        <v>13-Servicios para la planeación y sistemas de gestión y comunicación estratégica 023_Servicio de Implementación Sistemas de Gestión</v>
      </c>
      <c r="AE118" s="160" t="str">
        <f>CONCATENATE(U118,V118,W118,X118,AA118)</f>
        <v>O23011745992024020713023</v>
      </c>
      <c r="AF118" s="160" t="str">
        <f>IFERROR(VLOOKUP(AD118,TD!$J$66:$K$89,2,0)," ")</f>
        <v>PM/0131/0113/45990230207</v>
      </c>
      <c r="AG118" s="118" t="s">
        <v>385</v>
      </c>
      <c r="AH118" s="159" t="s">
        <v>193</v>
      </c>
      <c r="AI118" s="162" t="str">
        <f>CONCATENATE(PAA[[#This Row],[Id Interno]],"-",PAA[[#This Row],[tipo de Contrato (TH talento humano - B/S bienes y/o servicios)]],"-",S118,"-",T118,"-",PAA[[#This Row],[Objeto de la contratación]])</f>
        <v>20260075-TH-8126-2-Prestar servicios profesionales a la Oficina Asesora de Planeación para acompañar la gestión de los procesos de Conocimiento y Reducción, orientada al fortalecimiento organizacional. Asimismo, apoyar la implementación de las políticas de Gestión de la Información Estadística y de Racionalización de Trámites, en el marco del Modelo Integrado de Planeación y Gestión - MIPG.</v>
      </c>
    </row>
    <row r="119" spans="2:35" ht="56" x14ac:dyDescent="0.35">
      <c r="B119" s="23">
        <v>20260076</v>
      </c>
      <c r="C119" s="99" t="s">
        <v>878</v>
      </c>
      <c r="D119" s="23" t="s">
        <v>105</v>
      </c>
      <c r="E119" s="23" t="s">
        <v>363</v>
      </c>
      <c r="F119" s="156" t="s">
        <v>144</v>
      </c>
      <c r="G119" s="157" t="s">
        <v>373</v>
      </c>
      <c r="H119" s="158">
        <v>6</v>
      </c>
      <c r="I119" s="158">
        <v>0</v>
      </c>
      <c r="J119" s="127">
        <v>39000000</v>
      </c>
      <c r="K119" s="88" t="s">
        <v>398</v>
      </c>
      <c r="L119" s="156" t="s">
        <v>36</v>
      </c>
      <c r="M119" s="159" t="s">
        <v>495</v>
      </c>
      <c r="N119" s="23" t="s">
        <v>197</v>
      </c>
      <c r="O119" s="151" t="s">
        <v>963</v>
      </c>
      <c r="P119" s="156" t="s">
        <v>348</v>
      </c>
      <c r="Q119" s="53">
        <v>80111600</v>
      </c>
      <c r="R119" s="159" t="s">
        <v>200</v>
      </c>
      <c r="S119" s="159" t="str">
        <f>MID(PAA[[#This Row],[Meta Proyecto de Inversión]],1,4)</f>
        <v>8126</v>
      </c>
      <c r="T119" s="159" t="str">
        <f>MID(PAA[[#This Row],[Meta Proyecto de Inversión]],6,1)</f>
        <v>1</v>
      </c>
      <c r="U119" s="160" t="str">
        <f>IFERROR(VLOOKUP(N119,TD!$B$50:$F$54,2,0)," ")</f>
        <v>O230117</v>
      </c>
      <c r="V119" s="160" t="str">
        <f>IFERROR(VLOOKUP(N119,TD!$B$50:$F$54,3,0)," ")</f>
        <v>4599</v>
      </c>
      <c r="W119" s="160">
        <f>IFERROR(VLOOKUP(N119,TD!$B$50:$F$54,4,0)," ")</f>
        <v>20240207</v>
      </c>
      <c r="X119" s="159" t="s">
        <v>182</v>
      </c>
      <c r="Y119" s="160" t="str">
        <f>IFERROR(VLOOKUP(X119,TD!$J$51:$K$64,2,0)," ")</f>
        <v>Servicios para la planeación y sistemas de gestión y comunicación estratégica</v>
      </c>
      <c r="Z119" s="161" t="str">
        <f>CONCATENATE(X119,"-",Y119)</f>
        <v>13-Servicios para la planeación y sistemas de gestión y comunicación estratégica</v>
      </c>
      <c r="AA119" s="159" t="s">
        <v>229</v>
      </c>
      <c r="AB119" s="160" t="str">
        <f>IFERROR(VLOOKUP(AA119,TD!$N$51:$O$66,2,0)," ")</f>
        <v>Servicio de asistencia técnica</v>
      </c>
      <c r="AC119" s="161" t="str">
        <f>CONCATENATE(AA119,"_",AB119)</f>
        <v>031_Servicio de asistencia técnica</v>
      </c>
      <c r="AD119" s="161" t="str">
        <f>CONCATENATE(Z119," ",AC119)</f>
        <v>13-Servicios para la planeación y sistemas de gestión y comunicación estratégica 031_Servicio de asistencia técnica</v>
      </c>
      <c r="AE119" s="160" t="str">
        <f>CONCATENATE(U119,V119,W119,X119,AA119)</f>
        <v>O23011745992024020713031</v>
      </c>
      <c r="AF119" s="160" t="str">
        <f>IFERROR(VLOOKUP(AD119,TD!$J$66:$K$89,2,0)," ")</f>
        <v>PM/0131/0113/45990310207</v>
      </c>
      <c r="AG119" s="118" t="s">
        <v>385</v>
      </c>
      <c r="AH119" s="159" t="s">
        <v>193</v>
      </c>
      <c r="AI119" s="162" t="str">
        <f>CONCATENATE(PAA[[#This Row],[Id Interno]],"-",PAA[[#This Row],[tipo de Contrato (TH talento humano - B/S bienes y/o servicios)]],"-",S119,"-",T119,"-",PAA[[#This Row],[Objeto de la contratación]])</f>
        <v>20260076-TH-8126-1-Prestar servicios profesionales para brindar apoyo jurídico en la gestión contractual y administrativa de la Oficina Asesora de Planeación, de acuerdo con los lineamientos internos y en el marco del Modelo Integrado de Planeación y Gestión - MIPG.</v>
      </c>
    </row>
    <row r="120" spans="2:35" ht="56" x14ac:dyDescent="0.35">
      <c r="B120" s="23">
        <v>20260077</v>
      </c>
      <c r="C120" s="99" t="s">
        <v>879</v>
      </c>
      <c r="D120" s="23" t="s">
        <v>105</v>
      </c>
      <c r="E120" s="23" t="s">
        <v>363</v>
      </c>
      <c r="F120" s="156" t="s">
        <v>145</v>
      </c>
      <c r="G120" s="157" t="s">
        <v>373</v>
      </c>
      <c r="H120" s="158">
        <v>8</v>
      </c>
      <c r="I120" s="158">
        <v>0</v>
      </c>
      <c r="J120" s="127">
        <v>35926528</v>
      </c>
      <c r="K120" s="88" t="s">
        <v>398</v>
      </c>
      <c r="L120" s="156" t="s">
        <v>36</v>
      </c>
      <c r="M120" s="159" t="s">
        <v>495</v>
      </c>
      <c r="N120" s="23" t="s">
        <v>197</v>
      </c>
      <c r="O120" s="151" t="s">
        <v>963</v>
      </c>
      <c r="P120" s="156" t="s">
        <v>348</v>
      </c>
      <c r="Q120" s="53">
        <v>80111600</v>
      </c>
      <c r="R120" s="159" t="s">
        <v>200</v>
      </c>
      <c r="S120" s="159" t="str">
        <f>MID(PAA[[#This Row],[Meta Proyecto de Inversión]],1,4)</f>
        <v>8126</v>
      </c>
      <c r="T120" s="159" t="str">
        <f>MID(PAA[[#This Row],[Meta Proyecto de Inversión]],6,1)</f>
        <v>1</v>
      </c>
      <c r="U120" s="160" t="str">
        <f>IFERROR(VLOOKUP(N120,TD!$B$50:$F$54,2,0)," ")</f>
        <v>O230117</v>
      </c>
      <c r="V120" s="160" t="str">
        <f>IFERROR(VLOOKUP(N120,TD!$B$50:$F$54,3,0)," ")</f>
        <v>4599</v>
      </c>
      <c r="W120" s="160">
        <f>IFERROR(VLOOKUP(N120,TD!$B$50:$F$54,4,0)," ")</f>
        <v>20240207</v>
      </c>
      <c r="X120" s="159" t="s">
        <v>182</v>
      </c>
      <c r="Y120" s="160" t="str">
        <f>IFERROR(VLOOKUP(X120,TD!$J$51:$K$64,2,0)," ")</f>
        <v>Servicios para la planeación y sistemas de gestión y comunicación estratégica</v>
      </c>
      <c r="Z120" s="161" t="str">
        <f>CONCATENATE(X120,"-",Y120)</f>
        <v>13-Servicios para la planeación y sistemas de gestión y comunicación estratégica</v>
      </c>
      <c r="AA120" s="159" t="s">
        <v>230</v>
      </c>
      <c r="AB120" s="160" t="str">
        <f>IFERROR(VLOOKUP(AA120,TD!$N$51:$O$66,2,0)," ")</f>
        <v>Servicio de Implementación Sistemas de Gestión</v>
      </c>
      <c r="AC120" s="161" t="str">
        <f>CONCATENATE(AA120,"_",AB120)</f>
        <v>023_Servicio de Implementación Sistemas de Gestión</v>
      </c>
      <c r="AD120" s="161" t="str">
        <f>CONCATENATE(Z120," ",AC120)</f>
        <v>13-Servicios para la planeación y sistemas de gestión y comunicación estratégica 023_Servicio de Implementación Sistemas de Gestión</v>
      </c>
      <c r="AE120" s="160" t="str">
        <f>CONCATENATE(U120,V120,W120,X120,AA120)</f>
        <v>O23011745992024020713023</v>
      </c>
      <c r="AF120" s="160" t="str">
        <f>IFERROR(VLOOKUP(AD120,TD!$J$66:$K$89,2,0)," ")</f>
        <v>PM/0131/0113/45990230207</v>
      </c>
      <c r="AG120" s="118" t="s">
        <v>385</v>
      </c>
      <c r="AH120" s="159" t="s">
        <v>193</v>
      </c>
      <c r="AI120" s="162" t="str">
        <f>CONCATENATE(PAA[[#This Row],[Id Interno]],"-",PAA[[#This Row],[tipo de Contrato (TH talento humano - B/S bienes y/o servicios)]],"-",S120,"-",T120,"-",PAA[[#This Row],[Objeto de la contratación]])</f>
        <v>20260077-TH-8126-1-Prestar servicios de apoyo a la gestión en la Oficina Asesora de Planeación, orientados a la ejecución de actividades administrativas, asistenciales, logísticas, de procesos y de gestión documental, contribuyendo al fortalecimiento de la planeación estratégica y a la articulación de los lineamientos del Modelo Integrado de Planeación y Gestión - MIPG.</v>
      </c>
    </row>
    <row r="121" spans="2:35" ht="84" x14ac:dyDescent="0.35">
      <c r="B121" s="23">
        <v>20260079</v>
      </c>
      <c r="C121" s="99" t="s">
        <v>924</v>
      </c>
      <c r="D121" s="23" t="s">
        <v>105</v>
      </c>
      <c r="E121" s="23" t="s">
        <v>363</v>
      </c>
      <c r="F121" s="156" t="s">
        <v>145</v>
      </c>
      <c r="G121" s="157" t="s">
        <v>373</v>
      </c>
      <c r="H121" s="158">
        <v>7</v>
      </c>
      <c r="I121" s="158">
        <v>0</v>
      </c>
      <c r="J121" s="127">
        <v>49000000</v>
      </c>
      <c r="K121" s="88" t="s">
        <v>398</v>
      </c>
      <c r="L121" s="156" t="s">
        <v>36</v>
      </c>
      <c r="M121" s="159" t="s">
        <v>495</v>
      </c>
      <c r="N121" s="23" t="s">
        <v>197</v>
      </c>
      <c r="O121" s="151" t="s">
        <v>963</v>
      </c>
      <c r="P121" s="156" t="s">
        <v>348</v>
      </c>
      <c r="Q121" s="53">
        <v>80111600</v>
      </c>
      <c r="R121" s="159" t="s">
        <v>200</v>
      </c>
      <c r="S121" s="159" t="str">
        <f>MID(PAA[[#This Row],[Meta Proyecto de Inversión]],1,4)</f>
        <v>8126</v>
      </c>
      <c r="T121" s="159" t="str">
        <f>MID(PAA[[#This Row],[Meta Proyecto de Inversión]],6,1)</f>
        <v>1</v>
      </c>
      <c r="U121" s="160" t="str">
        <f>IFERROR(VLOOKUP(N121,TD!$B$50:$F$54,2,0)," ")</f>
        <v>O230117</v>
      </c>
      <c r="V121" s="160" t="str">
        <f>IFERROR(VLOOKUP(N121,TD!$B$50:$F$54,3,0)," ")</f>
        <v>4599</v>
      </c>
      <c r="W121" s="160">
        <f>IFERROR(VLOOKUP(N121,TD!$B$50:$F$54,4,0)," ")</f>
        <v>20240207</v>
      </c>
      <c r="X121" s="159" t="s">
        <v>182</v>
      </c>
      <c r="Y121" s="160" t="str">
        <f>IFERROR(VLOOKUP(X121,TD!$J$51:$K$64,2,0)," ")</f>
        <v>Servicios para la planeación y sistemas de gestión y comunicación estratégica</v>
      </c>
      <c r="Z121" s="161" t="str">
        <f>CONCATENATE(X121,"-",Y121)</f>
        <v>13-Servicios para la planeación y sistemas de gestión y comunicación estratégica</v>
      </c>
      <c r="AA121" s="159" t="s">
        <v>229</v>
      </c>
      <c r="AB121" s="160" t="str">
        <f>IFERROR(VLOOKUP(AA121,TD!$N$51:$O$66,2,0)," ")</f>
        <v>Servicio de asistencia técnica</v>
      </c>
      <c r="AC121" s="161" t="str">
        <f>CONCATENATE(AA121,"_",AB121)</f>
        <v>031_Servicio de asistencia técnica</v>
      </c>
      <c r="AD121" s="161" t="str">
        <f>CONCATENATE(Z121," ",AC121)</f>
        <v>13-Servicios para la planeación y sistemas de gestión y comunicación estratégica 031_Servicio de asistencia técnica</v>
      </c>
      <c r="AE121" s="160" t="str">
        <f>CONCATENATE(U121,V121,W121,X121,AA121)</f>
        <v>O23011745992024020713031</v>
      </c>
      <c r="AF121" s="160" t="str">
        <f>IFERROR(VLOOKUP(AD121,TD!$J$66:$K$89,2,0)," ")</f>
        <v>PM/0131/0113/45990310207</v>
      </c>
      <c r="AG121" s="118" t="s">
        <v>385</v>
      </c>
      <c r="AH121" s="159" t="s">
        <v>194</v>
      </c>
      <c r="AI121" s="162" t="str">
        <f>CONCATENATE(PAA[[#This Row],[Id Interno]],"-",PAA[[#This Row],[tipo de Contrato (TH talento humano - B/S bienes y/o servicios)]],"-",S121,"-",T121,"-",PAA[[#This Row],[Objeto de la contratación]])</f>
        <v>20260079-TH-8126-1-Prestar servicios profesionales para apoyar al Jefe de la Oficina de Planeación en asuntos estratégicos de la gestión administrativa</v>
      </c>
    </row>
    <row r="122" spans="2:35" ht="84" x14ac:dyDescent="0.35">
      <c r="B122" s="23">
        <v>20260080</v>
      </c>
      <c r="C122" s="99" t="s">
        <v>922</v>
      </c>
      <c r="D122" s="23" t="s">
        <v>105</v>
      </c>
      <c r="E122" s="23" t="s">
        <v>363</v>
      </c>
      <c r="F122" s="156" t="s">
        <v>144</v>
      </c>
      <c r="G122" s="157" t="s">
        <v>373</v>
      </c>
      <c r="H122" s="158">
        <v>7</v>
      </c>
      <c r="I122" s="158">
        <v>0</v>
      </c>
      <c r="J122" s="127">
        <v>49000000</v>
      </c>
      <c r="K122" s="88" t="s">
        <v>398</v>
      </c>
      <c r="L122" s="156" t="s">
        <v>36</v>
      </c>
      <c r="M122" s="159" t="s">
        <v>495</v>
      </c>
      <c r="N122" s="23" t="s">
        <v>197</v>
      </c>
      <c r="O122" s="151" t="s">
        <v>963</v>
      </c>
      <c r="P122" s="156" t="s">
        <v>348</v>
      </c>
      <c r="Q122" s="53">
        <v>80111600</v>
      </c>
      <c r="R122" s="159" t="s">
        <v>200</v>
      </c>
      <c r="S122" s="159" t="str">
        <f>MID(PAA[[#This Row],[Meta Proyecto de Inversión]],1,4)</f>
        <v>8126</v>
      </c>
      <c r="T122" s="159" t="str">
        <f>MID(PAA[[#This Row],[Meta Proyecto de Inversión]],6,1)</f>
        <v>1</v>
      </c>
      <c r="U122" s="160" t="str">
        <f>IFERROR(VLOOKUP(N122,TD!$B$50:$F$54,2,0)," ")</f>
        <v>O230117</v>
      </c>
      <c r="V122" s="160" t="str">
        <f>IFERROR(VLOOKUP(N122,TD!$B$50:$F$54,3,0)," ")</f>
        <v>4599</v>
      </c>
      <c r="W122" s="160">
        <f>IFERROR(VLOOKUP(N122,TD!$B$50:$F$54,4,0)," ")</f>
        <v>20240207</v>
      </c>
      <c r="X122" s="159" t="s">
        <v>182</v>
      </c>
      <c r="Y122" s="160" t="str">
        <f>IFERROR(VLOOKUP(X122,TD!$J$51:$K$64,2,0)," ")</f>
        <v>Servicios para la planeación y sistemas de gestión y comunicación estratégica</v>
      </c>
      <c r="Z122" s="161" t="str">
        <f>CONCATENATE(X122,"-",Y122)</f>
        <v>13-Servicios para la planeación y sistemas de gestión y comunicación estratégica</v>
      </c>
      <c r="AA122" s="159" t="s">
        <v>229</v>
      </c>
      <c r="AB122" s="160" t="str">
        <f>IFERROR(VLOOKUP(AA122,TD!$N$51:$O$66,2,0)," ")</f>
        <v>Servicio de asistencia técnica</v>
      </c>
      <c r="AC122" s="161" t="str">
        <f>CONCATENATE(AA122,"_",AB122)</f>
        <v>031_Servicio de asistencia técnica</v>
      </c>
      <c r="AD122" s="161" t="str">
        <f>CONCATENATE(Z122," ",AC122)</f>
        <v>13-Servicios para la planeación y sistemas de gestión y comunicación estratégica 031_Servicio de asistencia técnica</v>
      </c>
      <c r="AE122" s="160" t="str">
        <f>CONCATENATE(U122,V122,W122,X122,AA122)</f>
        <v>O23011745992024020713031</v>
      </c>
      <c r="AF122" s="160" t="str">
        <f>IFERROR(VLOOKUP(AD122,TD!$J$66:$K$89,2,0)," ")</f>
        <v>PM/0131/0113/45990310207</v>
      </c>
      <c r="AG122" s="118" t="s">
        <v>385</v>
      </c>
      <c r="AH122" s="159" t="s">
        <v>193</v>
      </c>
      <c r="AI122" s="162" t="str">
        <f>CONCATENATE(PAA[[#This Row],[Id Interno]],"-",PAA[[#This Row],[tipo de Contrato (TH talento humano - B/S bienes y/o servicios)]],"-",S122,"-",T122,"-",PAA[[#This Row],[Objeto de la contratación]])</f>
        <v>20260080-TH-8126-1-Prestar servicios profesionales a la Oficina Asesora de Planeación en los asuntos concernientes que se le asignen para la implementación del Modelo Integrado de Planeación y Gestión MIPG.</v>
      </c>
    </row>
    <row r="123" spans="2:35" ht="70" x14ac:dyDescent="0.35">
      <c r="B123" s="23">
        <v>20260081</v>
      </c>
      <c r="C123" s="99" t="s">
        <v>624</v>
      </c>
      <c r="D123" s="23" t="s">
        <v>105</v>
      </c>
      <c r="E123" s="23" t="s">
        <v>363</v>
      </c>
      <c r="F123" s="156" t="s">
        <v>144</v>
      </c>
      <c r="G123" s="157" t="s">
        <v>374</v>
      </c>
      <c r="H123" s="158">
        <v>10</v>
      </c>
      <c r="I123" s="158">
        <v>0</v>
      </c>
      <c r="J123" s="127">
        <v>78000000</v>
      </c>
      <c r="K123" s="88" t="s">
        <v>398</v>
      </c>
      <c r="L123" s="156" t="s">
        <v>46</v>
      </c>
      <c r="M123" s="159" t="s">
        <v>421</v>
      </c>
      <c r="N123" s="23" t="s">
        <v>197</v>
      </c>
      <c r="O123" s="151" t="s">
        <v>963</v>
      </c>
      <c r="P123" s="156" t="s">
        <v>348</v>
      </c>
      <c r="Q123" s="53">
        <v>80111600</v>
      </c>
      <c r="R123" s="159" t="s">
        <v>208</v>
      </c>
      <c r="S123" s="159" t="str">
        <f>MID(PAA[[#This Row],[Meta Proyecto de Inversión]],1,4)</f>
        <v>8126</v>
      </c>
      <c r="T123" s="159" t="str">
        <f>MID(PAA[[#This Row],[Meta Proyecto de Inversión]],6,1)</f>
        <v>9</v>
      </c>
      <c r="U123" s="160" t="str">
        <f>IFERROR(VLOOKUP(N123,TD!$B$50:$F$54,2,0)," ")</f>
        <v>O230117</v>
      </c>
      <c r="V123" s="160" t="str">
        <f>IFERROR(VLOOKUP(N123,TD!$B$50:$F$54,3,0)," ")</f>
        <v>4599</v>
      </c>
      <c r="W123" s="160">
        <f>IFERROR(VLOOKUP(N123,TD!$B$50:$F$54,4,0)," ")</f>
        <v>20240207</v>
      </c>
      <c r="X123" s="159" t="s">
        <v>174</v>
      </c>
      <c r="Y123" s="160" t="str">
        <f>IFERROR(VLOOKUP(X123,TD!$J$51:$K$64,2,0)," ")</f>
        <v>Infraestructura física, mantenimiento y dotación (Sedes construidas, mantenidas reforzadas)</v>
      </c>
      <c r="Z123" s="161" t="str">
        <f>CONCATENATE(X123,"-",Y123)</f>
        <v>08-Infraestructura física, mantenimiento y dotación (Sedes construidas, mantenidas reforzadas)</v>
      </c>
      <c r="AA123" s="159" t="s">
        <v>227</v>
      </c>
      <c r="AB123" s="160" t="str">
        <f>IFERROR(VLOOKUP(AA123,TD!$N$51:$O$66,2,0)," ")</f>
        <v>Sedes mantenidas</v>
      </c>
      <c r="AC123" s="161" t="str">
        <f>CONCATENATE(AA123,"_",AB123)</f>
        <v>016_Sedes mantenidas</v>
      </c>
      <c r="AD123" s="161" t="str">
        <f>CONCATENATE(Z123," ",AC123)</f>
        <v>08-Infraestructura física, mantenimiento y dotación (Sedes construidas, mantenidas reforzadas) 016_Sedes mantenidas</v>
      </c>
      <c r="AE123" s="160" t="str">
        <f>CONCATENATE(U123,V123,W123,X123,AA123)</f>
        <v>O23011745992024020708016</v>
      </c>
      <c r="AF123" s="160" t="str">
        <f>IFERROR(VLOOKUP(AD123,TD!$J$66:$K$89,2,0)," ")</f>
        <v>PM/0131/0108/45990160207</v>
      </c>
      <c r="AG123" s="118" t="s">
        <v>385</v>
      </c>
      <c r="AH123" s="159" t="s">
        <v>193</v>
      </c>
      <c r="AI123" s="162" t="str">
        <f>CONCATENATE(PAA[[#This Row],[Id Interno]],"-",PAA[[#This Row],[tipo de Contrato (TH talento humano - B/S bienes y/o servicios)]],"-",S123,"-",T123,"-",PAA[[#This Row],[Objeto de la contratación]])</f>
        <v>20260081-TH-8126-9-Prestar servicios profesionales jurídicos especializados en la Oficina de Control Disciplinario Interno para orientar, revisar y apoyar los documentos que se elaboren en el desarrollo del proceso disciplinario en etapa de instrucción.</v>
      </c>
    </row>
    <row r="124" spans="2:35" ht="84" x14ac:dyDescent="0.35">
      <c r="B124" s="23">
        <v>20260082</v>
      </c>
      <c r="C124" s="99" t="s">
        <v>915</v>
      </c>
      <c r="D124" s="23" t="s">
        <v>105</v>
      </c>
      <c r="E124" s="23" t="s">
        <v>363</v>
      </c>
      <c r="F124" s="156" t="s">
        <v>144</v>
      </c>
      <c r="G124" s="157" t="s">
        <v>374</v>
      </c>
      <c r="H124" s="158">
        <v>10</v>
      </c>
      <c r="I124" s="158">
        <v>0</v>
      </c>
      <c r="J124" s="127">
        <v>85000000</v>
      </c>
      <c r="K124" s="88" t="s">
        <v>398</v>
      </c>
      <c r="L124" s="156" t="s">
        <v>46</v>
      </c>
      <c r="M124" s="159" t="s">
        <v>421</v>
      </c>
      <c r="N124" s="23" t="s">
        <v>197</v>
      </c>
      <c r="O124" s="151" t="s">
        <v>963</v>
      </c>
      <c r="P124" s="156" t="s">
        <v>348</v>
      </c>
      <c r="Q124" s="53">
        <v>80111600</v>
      </c>
      <c r="R124" s="159" t="s">
        <v>208</v>
      </c>
      <c r="S124" s="159" t="str">
        <f>MID(PAA[[#This Row],[Meta Proyecto de Inversión]],1,4)</f>
        <v>8126</v>
      </c>
      <c r="T124" s="159" t="str">
        <f>MID(PAA[[#This Row],[Meta Proyecto de Inversión]],6,1)</f>
        <v>9</v>
      </c>
      <c r="U124" s="160" t="str">
        <f>IFERROR(VLOOKUP(N124,TD!$B$50:$F$54,2,0)," ")</f>
        <v>O230117</v>
      </c>
      <c r="V124" s="160" t="str">
        <f>IFERROR(VLOOKUP(N124,TD!$B$50:$F$54,3,0)," ")</f>
        <v>4599</v>
      </c>
      <c r="W124" s="160">
        <f>IFERROR(VLOOKUP(N124,TD!$B$50:$F$54,4,0)," ")</f>
        <v>20240207</v>
      </c>
      <c r="X124" s="159" t="s">
        <v>174</v>
      </c>
      <c r="Y124" s="160" t="str">
        <f>IFERROR(VLOOKUP(X124,TD!$J$51:$K$64,2,0)," ")</f>
        <v>Infraestructura física, mantenimiento y dotación (Sedes construidas, mantenidas reforzadas)</v>
      </c>
      <c r="Z124" s="161" t="str">
        <f>CONCATENATE(X124,"-",Y124)</f>
        <v>08-Infraestructura física, mantenimiento y dotación (Sedes construidas, mantenidas reforzadas)</v>
      </c>
      <c r="AA124" s="159" t="s">
        <v>227</v>
      </c>
      <c r="AB124" s="160" t="str">
        <f>IFERROR(VLOOKUP(AA124,TD!$N$51:$O$66,2,0)," ")</f>
        <v>Sedes mantenidas</v>
      </c>
      <c r="AC124" s="161" t="str">
        <f>CONCATENATE(AA124,"_",AB124)</f>
        <v>016_Sedes mantenidas</v>
      </c>
      <c r="AD124" s="161" t="str">
        <f>CONCATENATE(Z124," ",AC124)</f>
        <v>08-Infraestructura física, mantenimiento y dotación (Sedes construidas, mantenidas reforzadas) 016_Sedes mantenidas</v>
      </c>
      <c r="AE124" s="160" t="str">
        <f>CONCATENATE(U124,V124,W124,X124,AA124)</f>
        <v>O23011745992024020708016</v>
      </c>
      <c r="AF124" s="160" t="str">
        <f>IFERROR(VLOOKUP(AD124,TD!$J$66:$K$89,2,0)," ")</f>
        <v>PM/0131/0108/45990160207</v>
      </c>
      <c r="AG124" s="118" t="s">
        <v>385</v>
      </c>
      <c r="AH124" s="159" t="s">
        <v>193</v>
      </c>
      <c r="AI124" s="162" t="str">
        <f>CONCATENATE(PAA[[#This Row],[Id Interno]],"-",PAA[[#This Row],[tipo de Contrato (TH talento humano - B/S bienes y/o servicios)]],"-",S124,"-",T124,"-",PAA[[#This Row],[Objeto de la contratación]])</f>
        <v>20260082-TH-8126-9-Prestar los servicios profesionales jurídicos especializados en la Oficina de Control Disciplinario Interno de la entidad estableciendo pautas de liderazgo en las actuaciones procesales que se deban tramitar en esa dependencia en etapa de instrucción</v>
      </c>
    </row>
    <row r="125" spans="2:35" ht="84" x14ac:dyDescent="0.35">
      <c r="B125" s="23">
        <v>20260083</v>
      </c>
      <c r="C125" s="99" t="s">
        <v>625</v>
      </c>
      <c r="D125" s="23" t="s">
        <v>105</v>
      </c>
      <c r="E125" s="23" t="s">
        <v>363</v>
      </c>
      <c r="F125" s="156" t="s">
        <v>144</v>
      </c>
      <c r="G125" s="157" t="s">
        <v>374</v>
      </c>
      <c r="H125" s="158">
        <v>10</v>
      </c>
      <c r="I125" s="158">
        <v>0</v>
      </c>
      <c r="J125" s="127">
        <v>80000000</v>
      </c>
      <c r="K125" s="88" t="s">
        <v>398</v>
      </c>
      <c r="L125" s="156" t="s">
        <v>46</v>
      </c>
      <c r="M125" s="159" t="s">
        <v>421</v>
      </c>
      <c r="N125" s="23" t="s">
        <v>197</v>
      </c>
      <c r="O125" s="151" t="s">
        <v>963</v>
      </c>
      <c r="P125" s="156" t="s">
        <v>348</v>
      </c>
      <c r="Q125" s="53">
        <v>80111600</v>
      </c>
      <c r="R125" s="159" t="s">
        <v>208</v>
      </c>
      <c r="S125" s="159" t="str">
        <f>MID(PAA[[#This Row],[Meta Proyecto de Inversión]],1,4)</f>
        <v>8126</v>
      </c>
      <c r="T125" s="159" t="str">
        <f>MID(PAA[[#This Row],[Meta Proyecto de Inversión]],6,1)</f>
        <v>9</v>
      </c>
      <c r="U125" s="160" t="str">
        <f>IFERROR(VLOOKUP(N125,TD!$B$50:$F$54,2,0)," ")</f>
        <v>O230117</v>
      </c>
      <c r="V125" s="160" t="str">
        <f>IFERROR(VLOOKUP(N125,TD!$B$50:$F$54,3,0)," ")</f>
        <v>4599</v>
      </c>
      <c r="W125" s="160">
        <f>IFERROR(VLOOKUP(N125,TD!$B$50:$F$54,4,0)," ")</f>
        <v>20240207</v>
      </c>
      <c r="X125" s="159" t="s">
        <v>174</v>
      </c>
      <c r="Y125" s="160" t="str">
        <f>IFERROR(VLOOKUP(X125,TD!$J$51:$K$64,2,0)," ")</f>
        <v>Infraestructura física, mantenimiento y dotación (Sedes construidas, mantenidas reforzadas)</v>
      </c>
      <c r="Z125" s="161" t="str">
        <f>CONCATENATE(X125,"-",Y125)</f>
        <v>08-Infraestructura física, mantenimiento y dotación (Sedes construidas, mantenidas reforzadas)</v>
      </c>
      <c r="AA125" s="159" t="s">
        <v>227</v>
      </c>
      <c r="AB125" s="160" t="str">
        <f>IFERROR(VLOOKUP(AA125,TD!$N$51:$O$66,2,0)," ")</f>
        <v>Sedes mantenidas</v>
      </c>
      <c r="AC125" s="161" t="str">
        <f>CONCATENATE(AA125,"_",AB125)</f>
        <v>016_Sedes mantenidas</v>
      </c>
      <c r="AD125" s="161" t="str">
        <f>CONCATENATE(Z125," ",AC125)</f>
        <v>08-Infraestructura física, mantenimiento y dotación (Sedes construidas, mantenidas reforzadas) 016_Sedes mantenidas</v>
      </c>
      <c r="AE125" s="160" t="str">
        <f>CONCATENATE(U125,V125,W125,X125,AA125)</f>
        <v>O23011745992024020708016</v>
      </c>
      <c r="AF125" s="160" t="str">
        <f>IFERROR(VLOOKUP(AD125,TD!$J$66:$K$89,2,0)," ")</f>
        <v>PM/0131/0108/45990160207</v>
      </c>
      <c r="AG125" s="118" t="s">
        <v>385</v>
      </c>
      <c r="AH125" s="159" t="s">
        <v>193</v>
      </c>
      <c r="AI125" s="162" t="str">
        <f>CONCATENATE(PAA[[#This Row],[Id Interno]],"-",PAA[[#This Row],[tipo de Contrato (TH talento humano - B/S bienes y/o servicios)]],"-",S125,"-",T125,"-",PAA[[#This Row],[Objeto de la contratación]])</f>
        <v>20260083-TH-8126-9-Prestar servicios profesionales jurídicos en la Oficina de Control Disciplinario Interno de la entidad para apoyar la gestión, logística y operación de los procesos contractuales y administrativos a cargo de esta dependencia.</v>
      </c>
    </row>
    <row r="126" spans="2:35" ht="70" x14ac:dyDescent="0.35">
      <c r="B126" s="23">
        <v>20260084</v>
      </c>
      <c r="C126" s="99" t="s">
        <v>423</v>
      </c>
      <c r="D126" s="23" t="s">
        <v>105</v>
      </c>
      <c r="E126" s="23" t="s">
        <v>363</v>
      </c>
      <c r="F126" s="156" t="s">
        <v>144</v>
      </c>
      <c r="G126" s="157" t="s">
        <v>374</v>
      </c>
      <c r="H126" s="158">
        <v>10</v>
      </c>
      <c r="I126" s="158">
        <v>0</v>
      </c>
      <c r="J126" s="127">
        <v>70000000</v>
      </c>
      <c r="K126" s="88" t="s">
        <v>398</v>
      </c>
      <c r="L126" s="156" t="s">
        <v>46</v>
      </c>
      <c r="M126" s="159" t="s">
        <v>421</v>
      </c>
      <c r="N126" s="23" t="s">
        <v>197</v>
      </c>
      <c r="O126" s="151" t="s">
        <v>963</v>
      </c>
      <c r="P126" s="156" t="s">
        <v>348</v>
      </c>
      <c r="Q126" s="53">
        <v>80111600</v>
      </c>
      <c r="R126" s="159" t="s">
        <v>208</v>
      </c>
      <c r="S126" s="159" t="str">
        <f>MID(PAA[[#This Row],[Meta Proyecto de Inversión]],1,4)</f>
        <v>8126</v>
      </c>
      <c r="T126" s="159" t="str">
        <f>MID(PAA[[#This Row],[Meta Proyecto de Inversión]],6,1)</f>
        <v>9</v>
      </c>
      <c r="U126" s="160" t="str">
        <f>IFERROR(VLOOKUP(N126,TD!$B$50:$F$54,2,0)," ")</f>
        <v>O230117</v>
      </c>
      <c r="V126" s="160" t="str">
        <f>IFERROR(VLOOKUP(N126,TD!$B$50:$F$54,3,0)," ")</f>
        <v>4599</v>
      </c>
      <c r="W126" s="160">
        <f>IFERROR(VLOOKUP(N126,TD!$B$50:$F$54,4,0)," ")</f>
        <v>20240207</v>
      </c>
      <c r="X126" s="159" t="s">
        <v>174</v>
      </c>
      <c r="Y126" s="160" t="str">
        <f>IFERROR(VLOOKUP(X126,TD!$J$51:$K$64,2,0)," ")</f>
        <v>Infraestructura física, mantenimiento y dotación (Sedes construidas, mantenidas reforzadas)</v>
      </c>
      <c r="Z126" s="161" t="str">
        <f>CONCATENATE(X126,"-",Y126)</f>
        <v>08-Infraestructura física, mantenimiento y dotación (Sedes construidas, mantenidas reforzadas)</v>
      </c>
      <c r="AA126" s="159" t="s">
        <v>227</v>
      </c>
      <c r="AB126" s="160" t="str">
        <f>IFERROR(VLOOKUP(AA126,TD!$N$51:$O$66,2,0)," ")</f>
        <v>Sedes mantenidas</v>
      </c>
      <c r="AC126" s="161" t="str">
        <f>CONCATENATE(AA126,"_",AB126)</f>
        <v>016_Sedes mantenidas</v>
      </c>
      <c r="AD126" s="161" t="str">
        <f>CONCATENATE(Z126," ",AC126)</f>
        <v>08-Infraestructura física, mantenimiento y dotación (Sedes construidas, mantenidas reforzadas) 016_Sedes mantenidas</v>
      </c>
      <c r="AE126" s="160" t="str">
        <f>CONCATENATE(U126,V126,W126,X126,AA126)</f>
        <v>O23011745992024020708016</v>
      </c>
      <c r="AF126" s="160" t="str">
        <f>IFERROR(VLOOKUP(AD126,TD!$J$66:$K$89,2,0)," ")</f>
        <v>PM/0131/0108/45990160207</v>
      </c>
      <c r="AG126" s="118" t="s">
        <v>385</v>
      </c>
      <c r="AH126" s="159" t="s">
        <v>193</v>
      </c>
      <c r="AI126" s="162" t="str">
        <f>CONCATENATE(PAA[[#This Row],[Id Interno]],"-",PAA[[#This Row],[tipo de Contrato (TH talento humano - B/S bienes y/o servicios)]],"-",S126,"-",T126,"-",PAA[[#This Row],[Objeto de la contratación]])</f>
        <v>20260084-TH-8126-9-Prestar servicios profesionales jurídicos para apoyar la instrucción y demás actuaciones que deban surtirse en los procesos disciplinarios adelantados por la Oficina de Control Disciplinario Interno.</v>
      </c>
    </row>
    <row r="127" spans="2:35" ht="70" x14ac:dyDescent="0.35">
      <c r="B127" s="23">
        <v>20260085</v>
      </c>
      <c r="C127" s="99" t="s">
        <v>423</v>
      </c>
      <c r="D127" s="23" t="s">
        <v>105</v>
      </c>
      <c r="E127" s="23" t="s">
        <v>363</v>
      </c>
      <c r="F127" s="156" t="s">
        <v>144</v>
      </c>
      <c r="G127" s="157" t="s">
        <v>374</v>
      </c>
      <c r="H127" s="158">
        <v>10</v>
      </c>
      <c r="I127" s="158">
        <v>0</v>
      </c>
      <c r="J127" s="127">
        <v>70000000</v>
      </c>
      <c r="K127" s="88" t="s">
        <v>398</v>
      </c>
      <c r="L127" s="156" t="s">
        <v>46</v>
      </c>
      <c r="M127" s="159" t="s">
        <v>421</v>
      </c>
      <c r="N127" s="23" t="s">
        <v>197</v>
      </c>
      <c r="O127" s="151" t="s">
        <v>963</v>
      </c>
      <c r="P127" s="156" t="s">
        <v>348</v>
      </c>
      <c r="Q127" s="53">
        <v>80111600</v>
      </c>
      <c r="R127" s="159" t="s">
        <v>208</v>
      </c>
      <c r="S127" s="159" t="str">
        <f>MID(PAA[[#This Row],[Meta Proyecto de Inversión]],1,4)</f>
        <v>8126</v>
      </c>
      <c r="T127" s="159" t="str">
        <f>MID(PAA[[#This Row],[Meta Proyecto de Inversión]],6,1)</f>
        <v>9</v>
      </c>
      <c r="U127" s="160" t="str">
        <f>IFERROR(VLOOKUP(N127,TD!$B$50:$F$54,2,0)," ")</f>
        <v>O230117</v>
      </c>
      <c r="V127" s="160" t="str">
        <f>IFERROR(VLOOKUP(N127,TD!$B$50:$F$54,3,0)," ")</f>
        <v>4599</v>
      </c>
      <c r="W127" s="160">
        <f>IFERROR(VLOOKUP(N127,TD!$B$50:$F$54,4,0)," ")</f>
        <v>20240207</v>
      </c>
      <c r="X127" s="159" t="s">
        <v>174</v>
      </c>
      <c r="Y127" s="160" t="str">
        <f>IFERROR(VLOOKUP(X127,TD!$J$51:$K$64,2,0)," ")</f>
        <v>Infraestructura física, mantenimiento y dotación (Sedes construidas, mantenidas reforzadas)</v>
      </c>
      <c r="Z127" s="161" t="str">
        <f>CONCATENATE(X127,"-",Y127)</f>
        <v>08-Infraestructura física, mantenimiento y dotación (Sedes construidas, mantenidas reforzadas)</v>
      </c>
      <c r="AA127" s="159" t="s">
        <v>227</v>
      </c>
      <c r="AB127" s="160" t="str">
        <f>IFERROR(VLOOKUP(AA127,TD!$N$51:$O$66,2,0)," ")</f>
        <v>Sedes mantenidas</v>
      </c>
      <c r="AC127" s="161" t="str">
        <f>CONCATENATE(AA127,"_",AB127)</f>
        <v>016_Sedes mantenidas</v>
      </c>
      <c r="AD127" s="161" t="str">
        <f>CONCATENATE(Z127," ",AC127)</f>
        <v>08-Infraestructura física, mantenimiento y dotación (Sedes construidas, mantenidas reforzadas) 016_Sedes mantenidas</v>
      </c>
      <c r="AE127" s="160" t="str">
        <f>CONCATENATE(U127,V127,W127,X127,AA127)</f>
        <v>O23011745992024020708016</v>
      </c>
      <c r="AF127" s="160" t="str">
        <f>IFERROR(VLOOKUP(AD127,TD!$J$66:$K$89,2,0)," ")</f>
        <v>PM/0131/0108/45990160207</v>
      </c>
      <c r="AG127" s="118" t="s">
        <v>385</v>
      </c>
      <c r="AH127" s="159" t="s">
        <v>193</v>
      </c>
      <c r="AI127" s="162" t="str">
        <f>CONCATENATE(PAA[[#This Row],[Id Interno]],"-",PAA[[#This Row],[tipo de Contrato (TH talento humano - B/S bienes y/o servicios)]],"-",S127,"-",T127,"-",PAA[[#This Row],[Objeto de la contratación]])</f>
        <v>20260085-TH-8126-9-Prestar servicios profesionales jurídicos para apoyar la instrucción y demás actuaciones que deban surtirse en los procesos disciplinarios adelantados por la Oficina de Control Disciplinario Interno.</v>
      </c>
    </row>
    <row r="128" spans="2:35" ht="56" x14ac:dyDescent="0.35">
      <c r="B128" s="23">
        <v>20260086</v>
      </c>
      <c r="C128" s="99" t="s">
        <v>423</v>
      </c>
      <c r="D128" s="23" t="s">
        <v>105</v>
      </c>
      <c r="E128" s="23" t="s">
        <v>363</v>
      </c>
      <c r="F128" s="156" t="s">
        <v>144</v>
      </c>
      <c r="G128" s="157" t="s">
        <v>374</v>
      </c>
      <c r="H128" s="158">
        <v>10</v>
      </c>
      <c r="I128" s="158">
        <v>0</v>
      </c>
      <c r="J128" s="127">
        <v>70000000</v>
      </c>
      <c r="K128" s="88" t="s">
        <v>398</v>
      </c>
      <c r="L128" s="156" t="s">
        <v>46</v>
      </c>
      <c r="M128" s="159" t="s">
        <v>421</v>
      </c>
      <c r="N128" s="23" t="s">
        <v>197</v>
      </c>
      <c r="O128" s="151" t="s">
        <v>963</v>
      </c>
      <c r="P128" s="156" t="s">
        <v>348</v>
      </c>
      <c r="Q128" s="53">
        <v>80111600</v>
      </c>
      <c r="R128" s="159" t="s">
        <v>208</v>
      </c>
      <c r="S128" s="159" t="str">
        <f>MID(PAA[[#This Row],[Meta Proyecto de Inversión]],1,4)</f>
        <v>8126</v>
      </c>
      <c r="T128" s="159" t="str">
        <f>MID(PAA[[#This Row],[Meta Proyecto de Inversión]],6,1)</f>
        <v>9</v>
      </c>
      <c r="U128" s="160" t="str">
        <f>IFERROR(VLOOKUP(N128,TD!$B$50:$F$54,2,0)," ")</f>
        <v>O230117</v>
      </c>
      <c r="V128" s="160" t="str">
        <f>IFERROR(VLOOKUP(N128,TD!$B$50:$F$54,3,0)," ")</f>
        <v>4599</v>
      </c>
      <c r="W128" s="160">
        <f>IFERROR(VLOOKUP(N128,TD!$B$50:$F$54,4,0)," ")</f>
        <v>20240207</v>
      </c>
      <c r="X128" s="159" t="s">
        <v>174</v>
      </c>
      <c r="Y128" s="160" t="str">
        <f>IFERROR(VLOOKUP(X128,TD!$J$51:$K$64,2,0)," ")</f>
        <v>Infraestructura física, mantenimiento y dotación (Sedes construidas, mantenidas reforzadas)</v>
      </c>
      <c r="Z128" s="161" t="str">
        <f>CONCATENATE(X128,"-",Y128)</f>
        <v>08-Infraestructura física, mantenimiento y dotación (Sedes construidas, mantenidas reforzadas)</v>
      </c>
      <c r="AA128" s="159" t="s">
        <v>227</v>
      </c>
      <c r="AB128" s="160" t="str">
        <f>IFERROR(VLOOKUP(AA128,TD!$N$51:$O$66,2,0)," ")</f>
        <v>Sedes mantenidas</v>
      </c>
      <c r="AC128" s="161" t="str">
        <f>CONCATENATE(AA128,"_",AB128)</f>
        <v>016_Sedes mantenidas</v>
      </c>
      <c r="AD128" s="161" t="str">
        <f>CONCATENATE(Z128," ",AC128)</f>
        <v>08-Infraestructura física, mantenimiento y dotación (Sedes construidas, mantenidas reforzadas) 016_Sedes mantenidas</v>
      </c>
      <c r="AE128" s="160" t="str">
        <f>CONCATENATE(U128,V128,W128,X128,AA128)</f>
        <v>O23011745992024020708016</v>
      </c>
      <c r="AF128" s="160" t="str">
        <f>IFERROR(VLOOKUP(AD128,TD!$J$66:$K$89,2,0)," ")</f>
        <v>PM/0131/0108/45990160207</v>
      </c>
      <c r="AG128" s="118" t="s">
        <v>385</v>
      </c>
      <c r="AH128" s="159" t="s">
        <v>193</v>
      </c>
      <c r="AI128" s="162" t="str">
        <f>CONCATENATE(PAA[[#This Row],[Id Interno]],"-",PAA[[#This Row],[tipo de Contrato (TH talento humano - B/S bienes y/o servicios)]],"-",S128,"-",T128,"-",PAA[[#This Row],[Objeto de la contratación]])</f>
        <v>20260086-TH-8126-9-Prestar servicios profesionales jurídicos para apoyar la instrucción y demás actuaciones que deban surtirse en los procesos disciplinarios adelantados por la Oficina de Control Disciplinario Interno.</v>
      </c>
    </row>
    <row r="129" spans="2:35" ht="56" x14ac:dyDescent="0.35">
      <c r="B129" s="23">
        <v>20260087</v>
      </c>
      <c r="C129" s="99" t="s">
        <v>423</v>
      </c>
      <c r="D129" s="23" t="s">
        <v>105</v>
      </c>
      <c r="E129" s="23" t="s">
        <v>363</v>
      </c>
      <c r="F129" s="156" t="s">
        <v>144</v>
      </c>
      <c r="G129" s="157" t="s">
        <v>374</v>
      </c>
      <c r="H129" s="158">
        <v>10</v>
      </c>
      <c r="I129" s="158">
        <v>0</v>
      </c>
      <c r="J129" s="127">
        <v>70000000</v>
      </c>
      <c r="K129" s="88" t="s">
        <v>398</v>
      </c>
      <c r="L129" s="156" t="s">
        <v>46</v>
      </c>
      <c r="M129" s="159" t="s">
        <v>421</v>
      </c>
      <c r="N129" s="23" t="s">
        <v>197</v>
      </c>
      <c r="O129" s="151" t="s">
        <v>963</v>
      </c>
      <c r="P129" s="156" t="s">
        <v>348</v>
      </c>
      <c r="Q129" s="53">
        <v>80111600</v>
      </c>
      <c r="R129" s="159" t="s">
        <v>208</v>
      </c>
      <c r="S129" s="159" t="str">
        <f>MID(PAA[[#This Row],[Meta Proyecto de Inversión]],1,4)</f>
        <v>8126</v>
      </c>
      <c r="T129" s="159" t="str">
        <f>MID(PAA[[#This Row],[Meta Proyecto de Inversión]],6,1)</f>
        <v>9</v>
      </c>
      <c r="U129" s="160" t="str">
        <f>IFERROR(VLOOKUP(N129,TD!$B$50:$F$54,2,0)," ")</f>
        <v>O230117</v>
      </c>
      <c r="V129" s="160" t="str">
        <f>IFERROR(VLOOKUP(N129,TD!$B$50:$F$54,3,0)," ")</f>
        <v>4599</v>
      </c>
      <c r="W129" s="160">
        <f>IFERROR(VLOOKUP(N129,TD!$B$50:$F$54,4,0)," ")</f>
        <v>20240207</v>
      </c>
      <c r="X129" s="159" t="s">
        <v>174</v>
      </c>
      <c r="Y129" s="160" t="str">
        <f>IFERROR(VLOOKUP(X129,TD!$J$51:$K$64,2,0)," ")</f>
        <v>Infraestructura física, mantenimiento y dotación (Sedes construidas, mantenidas reforzadas)</v>
      </c>
      <c r="Z129" s="161" t="str">
        <f>CONCATENATE(X129,"-",Y129)</f>
        <v>08-Infraestructura física, mantenimiento y dotación (Sedes construidas, mantenidas reforzadas)</v>
      </c>
      <c r="AA129" s="159" t="s">
        <v>227</v>
      </c>
      <c r="AB129" s="160" t="str">
        <f>IFERROR(VLOOKUP(AA129,TD!$N$51:$O$66,2,0)," ")</f>
        <v>Sedes mantenidas</v>
      </c>
      <c r="AC129" s="161" t="str">
        <f>CONCATENATE(AA129,"_",AB129)</f>
        <v>016_Sedes mantenidas</v>
      </c>
      <c r="AD129" s="161" t="str">
        <f>CONCATENATE(Z129," ",AC129)</f>
        <v>08-Infraestructura física, mantenimiento y dotación (Sedes construidas, mantenidas reforzadas) 016_Sedes mantenidas</v>
      </c>
      <c r="AE129" s="160" t="str">
        <f>CONCATENATE(U129,V129,W129,X129,AA129)</f>
        <v>O23011745992024020708016</v>
      </c>
      <c r="AF129" s="160" t="str">
        <f>IFERROR(VLOOKUP(AD129,TD!$J$66:$K$89,2,0)," ")</f>
        <v>PM/0131/0108/45990160207</v>
      </c>
      <c r="AG129" s="118" t="s">
        <v>385</v>
      </c>
      <c r="AH129" s="159" t="s">
        <v>193</v>
      </c>
      <c r="AI129" s="162" t="str">
        <f>CONCATENATE(PAA[[#This Row],[Id Interno]],"-",PAA[[#This Row],[tipo de Contrato (TH talento humano - B/S bienes y/o servicios)]],"-",S129,"-",T129,"-",PAA[[#This Row],[Objeto de la contratación]])</f>
        <v>20260087-TH-8126-9-Prestar servicios profesionales jurídicos para apoyar la instrucción y demás actuaciones que deban surtirse en los procesos disciplinarios adelantados por la Oficina de Control Disciplinario Interno.</v>
      </c>
    </row>
    <row r="130" spans="2:35" ht="56" x14ac:dyDescent="0.35">
      <c r="B130" s="23">
        <v>20260088</v>
      </c>
      <c r="C130" s="99" t="s">
        <v>423</v>
      </c>
      <c r="D130" s="23" t="s">
        <v>105</v>
      </c>
      <c r="E130" s="23" t="s">
        <v>363</v>
      </c>
      <c r="F130" s="156" t="s">
        <v>144</v>
      </c>
      <c r="G130" s="157" t="s">
        <v>374</v>
      </c>
      <c r="H130" s="158">
        <v>10</v>
      </c>
      <c r="I130" s="158">
        <v>0</v>
      </c>
      <c r="J130" s="127">
        <v>70000000</v>
      </c>
      <c r="K130" s="88" t="s">
        <v>398</v>
      </c>
      <c r="L130" s="156" t="s">
        <v>46</v>
      </c>
      <c r="M130" s="159" t="s">
        <v>421</v>
      </c>
      <c r="N130" s="23" t="s">
        <v>197</v>
      </c>
      <c r="O130" s="151" t="s">
        <v>963</v>
      </c>
      <c r="P130" s="156" t="s">
        <v>348</v>
      </c>
      <c r="Q130" s="53">
        <v>80111600</v>
      </c>
      <c r="R130" s="159" t="s">
        <v>208</v>
      </c>
      <c r="S130" s="159" t="str">
        <f>MID(PAA[[#This Row],[Meta Proyecto de Inversión]],1,4)</f>
        <v>8126</v>
      </c>
      <c r="T130" s="159" t="str">
        <f>MID(PAA[[#This Row],[Meta Proyecto de Inversión]],6,1)</f>
        <v>9</v>
      </c>
      <c r="U130" s="160" t="str">
        <f>IFERROR(VLOOKUP(N130,TD!$B$50:$F$54,2,0)," ")</f>
        <v>O230117</v>
      </c>
      <c r="V130" s="160" t="str">
        <f>IFERROR(VLOOKUP(N130,TD!$B$50:$F$54,3,0)," ")</f>
        <v>4599</v>
      </c>
      <c r="W130" s="160">
        <f>IFERROR(VLOOKUP(N130,TD!$B$50:$F$54,4,0)," ")</f>
        <v>20240207</v>
      </c>
      <c r="X130" s="159" t="s">
        <v>174</v>
      </c>
      <c r="Y130" s="160" t="str">
        <f>IFERROR(VLOOKUP(X130,TD!$J$51:$K$64,2,0)," ")</f>
        <v>Infraestructura física, mantenimiento y dotación (Sedes construidas, mantenidas reforzadas)</v>
      </c>
      <c r="Z130" s="161" t="str">
        <f>CONCATENATE(X130,"-",Y130)</f>
        <v>08-Infraestructura física, mantenimiento y dotación (Sedes construidas, mantenidas reforzadas)</v>
      </c>
      <c r="AA130" s="159" t="s">
        <v>227</v>
      </c>
      <c r="AB130" s="160" t="str">
        <f>IFERROR(VLOOKUP(AA130,TD!$N$51:$O$66,2,0)," ")</f>
        <v>Sedes mantenidas</v>
      </c>
      <c r="AC130" s="161" t="str">
        <f>CONCATENATE(AA130,"_",AB130)</f>
        <v>016_Sedes mantenidas</v>
      </c>
      <c r="AD130" s="161" t="str">
        <f>CONCATENATE(Z130," ",AC130)</f>
        <v>08-Infraestructura física, mantenimiento y dotación (Sedes construidas, mantenidas reforzadas) 016_Sedes mantenidas</v>
      </c>
      <c r="AE130" s="160" t="str">
        <f>CONCATENATE(U130,V130,W130,X130,AA130)</f>
        <v>O23011745992024020708016</v>
      </c>
      <c r="AF130" s="160" t="str">
        <f>IFERROR(VLOOKUP(AD130,TD!$J$66:$K$89,2,0)," ")</f>
        <v>PM/0131/0108/45990160207</v>
      </c>
      <c r="AG130" s="118" t="s">
        <v>385</v>
      </c>
      <c r="AH130" s="159" t="s">
        <v>193</v>
      </c>
      <c r="AI130" s="162" t="str">
        <f>CONCATENATE(PAA[[#This Row],[Id Interno]],"-",PAA[[#This Row],[tipo de Contrato (TH talento humano - B/S bienes y/o servicios)]],"-",S130,"-",T130,"-",PAA[[#This Row],[Objeto de la contratación]])</f>
        <v>20260088-TH-8126-9-Prestar servicios profesionales jurídicos para apoyar la instrucción y demás actuaciones que deban surtirse en los procesos disciplinarios adelantados por la Oficina de Control Disciplinario Interno.</v>
      </c>
    </row>
    <row r="131" spans="2:35" ht="56" x14ac:dyDescent="0.35">
      <c r="B131" s="23">
        <v>20260089</v>
      </c>
      <c r="C131" s="99" t="s">
        <v>424</v>
      </c>
      <c r="D131" s="23" t="s">
        <v>105</v>
      </c>
      <c r="E131" s="23" t="s">
        <v>363</v>
      </c>
      <c r="F131" s="156" t="s">
        <v>144</v>
      </c>
      <c r="G131" s="157" t="s">
        <v>374</v>
      </c>
      <c r="H131" s="158">
        <v>10</v>
      </c>
      <c r="I131" s="158">
        <v>0</v>
      </c>
      <c r="J131" s="127">
        <v>55000000</v>
      </c>
      <c r="K131" s="88" t="s">
        <v>398</v>
      </c>
      <c r="L131" s="156" t="s">
        <v>46</v>
      </c>
      <c r="M131" s="159" t="s">
        <v>421</v>
      </c>
      <c r="N131" s="23" t="s">
        <v>197</v>
      </c>
      <c r="O131" s="151" t="s">
        <v>963</v>
      </c>
      <c r="P131" s="156" t="s">
        <v>348</v>
      </c>
      <c r="Q131" s="53">
        <v>80111600</v>
      </c>
      <c r="R131" s="159" t="s">
        <v>208</v>
      </c>
      <c r="S131" s="159" t="str">
        <f>MID(PAA[[#This Row],[Meta Proyecto de Inversión]],1,4)</f>
        <v>8126</v>
      </c>
      <c r="T131" s="159" t="str">
        <f>MID(PAA[[#This Row],[Meta Proyecto de Inversión]],6,1)</f>
        <v>9</v>
      </c>
      <c r="U131" s="160" t="str">
        <f>IFERROR(VLOOKUP(N131,TD!$B$50:$F$54,2,0)," ")</f>
        <v>O230117</v>
      </c>
      <c r="V131" s="160" t="str">
        <f>IFERROR(VLOOKUP(N131,TD!$B$50:$F$54,3,0)," ")</f>
        <v>4599</v>
      </c>
      <c r="W131" s="160">
        <f>IFERROR(VLOOKUP(N131,TD!$B$50:$F$54,4,0)," ")</f>
        <v>20240207</v>
      </c>
      <c r="X131" s="159" t="s">
        <v>174</v>
      </c>
      <c r="Y131" s="160" t="str">
        <f>IFERROR(VLOOKUP(X131,TD!$J$51:$K$64,2,0)," ")</f>
        <v>Infraestructura física, mantenimiento y dotación (Sedes construidas, mantenidas reforzadas)</v>
      </c>
      <c r="Z131" s="161" t="str">
        <f>CONCATENATE(X131,"-",Y131)</f>
        <v>08-Infraestructura física, mantenimiento y dotación (Sedes construidas, mantenidas reforzadas)</v>
      </c>
      <c r="AA131" s="159" t="s">
        <v>227</v>
      </c>
      <c r="AB131" s="160" t="str">
        <f>IFERROR(VLOOKUP(AA131,TD!$N$51:$O$66,2,0)," ")</f>
        <v>Sedes mantenidas</v>
      </c>
      <c r="AC131" s="161" t="str">
        <f>CONCATENATE(AA131,"_",AB131)</f>
        <v>016_Sedes mantenidas</v>
      </c>
      <c r="AD131" s="161" t="str">
        <f>CONCATENATE(Z131," ",AC131)</f>
        <v>08-Infraestructura física, mantenimiento y dotación (Sedes construidas, mantenidas reforzadas) 016_Sedes mantenidas</v>
      </c>
      <c r="AE131" s="160" t="str">
        <f>CONCATENATE(U131,V131,W131,X131,AA131)</f>
        <v>O23011745992024020708016</v>
      </c>
      <c r="AF131" s="160" t="str">
        <f>IFERROR(VLOOKUP(AD131,TD!$J$66:$K$89,2,0)," ")</f>
        <v>PM/0131/0108/45990160207</v>
      </c>
      <c r="AG131" s="118" t="s">
        <v>385</v>
      </c>
      <c r="AH131" s="159" t="s">
        <v>193</v>
      </c>
      <c r="AI131" s="162" t="str">
        <f>CONCATENATE(PAA[[#This Row],[Id Interno]],"-",PAA[[#This Row],[tipo de Contrato (TH talento humano - B/S bienes y/o servicios)]],"-",S131,"-",T131,"-",PAA[[#This Row],[Objeto de la contratación]])</f>
        <v xml:space="preserve">20260089-TH-8126-9-Prestar servicios profesionales para ejercer las labores de secretaría común y actividades jurídicas que requieren las actuaciones disciplinarias en etapa de instrucción adelantadas por la Oficina de Control Disciplinario Interno.	</v>
      </c>
    </row>
    <row r="132" spans="2:35" ht="56" x14ac:dyDescent="0.35">
      <c r="B132" s="23">
        <v>20260090</v>
      </c>
      <c r="C132" s="99" t="s">
        <v>626</v>
      </c>
      <c r="D132" s="23" t="s">
        <v>105</v>
      </c>
      <c r="E132" s="23" t="s">
        <v>363</v>
      </c>
      <c r="F132" s="156" t="s">
        <v>145</v>
      </c>
      <c r="G132" s="157" t="s">
        <v>374</v>
      </c>
      <c r="H132" s="158">
        <v>10</v>
      </c>
      <c r="I132" s="158">
        <v>0</v>
      </c>
      <c r="J132" s="127">
        <v>36000000</v>
      </c>
      <c r="K132" s="88" t="s">
        <v>398</v>
      </c>
      <c r="L132" s="156" t="s">
        <v>46</v>
      </c>
      <c r="M132" s="159" t="s">
        <v>421</v>
      </c>
      <c r="N132" s="23" t="s">
        <v>197</v>
      </c>
      <c r="O132" s="151" t="s">
        <v>963</v>
      </c>
      <c r="P132" s="156" t="s">
        <v>348</v>
      </c>
      <c r="Q132" s="53">
        <v>80111600</v>
      </c>
      <c r="R132" s="159" t="s">
        <v>208</v>
      </c>
      <c r="S132" s="159" t="str">
        <f>MID(PAA[[#This Row],[Meta Proyecto de Inversión]],1,4)</f>
        <v>8126</v>
      </c>
      <c r="T132" s="159" t="str">
        <f>MID(PAA[[#This Row],[Meta Proyecto de Inversión]],6,1)</f>
        <v>9</v>
      </c>
      <c r="U132" s="160" t="str">
        <f>IFERROR(VLOOKUP(N132,TD!$B$50:$F$54,2,0)," ")</f>
        <v>O230117</v>
      </c>
      <c r="V132" s="160" t="str">
        <f>IFERROR(VLOOKUP(N132,TD!$B$50:$F$54,3,0)," ")</f>
        <v>4599</v>
      </c>
      <c r="W132" s="160">
        <f>IFERROR(VLOOKUP(N132,TD!$B$50:$F$54,4,0)," ")</f>
        <v>20240207</v>
      </c>
      <c r="X132" s="159" t="s">
        <v>174</v>
      </c>
      <c r="Y132" s="160" t="str">
        <f>IFERROR(VLOOKUP(X132,TD!$J$51:$K$64,2,0)," ")</f>
        <v>Infraestructura física, mantenimiento y dotación (Sedes construidas, mantenidas reforzadas)</v>
      </c>
      <c r="Z132" s="161" t="str">
        <f>CONCATENATE(X132,"-",Y132)</f>
        <v>08-Infraestructura física, mantenimiento y dotación (Sedes construidas, mantenidas reforzadas)</v>
      </c>
      <c r="AA132" s="159" t="s">
        <v>227</v>
      </c>
      <c r="AB132" s="160" t="str">
        <f>IFERROR(VLOOKUP(AA132,TD!$N$51:$O$66,2,0)," ")</f>
        <v>Sedes mantenidas</v>
      </c>
      <c r="AC132" s="161" t="str">
        <f>CONCATENATE(AA132,"_",AB132)</f>
        <v>016_Sedes mantenidas</v>
      </c>
      <c r="AD132" s="161" t="str">
        <f>CONCATENATE(Z132," ",AC132)</f>
        <v>08-Infraestructura física, mantenimiento y dotación (Sedes construidas, mantenidas reforzadas) 016_Sedes mantenidas</v>
      </c>
      <c r="AE132" s="160" t="str">
        <f>CONCATENATE(U132,V132,W132,X132,AA132)</f>
        <v>O23011745992024020708016</v>
      </c>
      <c r="AF132" s="160" t="str">
        <f>IFERROR(VLOOKUP(AD132,TD!$J$66:$K$89,2,0)," ")</f>
        <v>PM/0131/0108/45990160207</v>
      </c>
      <c r="AG132" s="118" t="s">
        <v>385</v>
      </c>
      <c r="AH132" s="159" t="s">
        <v>193</v>
      </c>
      <c r="AI132" s="162" t="str">
        <f>CONCATENATE(PAA[[#This Row],[Id Interno]],"-",PAA[[#This Row],[tipo de Contrato (TH talento humano - B/S bienes y/o servicios)]],"-",S132,"-",T132,"-",PAA[[#This Row],[Objeto de la contratación]])</f>
        <v>20260090-TH-8126-9-Prestación de servicios de apoyo técnico a la Oficina de Control Disciplinario Interno de la UAECOB para la gestión y cumplimiento de las funciones administrativas asignadas.</v>
      </c>
    </row>
    <row r="133" spans="2:35" ht="70" x14ac:dyDescent="0.35">
      <c r="B133" s="23">
        <v>20260091</v>
      </c>
      <c r="C133" s="99" t="s">
        <v>627</v>
      </c>
      <c r="D133" s="23" t="s">
        <v>105</v>
      </c>
      <c r="E133" s="23" t="s">
        <v>363</v>
      </c>
      <c r="F133" s="156" t="s">
        <v>145</v>
      </c>
      <c r="G133" s="157" t="s">
        <v>374</v>
      </c>
      <c r="H133" s="158">
        <v>10</v>
      </c>
      <c r="I133" s="158">
        <v>0</v>
      </c>
      <c r="J133" s="127">
        <v>26000000</v>
      </c>
      <c r="K133" s="88" t="s">
        <v>398</v>
      </c>
      <c r="L133" s="156" t="s">
        <v>46</v>
      </c>
      <c r="M133" s="159" t="s">
        <v>421</v>
      </c>
      <c r="N133" s="23" t="s">
        <v>197</v>
      </c>
      <c r="O133" s="151" t="s">
        <v>963</v>
      </c>
      <c r="P133" s="156" t="s">
        <v>348</v>
      </c>
      <c r="Q133" s="53">
        <v>80111600</v>
      </c>
      <c r="R133" s="159" t="s">
        <v>208</v>
      </c>
      <c r="S133" s="159" t="str">
        <f>MID(PAA[[#This Row],[Meta Proyecto de Inversión]],1,4)</f>
        <v>8126</v>
      </c>
      <c r="T133" s="159" t="str">
        <f>MID(PAA[[#This Row],[Meta Proyecto de Inversión]],6,1)</f>
        <v>9</v>
      </c>
      <c r="U133" s="160" t="str">
        <f>IFERROR(VLOOKUP(N133,TD!$B$50:$F$54,2,0)," ")</f>
        <v>O230117</v>
      </c>
      <c r="V133" s="160" t="str">
        <f>IFERROR(VLOOKUP(N133,TD!$B$50:$F$54,3,0)," ")</f>
        <v>4599</v>
      </c>
      <c r="W133" s="160">
        <f>IFERROR(VLOOKUP(N133,TD!$B$50:$F$54,4,0)," ")</f>
        <v>20240207</v>
      </c>
      <c r="X133" s="159" t="s">
        <v>174</v>
      </c>
      <c r="Y133" s="160" t="str">
        <f>IFERROR(VLOOKUP(X133,TD!$J$51:$K$64,2,0)," ")</f>
        <v>Infraestructura física, mantenimiento y dotación (Sedes construidas, mantenidas reforzadas)</v>
      </c>
      <c r="Z133" s="161" t="str">
        <f>CONCATENATE(X133,"-",Y133)</f>
        <v>08-Infraestructura física, mantenimiento y dotación (Sedes construidas, mantenidas reforzadas)</v>
      </c>
      <c r="AA133" s="159" t="s">
        <v>227</v>
      </c>
      <c r="AB133" s="160" t="str">
        <f>IFERROR(VLOOKUP(AA133,TD!$N$51:$O$66,2,0)," ")</f>
        <v>Sedes mantenidas</v>
      </c>
      <c r="AC133" s="161" t="str">
        <f>CONCATENATE(AA133,"_",AB133)</f>
        <v>016_Sedes mantenidas</v>
      </c>
      <c r="AD133" s="161" t="str">
        <f>CONCATENATE(Z133," ",AC133)</f>
        <v>08-Infraestructura física, mantenimiento y dotación (Sedes construidas, mantenidas reforzadas) 016_Sedes mantenidas</v>
      </c>
      <c r="AE133" s="160" t="str">
        <f>CONCATENATE(U133,V133,W133,X133,AA133)</f>
        <v>O23011745992024020708016</v>
      </c>
      <c r="AF133" s="160" t="str">
        <f>IFERROR(VLOOKUP(AD133,TD!$J$66:$K$89,2,0)," ")</f>
        <v>PM/0131/0108/45990160207</v>
      </c>
      <c r="AG133" s="118" t="s">
        <v>385</v>
      </c>
      <c r="AH133" s="159" t="s">
        <v>193</v>
      </c>
      <c r="AI133" s="162" t="str">
        <f>CONCATENATE(PAA[[#This Row],[Id Interno]],"-",PAA[[#This Row],[tipo de Contrato (TH talento humano - B/S bienes y/o servicios)]],"-",S133,"-",T133,"-",PAA[[#This Row],[Objeto de la contratación]])</f>
        <v>20260091-TH-8126-9-Prestación de servicios de apoyo administrativo y de gestión documental a la Oficina de Control Disciplinario Interno de la UAECOB, en el manejo y organización de la documentación propia de los expedientes disciplinarios y las actividades de archivo que se requieran.</v>
      </c>
    </row>
    <row r="134" spans="2:35" ht="56" x14ac:dyDescent="0.35">
      <c r="B134" s="23">
        <v>20260092</v>
      </c>
      <c r="C134" s="99" t="s">
        <v>628</v>
      </c>
      <c r="D134" s="23" t="s">
        <v>105</v>
      </c>
      <c r="E134" s="23" t="s">
        <v>363</v>
      </c>
      <c r="F134" s="156" t="s">
        <v>144</v>
      </c>
      <c r="G134" s="157" t="s">
        <v>374</v>
      </c>
      <c r="H134" s="158">
        <v>10</v>
      </c>
      <c r="I134" s="158">
        <v>0</v>
      </c>
      <c r="J134" s="127">
        <v>60000000</v>
      </c>
      <c r="K134" s="88" t="s">
        <v>398</v>
      </c>
      <c r="L134" s="156" t="s">
        <v>46</v>
      </c>
      <c r="M134" s="159" t="s">
        <v>421</v>
      </c>
      <c r="N134" s="23" t="s">
        <v>197</v>
      </c>
      <c r="O134" s="151" t="s">
        <v>963</v>
      </c>
      <c r="P134" s="156" t="s">
        <v>348</v>
      </c>
      <c r="Q134" s="53">
        <v>80111600</v>
      </c>
      <c r="R134" s="159" t="s">
        <v>208</v>
      </c>
      <c r="S134" s="159" t="str">
        <f>MID(PAA[[#This Row],[Meta Proyecto de Inversión]],1,4)</f>
        <v>8126</v>
      </c>
      <c r="T134" s="159" t="str">
        <f>MID(PAA[[#This Row],[Meta Proyecto de Inversión]],6,1)</f>
        <v>9</v>
      </c>
      <c r="U134" s="160" t="str">
        <f>IFERROR(VLOOKUP(N134,TD!$B$50:$F$54,2,0)," ")</f>
        <v>O230117</v>
      </c>
      <c r="V134" s="160" t="str">
        <f>IFERROR(VLOOKUP(N134,TD!$B$50:$F$54,3,0)," ")</f>
        <v>4599</v>
      </c>
      <c r="W134" s="160">
        <f>IFERROR(VLOOKUP(N134,TD!$B$50:$F$54,4,0)," ")</f>
        <v>20240207</v>
      </c>
      <c r="X134" s="159" t="s">
        <v>174</v>
      </c>
      <c r="Y134" s="160" t="str">
        <f>IFERROR(VLOOKUP(X134,TD!$J$51:$K$64,2,0)," ")</f>
        <v>Infraestructura física, mantenimiento y dotación (Sedes construidas, mantenidas reforzadas)</v>
      </c>
      <c r="Z134" s="161" t="str">
        <f>CONCATENATE(X134,"-",Y134)</f>
        <v>08-Infraestructura física, mantenimiento y dotación (Sedes construidas, mantenidas reforzadas)</v>
      </c>
      <c r="AA134" s="159" t="s">
        <v>227</v>
      </c>
      <c r="AB134" s="160" t="str">
        <f>IFERROR(VLOOKUP(AA134,TD!$N$51:$O$66,2,0)," ")</f>
        <v>Sedes mantenidas</v>
      </c>
      <c r="AC134" s="161" t="str">
        <f>CONCATENATE(AA134,"_",AB134)</f>
        <v>016_Sedes mantenidas</v>
      </c>
      <c r="AD134" s="161" t="str">
        <f>CONCATENATE(Z134," ",AC134)</f>
        <v>08-Infraestructura física, mantenimiento y dotación (Sedes construidas, mantenidas reforzadas) 016_Sedes mantenidas</v>
      </c>
      <c r="AE134" s="160" t="str">
        <f>CONCATENATE(U134,V134,W134,X134,AA134)</f>
        <v>O23011745992024020708016</v>
      </c>
      <c r="AF134" s="160" t="str">
        <f>IFERROR(VLOOKUP(AD134,TD!$J$66:$K$89,2,0)," ")</f>
        <v>PM/0131/0108/45990160207</v>
      </c>
      <c r="AG134" s="118" t="s">
        <v>385</v>
      </c>
      <c r="AH134" s="159" t="s">
        <v>193</v>
      </c>
      <c r="AI134" s="162" t="str">
        <f>CONCATENATE(PAA[[#This Row],[Id Interno]],"-",PAA[[#This Row],[tipo de Contrato (TH talento humano - B/S bienes y/o servicios)]],"-",S134,"-",T134,"-",PAA[[#This Row],[Objeto de la contratación]])</f>
        <v>20260092-TH-8126-9-Prestar servicios profesionales para apoyar a la Oficina de Control Disciplinario Interno de la Unidad Administrativa Especial Cuerpo Oficial de Bomberos de Bogotá en la planeación y ejecución de estrategias de prevención de conductas constitutivas de faltas disciplinarias, que incluye la realización de capacitaciones y la asesoría en temas jurídicos.</v>
      </c>
    </row>
    <row r="135" spans="2:35" ht="56" x14ac:dyDescent="0.35">
      <c r="B135" s="23">
        <v>20260093</v>
      </c>
      <c r="C135" s="99" t="s">
        <v>425</v>
      </c>
      <c r="D135" s="23" t="s">
        <v>105</v>
      </c>
      <c r="E135" s="23" t="s">
        <v>363</v>
      </c>
      <c r="F135" s="156" t="s">
        <v>144</v>
      </c>
      <c r="G135" s="157" t="s">
        <v>373</v>
      </c>
      <c r="H135" s="158">
        <v>11</v>
      </c>
      <c r="I135" s="158">
        <v>0</v>
      </c>
      <c r="J135" s="127">
        <v>85158000</v>
      </c>
      <c r="K135" s="88" t="s">
        <v>398</v>
      </c>
      <c r="L135" s="156" t="s">
        <v>152</v>
      </c>
      <c r="M135" s="159" t="s">
        <v>976</v>
      </c>
      <c r="N135" s="23" t="s">
        <v>197</v>
      </c>
      <c r="O135" s="151" t="s">
        <v>963</v>
      </c>
      <c r="P135" s="156" t="s">
        <v>348</v>
      </c>
      <c r="Q135" s="53">
        <v>80111600</v>
      </c>
      <c r="R135" s="159" t="s">
        <v>208</v>
      </c>
      <c r="S135" s="159" t="str">
        <f>MID(PAA[[#This Row],[Meta Proyecto de Inversión]],1,4)</f>
        <v>8126</v>
      </c>
      <c r="T135" s="159" t="str">
        <f>MID(PAA[[#This Row],[Meta Proyecto de Inversión]],6,1)</f>
        <v>9</v>
      </c>
      <c r="U135" s="160" t="str">
        <f>IFERROR(VLOOKUP(N135,TD!$B$50:$F$54,2,0)," ")</f>
        <v>O230117</v>
      </c>
      <c r="V135" s="160" t="str">
        <f>IFERROR(VLOOKUP(N135,TD!$B$50:$F$54,3,0)," ")</f>
        <v>4599</v>
      </c>
      <c r="W135" s="160">
        <f>IFERROR(VLOOKUP(N135,TD!$B$50:$F$54,4,0)," ")</f>
        <v>20240207</v>
      </c>
      <c r="X135" s="159" t="s">
        <v>174</v>
      </c>
      <c r="Y135" s="160" t="str">
        <f>IFERROR(VLOOKUP(X135,TD!$J$51:$K$64,2,0)," ")</f>
        <v>Infraestructura física, mantenimiento y dotación (Sedes construidas, mantenidas reforzadas)</v>
      </c>
      <c r="Z135" s="161" t="str">
        <f>CONCATENATE(X135,"-",Y135)</f>
        <v>08-Infraestructura física, mantenimiento y dotación (Sedes construidas, mantenidas reforzadas)</v>
      </c>
      <c r="AA135" s="159" t="s">
        <v>227</v>
      </c>
      <c r="AB135" s="160" t="str">
        <f>IFERROR(VLOOKUP(AA135,TD!$N$51:$O$66,2,0)," ")</f>
        <v>Sedes mantenidas</v>
      </c>
      <c r="AC135" s="161" t="str">
        <f>CONCATENATE(AA135,"_",AB135)</f>
        <v>016_Sedes mantenidas</v>
      </c>
      <c r="AD135" s="161" t="str">
        <f>CONCATENATE(Z135," ",AC135)</f>
        <v>08-Infraestructura física, mantenimiento y dotación (Sedes construidas, mantenidas reforzadas) 016_Sedes mantenidas</v>
      </c>
      <c r="AE135" s="160" t="str">
        <f>CONCATENATE(U135,V135,W135,X135,AA135)</f>
        <v>O23011745992024020708016</v>
      </c>
      <c r="AF135" s="160" t="str">
        <f>IFERROR(VLOOKUP(AD135,TD!$J$66:$K$89,2,0)," ")</f>
        <v>PM/0131/0108/45990160207</v>
      </c>
      <c r="AG135" s="118" t="s">
        <v>385</v>
      </c>
      <c r="AH135" s="159" t="s">
        <v>193</v>
      </c>
      <c r="AI135" s="162" t="str">
        <f>CONCATENATE(PAA[[#This Row],[Id Interno]],"-",PAA[[#This Row],[tipo de Contrato (TH talento humano - B/S bienes y/o servicios)]],"-",S135,"-",T135,"-",PAA[[#This Row],[Objeto de la contratación]])</f>
        <v>20260093-TH-8126-9-Prestar los servicios profesionales como abogado en la Oficina de Control Interno para el desarrollo del Plan Anual de Auditorías.</v>
      </c>
    </row>
    <row r="136" spans="2:35" ht="56" x14ac:dyDescent="0.35">
      <c r="B136" s="23">
        <v>20260094</v>
      </c>
      <c r="C136" s="99" t="s">
        <v>426</v>
      </c>
      <c r="D136" s="23" t="s">
        <v>105</v>
      </c>
      <c r="E136" s="23" t="s">
        <v>363</v>
      </c>
      <c r="F136" s="156" t="s">
        <v>144</v>
      </c>
      <c r="G136" s="157" t="s">
        <v>373</v>
      </c>
      <c r="H136" s="158">
        <v>11</v>
      </c>
      <c r="I136" s="158">
        <v>0</v>
      </c>
      <c r="J136" s="127">
        <v>85158000</v>
      </c>
      <c r="K136" s="88" t="s">
        <v>398</v>
      </c>
      <c r="L136" s="156" t="s">
        <v>152</v>
      </c>
      <c r="M136" s="159" t="s">
        <v>976</v>
      </c>
      <c r="N136" s="23" t="s">
        <v>197</v>
      </c>
      <c r="O136" s="151" t="s">
        <v>963</v>
      </c>
      <c r="P136" s="156" t="s">
        <v>348</v>
      </c>
      <c r="Q136" s="53">
        <v>80111600</v>
      </c>
      <c r="R136" s="159" t="s">
        <v>208</v>
      </c>
      <c r="S136" s="159" t="str">
        <f>MID(PAA[[#This Row],[Meta Proyecto de Inversión]],1,4)</f>
        <v>8126</v>
      </c>
      <c r="T136" s="159" t="str">
        <f>MID(PAA[[#This Row],[Meta Proyecto de Inversión]],6,1)</f>
        <v>9</v>
      </c>
      <c r="U136" s="160" t="str">
        <f>IFERROR(VLOOKUP(N136,TD!$B$50:$F$54,2,0)," ")</f>
        <v>O230117</v>
      </c>
      <c r="V136" s="160" t="str">
        <f>IFERROR(VLOOKUP(N136,TD!$B$50:$F$54,3,0)," ")</f>
        <v>4599</v>
      </c>
      <c r="W136" s="160">
        <f>IFERROR(VLOOKUP(N136,TD!$B$50:$F$54,4,0)," ")</f>
        <v>20240207</v>
      </c>
      <c r="X136" s="159" t="s">
        <v>174</v>
      </c>
      <c r="Y136" s="160" t="str">
        <f>IFERROR(VLOOKUP(X136,TD!$J$51:$K$64,2,0)," ")</f>
        <v>Infraestructura física, mantenimiento y dotación (Sedes construidas, mantenidas reforzadas)</v>
      </c>
      <c r="Z136" s="161" t="str">
        <f>CONCATENATE(X136,"-",Y136)</f>
        <v>08-Infraestructura física, mantenimiento y dotación (Sedes construidas, mantenidas reforzadas)</v>
      </c>
      <c r="AA136" s="159" t="s">
        <v>227</v>
      </c>
      <c r="AB136" s="160" t="str">
        <f>IFERROR(VLOOKUP(AA136,TD!$N$51:$O$66,2,0)," ")</f>
        <v>Sedes mantenidas</v>
      </c>
      <c r="AC136" s="161" t="str">
        <f>CONCATENATE(AA136,"_",AB136)</f>
        <v>016_Sedes mantenidas</v>
      </c>
      <c r="AD136" s="161" t="str">
        <f>CONCATENATE(Z136," ",AC136)</f>
        <v>08-Infraestructura física, mantenimiento y dotación (Sedes construidas, mantenidas reforzadas) 016_Sedes mantenidas</v>
      </c>
      <c r="AE136" s="160" t="str">
        <f>CONCATENATE(U136,V136,W136,X136,AA136)</f>
        <v>O23011745992024020708016</v>
      </c>
      <c r="AF136" s="160" t="str">
        <f>IFERROR(VLOOKUP(AD136,TD!$J$66:$K$89,2,0)," ")</f>
        <v>PM/0131/0108/45990160207</v>
      </c>
      <c r="AG136" s="118" t="s">
        <v>385</v>
      </c>
      <c r="AH136" s="159" t="s">
        <v>193</v>
      </c>
      <c r="AI136" s="162" t="str">
        <f>CONCATENATE(PAA[[#This Row],[Id Interno]],"-",PAA[[#This Row],[tipo de Contrato (TH talento humano - B/S bienes y/o servicios)]],"-",S136,"-",T136,"-",PAA[[#This Row],[Objeto de la contratación]])</f>
        <v>20260094-TH-8126-9-Prestar los servicios profesionales como contador público en la Oficina de Control Interno para el desarrollo del Plan Anual de Auditorías.</v>
      </c>
    </row>
    <row r="137" spans="2:35" ht="56" x14ac:dyDescent="0.35">
      <c r="B137" s="23">
        <v>20260095</v>
      </c>
      <c r="C137" s="99" t="s">
        <v>427</v>
      </c>
      <c r="D137" s="23" t="s">
        <v>105</v>
      </c>
      <c r="E137" s="23" t="s">
        <v>363</v>
      </c>
      <c r="F137" s="156" t="s">
        <v>144</v>
      </c>
      <c r="G137" s="157" t="s">
        <v>373</v>
      </c>
      <c r="H137" s="158">
        <v>11</v>
      </c>
      <c r="I137" s="158">
        <v>0</v>
      </c>
      <c r="J137" s="127">
        <v>85158000</v>
      </c>
      <c r="K137" s="88" t="s">
        <v>398</v>
      </c>
      <c r="L137" s="156" t="s">
        <v>152</v>
      </c>
      <c r="M137" s="159" t="s">
        <v>976</v>
      </c>
      <c r="N137" s="23" t="s">
        <v>197</v>
      </c>
      <c r="O137" s="151" t="s">
        <v>963</v>
      </c>
      <c r="P137" s="156" t="s">
        <v>348</v>
      </c>
      <c r="Q137" s="53">
        <v>80111600</v>
      </c>
      <c r="R137" s="159" t="s">
        <v>208</v>
      </c>
      <c r="S137" s="159" t="str">
        <f>MID(PAA[[#This Row],[Meta Proyecto de Inversión]],1,4)</f>
        <v>8126</v>
      </c>
      <c r="T137" s="159" t="str">
        <f>MID(PAA[[#This Row],[Meta Proyecto de Inversión]],6,1)</f>
        <v>9</v>
      </c>
      <c r="U137" s="160" t="str">
        <f>IFERROR(VLOOKUP(N137,TD!$B$50:$F$54,2,0)," ")</f>
        <v>O230117</v>
      </c>
      <c r="V137" s="160" t="str">
        <f>IFERROR(VLOOKUP(N137,TD!$B$50:$F$54,3,0)," ")</f>
        <v>4599</v>
      </c>
      <c r="W137" s="160">
        <f>IFERROR(VLOOKUP(N137,TD!$B$50:$F$54,4,0)," ")</f>
        <v>20240207</v>
      </c>
      <c r="X137" s="159" t="s">
        <v>174</v>
      </c>
      <c r="Y137" s="160" t="str">
        <f>IFERROR(VLOOKUP(X137,TD!$J$51:$K$64,2,0)," ")</f>
        <v>Infraestructura física, mantenimiento y dotación (Sedes construidas, mantenidas reforzadas)</v>
      </c>
      <c r="Z137" s="161" t="str">
        <f>CONCATENATE(X137,"-",Y137)</f>
        <v>08-Infraestructura física, mantenimiento y dotación (Sedes construidas, mantenidas reforzadas)</v>
      </c>
      <c r="AA137" s="159" t="s">
        <v>227</v>
      </c>
      <c r="AB137" s="160" t="str">
        <f>IFERROR(VLOOKUP(AA137,TD!$N$51:$O$66,2,0)," ")</f>
        <v>Sedes mantenidas</v>
      </c>
      <c r="AC137" s="161" t="str">
        <f>CONCATENATE(AA137,"_",AB137)</f>
        <v>016_Sedes mantenidas</v>
      </c>
      <c r="AD137" s="161" t="str">
        <f>CONCATENATE(Z137," ",AC137)</f>
        <v>08-Infraestructura física, mantenimiento y dotación (Sedes construidas, mantenidas reforzadas) 016_Sedes mantenidas</v>
      </c>
      <c r="AE137" s="160" t="str">
        <f>CONCATENATE(U137,V137,W137,X137,AA137)</f>
        <v>O23011745992024020708016</v>
      </c>
      <c r="AF137" s="160" t="str">
        <f>IFERROR(VLOOKUP(AD137,TD!$J$66:$K$89,2,0)," ")</f>
        <v>PM/0131/0108/45990160207</v>
      </c>
      <c r="AG137" s="118" t="s">
        <v>385</v>
      </c>
      <c r="AH137" s="159" t="s">
        <v>193</v>
      </c>
      <c r="AI137" s="162" t="str">
        <f>CONCATENATE(PAA[[#This Row],[Id Interno]],"-",PAA[[#This Row],[tipo de Contrato (TH talento humano - B/S bienes y/o servicios)]],"-",S137,"-",T137,"-",PAA[[#This Row],[Objeto de la contratación]])</f>
        <v>20260095-TH-8126-9-Prestar los servicios profesionales en la Oficina de Control Interno para el desarrollo del Plan Anual de Auditorías.</v>
      </c>
    </row>
    <row r="138" spans="2:35" ht="56" x14ac:dyDescent="0.35">
      <c r="B138" s="23">
        <v>20260096</v>
      </c>
      <c r="C138" s="99" t="s">
        <v>427</v>
      </c>
      <c r="D138" s="23" t="s">
        <v>105</v>
      </c>
      <c r="E138" s="23" t="s">
        <v>363</v>
      </c>
      <c r="F138" s="156" t="s">
        <v>144</v>
      </c>
      <c r="G138" s="157" t="s">
        <v>373</v>
      </c>
      <c r="H138" s="158">
        <v>11</v>
      </c>
      <c r="I138" s="158">
        <v>0</v>
      </c>
      <c r="J138" s="127">
        <v>51424000</v>
      </c>
      <c r="K138" s="88" t="s">
        <v>398</v>
      </c>
      <c r="L138" s="156" t="s">
        <v>152</v>
      </c>
      <c r="M138" s="159" t="s">
        <v>976</v>
      </c>
      <c r="N138" s="23" t="s">
        <v>197</v>
      </c>
      <c r="O138" s="151" t="s">
        <v>963</v>
      </c>
      <c r="P138" s="156" t="s">
        <v>348</v>
      </c>
      <c r="Q138" s="53">
        <v>80111600</v>
      </c>
      <c r="R138" s="159" t="s">
        <v>208</v>
      </c>
      <c r="S138" s="159" t="str">
        <f>MID(PAA[[#This Row],[Meta Proyecto de Inversión]],1,4)</f>
        <v>8126</v>
      </c>
      <c r="T138" s="159" t="str">
        <f>MID(PAA[[#This Row],[Meta Proyecto de Inversión]],6,1)</f>
        <v>9</v>
      </c>
      <c r="U138" s="160" t="str">
        <f>IFERROR(VLOOKUP(N138,TD!$B$50:$F$54,2,0)," ")</f>
        <v>O230117</v>
      </c>
      <c r="V138" s="160" t="str">
        <f>IFERROR(VLOOKUP(N138,TD!$B$50:$F$54,3,0)," ")</f>
        <v>4599</v>
      </c>
      <c r="W138" s="160">
        <f>IFERROR(VLOOKUP(N138,TD!$B$50:$F$54,4,0)," ")</f>
        <v>20240207</v>
      </c>
      <c r="X138" s="159" t="s">
        <v>174</v>
      </c>
      <c r="Y138" s="160" t="str">
        <f>IFERROR(VLOOKUP(X138,TD!$J$51:$K$64,2,0)," ")</f>
        <v>Infraestructura física, mantenimiento y dotación (Sedes construidas, mantenidas reforzadas)</v>
      </c>
      <c r="Z138" s="161" t="str">
        <f>CONCATENATE(X138,"-",Y138)</f>
        <v>08-Infraestructura física, mantenimiento y dotación (Sedes construidas, mantenidas reforzadas)</v>
      </c>
      <c r="AA138" s="159" t="s">
        <v>227</v>
      </c>
      <c r="AB138" s="160" t="str">
        <f>IFERROR(VLOOKUP(AA138,TD!$N$51:$O$66,2,0)," ")</f>
        <v>Sedes mantenidas</v>
      </c>
      <c r="AC138" s="161" t="str">
        <f>CONCATENATE(AA138,"_",AB138)</f>
        <v>016_Sedes mantenidas</v>
      </c>
      <c r="AD138" s="161" t="str">
        <f>CONCATENATE(Z138," ",AC138)</f>
        <v>08-Infraestructura física, mantenimiento y dotación (Sedes construidas, mantenidas reforzadas) 016_Sedes mantenidas</v>
      </c>
      <c r="AE138" s="160" t="str">
        <f>CONCATENATE(U138,V138,W138,X138,AA138)</f>
        <v>O23011745992024020708016</v>
      </c>
      <c r="AF138" s="160" t="str">
        <f>IFERROR(VLOOKUP(AD138,TD!$J$66:$K$89,2,0)," ")</f>
        <v>PM/0131/0108/45990160207</v>
      </c>
      <c r="AG138" s="118" t="s">
        <v>385</v>
      </c>
      <c r="AH138" s="159" t="s">
        <v>193</v>
      </c>
      <c r="AI138" s="162" t="str">
        <f>CONCATENATE(PAA[[#This Row],[Id Interno]],"-",PAA[[#This Row],[tipo de Contrato (TH talento humano - B/S bienes y/o servicios)]],"-",S138,"-",T138,"-",PAA[[#This Row],[Objeto de la contratación]])</f>
        <v>20260096-TH-8126-9-Prestar los servicios profesionales en la Oficina de Control Interno para el desarrollo del Plan Anual de Auditorías.</v>
      </c>
    </row>
    <row r="139" spans="2:35" ht="98" x14ac:dyDescent="0.35">
      <c r="B139" s="23">
        <v>20260097</v>
      </c>
      <c r="C139" s="99" t="s">
        <v>428</v>
      </c>
      <c r="D139" s="23" t="s">
        <v>105</v>
      </c>
      <c r="E139" s="23" t="s">
        <v>363</v>
      </c>
      <c r="F139" s="156" t="s">
        <v>145</v>
      </c>
      <c r="G139" s="157" t="s">
        <v>373</v>
      </c>
      <c r="H139" s="158">
        <v>11</v>
      </c>
      <c r="I139" s="158">
        <v>0</v>
      </c>
      <c r="J139" s="127">
        <v>43102000</v>
      </c>
      <c r="K139" s="88" t="s">
        <v>398</v>
      </c>
      <c r="L139" s="156" t="s">
        <v>152</v>
      </c>
      <c r="M139" s="159" t="s">
        <v>976</v>
      </c>
      <c r="N139" s="23" t="s">
        <v>197</v>
      </c>
      <c r="O139" s="151" t="s">
        <v>963</v>
      </c>
      <c r="P139" s="156" t="s">
        <v>348</v>
      </c>
      <c r="Q139" s="53">
        <v>80111600</v>
      </c>
      <c r="R139" s="159" t="s">
        <v>208</v>
      </c>
      <c r="S139" s="159" t="str">
        <f>MID(PAA[[#This Row],[Meta Proyecto de Inversión]],1,4)</f>
        <v>8126</v>
      </c>
      <c r="T139" s="159" t="str">
        <f>MID(PAA[[#This Row],[Meta Proyecto de Inversión]],6,1)</f>
        <v>9</v>
      </c>
      <c r="U139" s="160" t="str">
        <f>IFERROR(VLOOKUP(N139,TD!$B$50:$F$54,2,0)," ")</f>
        <v>O230117</v>
      </c>
      <c r="V139" s="160" t="str">
        <f>IFERROR(VLOOKUP(N139,TD!$B$50:$F$54,3,0)," ")</f>
        <v>4599</v>
      </c>
      <c r="W139" s="160">
        <f>IFERROR(VLOOKUP(N139,TD!$B$50:$F$54,4,0)," ")</f>
        <v>20240207</v>
      </c>
      <c r="X139" s="159" t="s">
        <v>174</v>
      </c>
      <c r="Y139" s="160" t="str">
        <f>IFERROR(VLOOKUP(X139,TD!$J$51:$K$64,2,0)," ")</f>
        <v>Infraestructura física, mantenimiento y dotación (Sedes construidas, mantenidas reforzadas)</v>
      </c>
      <c r="Z139" s="161" t="str">
        <f>CONCATENATE(X139,"-",Y139)</f>
        <v>08-Infraestructura física, mantenimiento y dotación (Sedes construidas, mantenidas reforzadas)</v>
      </c>
      <c r="AA139" s="159" t="s">
        <v>227</v>
      </c>
      <c r="AB139" s="160" t="str">
        <f>IFERROR(VLOOKUP(AA139,TD!$N$51:$O$66,2,0)," ")</f>
        <v>Sedes mantenidas</v>
      </c>
      <c r="AC139" s="161" t="str">
        <f>CONCATENATE(AA139,"_",AB139)</f>
        <v>016_Sedes mantenidas</v>
      </c>
      <c r="AD139" s="161" t="str">
        <f>CONCATENATE(Z139," ",AC139)</f>
        <v>08-Infraestructura física, mantenimiento y dotación (Sedes construidas, mantenidas reforzadas) 016_Sedes mantenidas</v>
      </c>
      <c r="AE139" s="160" t="str">
        <f>CONCATENATE(U139,V139,W139,X139,AA139)</f>
        <v>O23011745992024020708016</v>
      </c>
      <c r="AF139" s="160" t="str">
        <f>IFERROR(VLOOKUP(AD139,TD!$J$66:$K$89,2,0)," ")</f>
        <v>PM/0131/0108/45990160207</v>
      </c>
      <c r="AG139" s="118" t="s">
        <v>385</v>
      </c>
      <c r="AH139" s="159" t="s">
        <v>193</v>
      </c>
      <c r="AI139" s="162" t="str">
        <f>CONCATENATE(PAA[[#This Row],[Id Interno]],"-",PAA[[#This Row],[tipo de Contrato (TH talento humano - B/S bienes y/o servicios)]],"-",S139,"-",T139,"-",PAA[[#This Row],[Objeto de la contratación]])</f>
        <v>20260097-TH-8126-9-Prestar servicios de apoyo a la gestión como técnico en la Oficina de Control Interno para ejecutar procesos y procedimientos administrativos y asistenciales teniendo en cuenta el Plan Anual de Auditorías.</v>
      </c>
    </row>
    <row r="140" spans="2:35" ht="98" x14ac:dyDescent="0.35">
      <c r="B140" s="23">
        <v>20260098</v>
      </c>
      <c r="C140" s="99" t="s">
        <v>403</v>
      </c>
      <c r="D140" s="23" t="s">
        <v>105</v>
      </c>
      <c r="E140" s="23" t="s">
        <v>363</v>
      </c>
      <c r="F140" s="156" t="s">
        <v>144</v>
      </c>
      <c r="G140" s="157" t="s">
        <v>374</v>
      </c>
      <c r="H140" s="158">
        <v>9</v>
      </c>
      <c r="I140" s="158">
        <v>0</v>
      </c>
      <c r="J140" s="127">
        <v>90000000</v>
      </c>
      <c r="K140" s="88" t="s">
        <v>398</v>
      </c>
      <c r="L140" s="156" t="s">
        <v>153</v>
      </c>
      <c r="M140" s="159" t="s">
        <v>420</v>
      </c>
      <c r="N140" s="23" t="s">
        <v>197</v>
      </c>
      <c r="O140" s="151" t="s">
        <v>963</v>
      </c>
      <c r="P140" s="156" t="s">
        <v>348</v>
      </c>
      <c r="Q140" s="53">
        <v>80111600</v>
      </c>
      <c r="R140" s="159" t="s">
        <v>208</v>
      </c>
      <c r="S140" s="159" t="str">
        <f>MID(PAA[[#This Row],[Meta Proyecto de Inversión]],1,4)</f>
        <v>8126</v>
      </c>
      <c r="T140" s="159" t="str">
        <f>MID(PAA[[#This Row],[Meta Proyecto de Inversión]],6,1)</f>
        <v>9</v>
      </c>
      <c r="U140" s="160" t="str">
        <f>IFERROR(VLOOKUP(N140,TD!$B$50:$F$54,2,0)," ")</f>
        <v>O230117</v>
      </c>
      <c r="V140" s="160" t="str">
        <f>IFERROR(VLOOKUP(N140,TD!$B$50:$F$54,3,0)," ")</f>
        <v>4599</v>
      </c>
      <c r="W140" s="160">
        <f>IFERROR(VLOOKUP(N140,TD!$B$50:$F$54,4,0)," ")</f>
        <v>20240207</v>
      </c>
      <c r="X140" s="159" t="s">
        <v>174</v>
      </c>
      <c r="Y140" s="160" t="str">
        <f>IFERROR(VLOOKUP(X140,TD!$J$51:$K$64,2,0)," ")</f>
        <v>Infraestructura física, mantenimiento y dotación (Sedes construidas, mantenidas reforzadas)</v>
      </c>
      <c r="Z140" s="161" t="str">
        <f>CONCATENATE(X140,"-",Y140)</f>
        <v>08-Infraestructura física, mantenimiento y dotación (Sedes construidas, mantenidas reforzadas)</v>
      </c>
      <c r="AA140" s="159" t="s">
        <v>227</v>
      </c>
      <c r="AB140" s="160" t="str">
        <f>IFERROR(VLOOKUP(AA140,TD!$N$51:$O$66,2,0)," ")</f>
        <v>Sedes mantenidas</v>
      </c>
      <c r="AC140" s="161" t="str">
        <f>CONCATENATE(AA140,"_",AB140)</f>
        <v>016_Sedes mantenidas</v>
      </c>
      <c r="AD140" s="161" t="str">
        <f>CONCATENATE(Z140," ",AC140)</f>
        <v>08-Infraestructura física, mantenimiento y dotación (Sedes construidas, mantenidas reforzadas) 016_Sedes mantenidas</v>
      </c>
      <c r="AE140" s="160" t="str">
        <f>CONCATENATE(U140,V140,W140,X140,AA140)</f>
        <v>O23011745992024020708016</v>
      </c>
      <c r="AF140" s="160" t="str">
        <f>IFERROR(VLOOKUP(AD140,TD!$J$66:$K$89,2,0)," ")</f>
        <v>PM/0131/0108/45990160207</v>
      </c>
      <c r="AG140" s="118" t="s">
        <v>385</v>
      </c>
      <c r="AH140" s="159" t="s">
        <v>193</v>
      </c>
      <c r="AI140" s="162" t="str">
        <f>CONCATENATE(PAA[[#This Row],[Id Interno]],"-",PAA[[#This Row],[tipo de Contrato (TH talento humano - B/S bienes y/o servicios)]],"-",S140,"-",T140,"-",PAA[[#This Row],[Objeto de la contratación]])</f>
        <v>20260098-TH-8126-9-Prestar los servicios profesionales jurídicos especializados para orientar y apoyar los procesos de contratación en sus diferentes etapas adelantados por la Oficina Jurídica, tendientes a garantizar las necesidades propias de la UAECOB</v>
      </c>
    </row>
    <row r="141" spans="2:35" ht="84" x14ac:dyDescent="0.35">
      <c r="B141" s="23">
        <v>20260099</v>
      </c>
      <c r="C141" s="99" t="s">
        <v>629</v>
      </c>
      <c r="D141" s="23" t="s">
        <v>105</v>
      </c>
      <c r="E141" s="23" t="s">
        <v>363</v>
      </c>
      <c r="F141" s="156" t="s">
        <v>144</v>
      </c>
      <c r="G141" s="157" t="s">
        <v>374</v>
      </c>
      <c r="H141" s="158">
        <v>8</v>
      </c>
      <c r="I141" s="158">
        <v>0</v>
      </c>
      <c r="J141" s="127">
        <v>72000000</v>
      </c>
      <c r="K141" s="88" t="s">
        <v>398</v>
      </c>
      <c r="L141" s="156" t="s">
        <v>153</v>
      </c>
      <c r="M141" s="159" t="s">
        <v>420</v>
      </c>
      <c r="N141" s="23" t="s">
        <v>197</v>
      </c>
      <c r="O141" s="151" t="s">
        <v>963</v>
      </c>
      <c r="P141" s="156" t="s">
        <v>348</v>
      </c>
      <c r="Q141" s="53">
        <v>80111600</v>
      </c>
      <c r="R141" s="159" t="s">
        <v>208</v>
      </c>
      <c r="S141" s="159" t="str">
        <f>MID(PAA[[#This Row],[Meta Proyecto de Inversión]],1,4)</f>
        <v>8126</v>
      </c>
      <c r="T141" s="159" t="str">
        <f>MID(PAA[[#This Row],[Meta Proyecto de Inversión]],6,1)</f>
        <v>9</v>
      </c>
      <c r="U141" s="160" t="str">
        <f>IFERROR(VLOOKUP(N141,TD!$B$50:$F$54,2,0)," ")</f>
        <v>O230117</v>
      </c>
      <c r="V141" s="160" t="str">
        <f>IFERROR(VLOOKUP(N141,TD!$B$50:$F$54,3,0)," ")</f>
        <v>4599</v>
      </c>
      <c r="W141" s="160">
        <f>IFERROR(VLOOKUP(N141,TD!$B$50:$F$54,4,0)," ")</f>
        <v>20240207</v>
      </c>
      <c r="X141" s="159" t="s">
        <v>174</v>
      </c>
      <c r="Y141" s="160" t="str">
        <f>IFERROR(VLOOKUP(X141,TD!$J$51:$K$64,2,0)," ")</f>
        <v>Infraestructura física, mantenimiento y dotación (Sedes construidas, mantenidas reforzadas)</v>
      </c>
      <c r="Z141" s="161" t="str">
        <f>CONCATENATE(X141,"-",Y141)</f>
        <v>08-Infraestructura física, mantenimiento y dotación (Sedes construidas, mantenidas reforzadas)</v>
      </c>
      <c r="AA141" s="159" t="s">
        <v>227</v>
      </c>
      <c r="AB141" s="160" t="str">
        <f>IFERROR(VLOOKUP(AA141,TD!$N$51:$O$66,2,0)," ")</f>
        <v>Sedes mantenidas</v>
      </c>
      <c r="AC141" s="161" t="str">
        <f>CONCATENATE(AA141,"_",AB141)</f>
        <v>016_Sedes mantenidas</v>
      </c>
      <c r="AD141" s="161" t="str">
        <f>CONCATENATE(Z141," ",AC141)</f>
        <v>08-Infraestructura física, mantenimiento y dotación (Sedes construidas, mantenidas reforzadas) 016_Sedes mantenidas</v>
      </c>
      <c r="AE141" s="160" t="str">
        <f>CONCATENATE(U141,V141,W141,X141,AA141)</f>
        <v>O23011745992024020708016</v>
      </c>
      <c r="AF141" s="160" t="str">
        <f>IFERROR(VLOOKUP(AD141,TD!$J$66:$K$89,2,0)," ")</f>
        <v>PM/0131/0108/45990160207</v>
      </c>
      <c r="AG141" s="118" t="s">
        <v>385</v>
      </c>
      <c r="AH141" s="159" t="s">
        <v>193</v>
      </c>
      <c r="AI141" s="162" t="str">
        <f>CONCATENATE(PAA[[#This Row],[Id Interno]],"-",PAA[[#This Row],[tipo de Contrato (TH talento humano - B/S bienes y/o servicios)]],"-",S141,"-",T141,"-",PAA[[#This Row],[Objeto de la contratación]])</f>
        <v>20260099-TH-8126-9-Prestar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v>
      </c>
    </row>
    <row r="142" spans="2:35" ht="98" x14ac:dyDescent="0.35">
      <c r="B142" s="23">
        <v>20260100</v>
      </c>
      <c r="C142" s="99" t="s">
        <v>630</v>
      </c>
      <c r="D142" s="23" t="s">
        <v>105</v>
      </c>
      <c r="E142" s="23" t="s">
        <v>363</v>
      </c>
      <c r="F142" s="156" t="s">
        <v>144</v>
      </c>
      <c r="G142" s="157" t="s">
        <v>374</v>
      </c>
      <c r="H142" s="158">
        <v>8</v>
      </c>
      <c r="I142" s="158">
        <v>0</v>
      </c>
      <c r="J142" s="127">
        <v>29600000</v>
      </c>
      <c r="K142" s="88" t="s">
        <v>398</v>
      </c>
      <c r="L142" s="156" t="s">
        <v>153</v>
      </c>
      <c r="M142" s="159" t="s">
        <v>420</v>
      </c>
      <c r="N142" s="23" t="s">
        <v>197</v>
      </c>
      <c r="O142" s="151" t="s">
        <v>963</v>
      </c>
      <c r="P142" s="156" t="s">
        <v>348</v>
      </c>
      <c r="Q142" s="53">
        <v>80111600</v>
      </c>
      <c r="R142" s="159" t="s">
        <v>208</v>
      </c>
      <c r="S142" s="159" t="str">
        <f>MID(PAA[[#This Row],[Meta Proyecto de Inversión]],1,4)</f>
        <v>8126</v>
      </c>
      <c r="T142" s="159" t="str">
        <f>MID(PAA[[#This Row],[Meta Proyecto de Inversión]],6,1)</f>
        <v>9</v>
      </c>
      <c r="U142" s="160" t="str">
        <f>IFERROR(VLOOKUP(N142,TD!$B$50:$F$54,2,0)," ")</f>
        <v>O230117</v>
      </c>
      <c r="V142" s="160" t="str">
        <f>IFERROR(VLOOKUP(N142,TD!$B$50:$F$54,3,0)," ")</f>
        <v>4599</v>
      </c>
      <c r="W142" s="160">
        <f>IFERROR(VLOOKUP(N142,TD!$B$50:$F$54,4,0)," ")</f>
        <v>20240207</v>
      </c>
      <c r="X142" s="159" t="s">
        <v>174</v>
      </c>
      <c r="Y142" s="160" t="str">
        <f>IFERROR(VLOOKUP(X142,TD!$J$51:$K$64,2,0)," ")</f>
        <v>Infraestructura física, mantenimiento y dotación (Sedes construidas, mantenidas reforzadas)</v>
      </c>
      <c r="Z142" s="161" t="str">
        <f>CONCATENATE(X142,"-",Y142)</f>
        <v>08-Infraestructura física, mantenimiento y dotación (Sedes construidas, mantenidas reforzadas)</v>
      </c>
      <c r="AA142" s="159" t="s">
        <v>227</v>
      </c>
      <c r="AB142" s="160" t="str">
        <f>IFERROR(VLOOKUP(AA142,TD!$N$51:$O$66,2,0)," ")</f>
        <v>Sedes mantenidas</v>
      </c>
      <c r="AC142" s="161" t="str">
        <f>CONCATENATE(AA142,"_",AB142)</f>
        <v>016_Sedes mantenidas</v>
      </c>
      <c r="AD142" s="161" t="str">
        <f>CONCATENATE(Z142," ",AC142)</f>
        <v>08-Infraestructura física, mantenimiento y dotación (Sedes construidas, mantenidas reforzadas) 016_Sedes mantenidas</v>
      </c>
      <c r="AE142" s="160" t="str">
        <f>CONCATENATE(U142,V142,W142,X142,AA142)</f>
        <v>O23011745992024020708016</v>
      </c>
      <c r="AF142" s="160" t="str">
        <f>IFERROR(VLOOKUP(AD142,TD!$J$66:$K$89,2,0)," ")</f>
        <v>PM/0131/0108/45990160207</v>
      </c>
      <c r="AG142" s="118" t="s">
        <v>385</v>
      </c>
      <c r="AH142" s="159" t="s">
        <v>193</v>
      </c>
      <c r="AI142" s="162" t="str">
        <f>CONCATENATE(PAA[[#This Row],[Id Interno]],"-",PAA[[#This Row],[tipo de Contrato (TH talento humano - B/S bienes y/o servicios)]],"-",S142,"-",T142,"-",PAA[[#This Row],[Objeto de la contratación]])</f>
        <v>20260100-TH-8126-9-Prestar el servicio de apoyo técnico y operativo a la gestión de los procesos disciplinarios en la etapa de juzgamiento, mediante la ejecución de tareas administrativas, logísticas y de soporte documental en la Oficina Jurídica</v>
      </c>
    </row>
    <row r="143" spans="2:35" ht="98" x14ac:dyDescent="0.35">
      <c r="B143" s="23">
        <v>20260101</v>
      </c>
      <c r="C143" s="99" t="s">
        <v>631</v>
      </c>
      <c r="D143" s="23" t="s">
        <v>105</v>
      </c>
      <c r="E143" s="23" t="s">
        <v>363</v>
      </c>
      <c r="F143" s="156" t="s">
        <v>144</v>
      </c>
      <c r="G143" s="157" t="s">
        <v>374</v>
      </c>
      <c r="H143" s="158">
        <v>8</v>
      </c>
      <c r="I143" s="158">
        <v>0</v>
      </c>
      <c r="J143" s="127">
        <v>52000000</v>
      </c>
      <c r="K143" s="88" t="s">
        <v>398</v>
      </c>
      <c r="L143" s="156" t="s">
        <v>153</v>
      </c>
      <c r="M143" s="159" t="s">
        <v>420</v>
      </c>
      <c r="N143" s="23" t="s">
        <v>197</v>
      </c>
      <c r="O143" s="151" t="s">
        <v>963</v>
      </c>
      <c r="P143" s="156" t="s">
        <v>348</v>
      </c>
      <c r="Q143" s="53">
        <v>80111600</v>
      </c>
      <c r="R143" s="159" t="s">
        <v>208</v>
      </c>
      <c r="S143" s="159" t="str">
        <f>MID(PAA[[#This Row],[Meta Proyecto de Inversión]],1,4)</f>
        <v>8126</v>
      </c>
      <c r="T143" s="159" t="str">
        <f>MID(PAA[[#This Row],[Meta Proyecto de Inversión]],6,1)</f>
        <v>9</v>
      </c>
      <c r="U143" s="160" t="str">
        <f>IFERROR(VLOOKUP(N143,TD!$B$50:$F$54,2,0)," ")</f>
        <v>O230117</v>
      </c>
      <c r="V143" s="160" t="str">
        <f>IFERROR(VLOOKUP(N143,TD!$B$50:$F$54,3,0)," ")</f>
        <v>4599</v>
      </c>
      <c r="W143" s="160">
        <f>IFERROR(VLOOKUP(N143,TD!$B$50:$F$54,4,0)," ")</f>
        <v>20240207</v>
      </c>
      <c r="X143" s="159" t="s">
        <v>174</v>
      </c>
      <c r="Y143" s="160" t="str">
        <f>IFERROR(VLOOKUP(X143,TD!$J$51:$K$64,2,0)," ")</f>
        <v>Infraestructura física, mantenimiento y dotación (Sedes construidas, mantenidas reforzadas)</v>
      </c>
      <c r="Z143" s="161" t="str">
        <f>CONCATENATE(X143,"-",Y143)</f>
        <v>08-Infraestructura física, mantenimiento y dotación (Sedes construidas, mantenidas reforzadas)</v>
      </c>
      <c r="AA143" s="159" t="s">
        <v>227</v>
      </c>
      <c r="AB143" s="160" t="str">
        <f>IFERROR(VLOOKUP(AA143,TD!$N$51:$O$66,2,0)," ")</f>
        <v>Sedes mantenidas</v>
      </c>
      <c r="AC143" s="161" t="str">
        <f>CONCATENATE(AA143,"_",AB143)</f>
        <v>016_Sedes mantenidas</v>
      </c>
      <c r="AD143" s="161" t="str">
        <f>CONCATENATE(Z143," ",AC143)</f>
        <v>08-Infraestructura física, mantenimiento y dotación (Sedes construidas, mantenidas reforzadas) 016_Sedes mantenidas</v>
      </c>
      <c r="AE143" s="160" t="str">
        <f>CONCATENATE(U143,V143,W143,X143,AA143)</f>
        <v>O23011745992024020708016</v>
      </c>
      <c r="AF143" s="160" t="str">
        <f>IFERROR(VLOOKUP(AD143,TD!$J$66:$K$89,2,0)," ")</f>
        <v>PM/0131/0108/45990160207</v>
      </c>
      <c r="AG143" s="118" t="s">
        <v>385</v>
      </c>
      <c r="AH143" s="159" t="s">
        <v>193</v>
      </c>
      <c r="AI143" s="162" t="str">
        <f>CONCATENATE(PAA[[#This Row],[Id Interno]],"-",PAA[[#This Row],[tipo de Contrato (TH talento humano - B/S bienes y/o servicios)]],"-",S143,"-",T143,"-",PAA[[#This Row],[Objeto de la contratación]])</f>
        <v>20260101-TH-8126-9-Prestar servicios profesionales jurídicos para apoyar las actividades de defensa Judicial y de procesos penales que adelante la UAE Cuerpo Oficial de Bomberos de Bogotá</v>
      </c>
    </row>
    <row r="144" spans="2:35" ht="70" x14ac:dyDescent="0.35">
      <c r="B144" s="23">
        <v>20260102</v>
      </c>
      <c r="C144" s="99" t="s">
        <v>408</v>
      </c>
      <c r="D144" s="23" t="s">
        <v>105</v>
      </c>
      <c r="E144" s="23" t="s">
        <v>363</v>
      </c>
      <c r="F144" s="156" t="s">
        <v>144</v>
      </c>
      <c r="G144" s="157" t="s">
        <v>374</v>
      </c>
      <c r="H144" s="158">
        <v>9</v>
      </c>
      <c r="I144" s="158">
        <v>0</v>
      </c>
      <c r="J144" s="127">
        <v>67500000</v>
      </c>
      <c r="K144" s="88" t="s">
        <v>398</v>
      </c>
      <c r="L144" s="156" t="s">
        <v>153</v>
      </c>
      <c r="M144" s="159" t="s">
        <v>420</v>
      </c>
      <c r="N144" s="23" t="s">
        <v>197</v>
      </c>
      <c r="O144" s="151" t="s">
        <v>963</v>
      </c>
      <c r="P144" s="156" t="s">
        <v>348</v>
      </c>
      <c r="Q144" s="53">
        <v>80111600</v>
      </c>
      <c r="R144" s="159" t="s">
        <v>208</v>
      </c>
      <c r="S144" s="159" t="str">
        <f>MID(PAA[[#This Row],[Meta Proyecto de Inversión]],1,4)</f>
        <v>8126</v>
      </c>
      <c r="T144" s="159" t="str">
        <f>MID(PAA[[#This Row],[Meta Proyecto de Inversión]],6,1)</f>
        <v>9</v>
      </c>
      <c r="U144" s="160" t="str">
        <f>IFERROR(VLOOKUP(N144,TD!$B$50:$F$54,2,0)," ")</f>
        <v>O230117</v>
      </c>
      <c r="V144" s="160" t="str">
        <f>IFERROR(VLOOKUP(N144,TD!$B$50:$F$54,3,0)," ")</f>
        <v>4599</v>
      </c>
      <c r="W144" s="160">
        <f>IFERROR(VLOOKUP(N144,TD!$B$50:$F$54,4,0)," ")</f>
        <v>20240207</v>
      </c>
      <c r="X144" s="159" t="s">
        <v>174</v>
      </c>
      <c r="Y144" s="160" t="str">
        <f>IFERROR(VLOOKUP(X144,TD!$J$51:$K$64,2,0)," ")</f>
        <v>Infraestructura física, mantenimiento y dotación (Sedes construidas, mantenidas reforzadas)</v>
      </c>
      <c r="Z144" s="161" t="str">
        <f>CONCATENATE(X144,"-",Y144)</f>
        <v>08-Infraestructura física, mantenimiento y dotación (Sedes construidas, mantenidas reforzadas)</v>
      </c>
      <c r="AA144" s="159" t="s">
        <v>227</v>
      </c>
      <c r="AB144" s="160" t="str">
        <f>IFERROR(VLOOKUP(AA144,TD!$N$51:$O$66,2,0)," ")</f>
        <v>Sedes mantenidas</v>
      </c>
      <c r="AC144" s="161" t="str">
        <f>CONCATENATE(AA144,"_",AB144)</f>
        <v>016_Sedes mantenidas</v>
      </c>
      <c r="AD144" s="161" t="str">
        <f>CONCATENATE(Z144," ",AC144)</f>
        <v>08-Infraestructura física, mantenimiento y dotación (Sedes construidas, mantenidas reforzadas) 016_Sedes mantenidas</v>
      </c>
      <c r="AE144" s="160" t="str">
        <f>CONCATENATE(U144,V144,W144,X144,AA144)</f>
        <v>O23011745992024020708016</v>
      </c>
      <c r="AF144" s="160" t="str">
        <f>IFERROR(VLOOKUP(AD144,TD!$J$66:$K$89,2,0)," ")</f>
        <v>PM/0131/0108/45990160207</v>
      </c>
      <c r="AG144" s="118" t="s">
        <v>385</v>
      </c>
      <c r="AH144" s="159" t="s">
        <v>193</v>
      </c>
      <c r="AI144" s="162" t="str">
        <f>CONCATENATE(PAA[[#This Row],[Id Interno]],"-",PAA[[#This Row],[tipo de Contrato (TH talento humano - B/S bienes y/o servicios)]],"-",S144,"-",T144,"-",PAA[[#This Row],[Objeto de la contratación]])</f>
        <v>20260102-TH-8126-9-Prestar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45" spans="2:35" ht="84" x14ac:dyDescent="0.35">
      <c r="B145" s="23">
        <v>20260103</v>
      </c>
      <c r="C145" s="99" t="s">
        <v>410</v>
      </c>
      <c r="D145" s="23" t="s">
        <v>105</v>
      </c>
      <c r="E145" s="23" t="s">
        <v>363</v>
      </c>
      <c r="F145" s="156" t="s">
        <v>144</v>
      </c>
      <c r="G145" s="157" t="s">
        <v>374</v>
      </c>
      <c r="H145" s="158">
        <v>8</v>
      </c>
      <c r="I145" s="158">
        <v>0</v>
      </c>
      <c r="J145" s="127">
        <v>53600000</v>
      </c>
      <c r="K145" s="88" t="s">
        <v>398</v>
      </c>
      <c r="L145" s="156" t="s">
        <v>153</v>
      </c>
      <c r="M145" s="159" t="s">
        <v>420</v>
      </c>
      <c r="N145" s="23" t="s">
        <v>197</v>
      </c>
      <c r="O145" s="151" t="s">
        <v>963</v>
      </c>
      <c r="P145" s="156" t="s">
        <v>348</v>
      </c>
      <c r="Q145" s="53">
        <v>80111600</v>
      </c>
      <c r="R145" s="159" t="s">
        <v>208</v>
      </c>
      <c r="S145" s="159" t="str">
        <f>MID(PAA[[#This Row],[Meta Proyecto de Inversión]],1,4)</f>
        <v>8126</v>
      </c>
      <c r="T145" s="159" t="str">
        <f>MID(PAA[[#This Row],[Meta Proyecto de Inversión]],6,1)</f>
        <v>9</v>
      </c>
      <c r="U145" s="160" t="str">
        <f>IFERROR(VLOOKUP(N145,TD!$B$50:$F$54,2,0)," ")</f>
        <v>O230117</v>
      </c>
      <c r="V145" s="160" t="str">
        <f>IFERROR(VLOOKUP(N145,TD!$B$50:$F$54,3,0)," ")</f>
        <v>4599</v>
      </c>
      <c r="W145" s="160">
        <f>IFERROR(VLOOKUP(N145,TD!$B$50:$F$54,4,0)," ")</f>
        <v>20240207</v>
      </c>
      <c r="X145" s="159" t="s">
        <v>174</v>
      </c>
      <c r="Y145" s="160" t="str">
        <f>IFERROR(VLOOKUP(X145,TD!$J$51:$K$64,2,0)," ")</f>
        <v>Infraestructura física, mantenimiento y dotación (Sedes construidas, mantenidas reforzadas)</v>
      </c>
      <c r="Z145" s="161" t="str">
        <f>CONCATENATE(X145,"-",Y145)</f>
        <v>08-Infraestructura física, mantenimiento y dotación (Sedes construidas, mantenidas reforzadas)</v>
      </c>
      <c r="AA145" s="159" t="s">
        <v>227</v>
      </c>
      <c r="AB145" s="160" t="str">
        <f>IFERROR(VLOOKUP(AA145,TD!$N$51:$O$66,2,0)," ")</f>
        <v>Sedes mantenidas</v>
      </c>
      <c r="AC145" s="161" t="str">
        <f>CONCATENATE(AA145,"_",AB145)</f>
        <v>016_Sedes mantenidas</v>
      </c>
      <c r="AD145" s="161" t="str">
        <f>CONCATENATE(Z145," ",AC145)</f>
        <v>08-Infraestructura física, mantenimiento y dotación (Sedes construidas, mantenidas reforzadas) 016_Sedes mantenidas</v>
      </c>
      <c r="AE145" s="160" t="str">
        <f>CONCATENATE(U145,V145,W145,X145,AA145)</f>
        <v>O23011745992024020708016</v>
      </c>
      <c r="AF145" s="160" t="str">
        <f>IFERROR(VLOOKUP(AD145,TD!$J$66:$K$89,2,0)," ")</f>
        <v>PM/0131/0108/45990160207</v>
      </c>
      <c r="AG145" s="118" t="s">
        <v>385</v>
      </c>
      <c r="AH145" s="159" t="s">
        <v>193</v>
      </c>
      <c r="AI145" s="162" t="str">
        <f>CONCATENATE(PAA[[#This Row],[Id Interno]],"-",PAA[[#This Row],[tipo de Contrato (TH talento humano - B/S bienes y/o servicios)]],"-",S145,"-",T145,"-",PAA[[#This Row],[Objeto de la contratación]])</f>
        <v>20260103-TH-8126-9-Prestar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46" spans="2:35" ht="70" x14ac:dyDescent="0.35">
      <c r="B146" s="23">
        <v>20260104</v>
      </c>
      <c r="C146" s="99" t="s">
        <v>410</v>
      </c>
      <c r="D146" s="23" t="s">
        <v>105</v>
      </c>
      <c r="E146" s="23" t="s">
        <v>363</v>
      </c>
      <c r="F146" s="156" t="s">
        <v>144</v>
      </c>
      <c r="G146" s="157" t="s">
        <v>374</v>
      </c>
      <c r="H146" s="158">
        <v>4</v>
      </c>
      <c r="I146" s="158">
        <v>0</v>
      </c>
      <c r="J146" s="127">
        <v>24800000</v>
      </c>
      <c r="K146" s="88" t="s">
        <v>398</v>
      </c>
      <c r="L146" s="156" t="s">
        <v>153</v>
      </c>
      <c r="M146" s="159" t="s">
        <v>420</v>
      </c>
      <c r="N146" s="23" t="s">
        <v>197</v>
      </c>
      <c r="O146" s="151" t="s">
        <v>963</v>
      </c>
      <c r="P146" s="156" t="s">
        <v>348</v>
      </c>
      <c r="Q146" s="53">
        <v>80111600</v>
      </c>
      <c r="R146" s="159" t="s">
        <v>208</v>
      </c>
      <c r="S146" s="159" t="str">
        <f>MID(PAA[[#This Row],[Meta Proyecto de Inversión]],1,4)</f>
        <v>8126</v>
      </c>
      <c r="T146" s="159" t="str">
        <f>MID(PAA[[#This Row],[Meta Proyecto de Inversión]],6,1)</f>
        <v>9</v>
      </c>
      <c r="U146" s="160" t="str">
        <f>IFERROR(VLOOKUP(N146,TD!$B$50:$F$54,2,0)," ")</f>
        <v>O230117</v>
      </c>
      <c r="V146" s="160" t="str">
        <f>IFERROR(VLOOKUP(N146,TD!$B$50:$F$54,3,0)," ")</f>
        <v>4599</v>
      </c>
      <c r="W146" s="160">
        <f>IFERROR(VLOOKUP(N146,TD!$B$50:$F$54,4,0)," ")</f>
        <v>20240207</v>
      </c>
      <c r="X146" s="159" t="s">
        <v>174</v>
      </c>
      <c r="Y146" s="160" t="str">
        <f>IFERROR(VLOOKUP(X146,TD!$J$51:$K$64,2,0)," ")</f>
        <v>Infraestructura física, mantenimiento y dotación (Sedes construidas, mantenidas reforzadas)</v>
      </c>
      <c r="Z146" s="161" t="str">
        <f>CONCATENATE(X146,"-",Y146)</f>
        <v>08-Infraestructura física, mantenimiento y dotación (Sedes construidas, mantenidas reforzadas)</v>
      </c>
      <c r="AA146" s="159" t="s">
        <v>227</v>
      </c>
      <c r="AB146" s="160" t="str">
        <f>IFERROR(VLOOKUP(AA146,TD!$N$51:$O$66,2,0)," ")</f>
        <v>Sedes mantenidas</v>
      </c>
      <c r="AC146" s="161" t="str">
        <f>CONCATENATE(AA146,"_",AB146)</f>
        <v>016_Sedes mantenidas</v>
      </c>
      <c r="AD146" s="161" t="str">
        <f>CONCATENATE(Z146," ",AC146)</f>
        <v>08-Infraestructura física, mantenimiento y dotación (Sedes construidas, mantenidas reforzadas) 016_Sedes mantenidas</v>
      </c>
      <c r="AE146" s="160" t="str">
        <f>CONCATENATE(U146,V146,W146,X146,AA146)</f>
        <v>O23011745992024020708016</v>
      </c>
      <c r="AF146" s="160" t="str">
        <f>IFERROR(VLOOKUP(AD146,TD!$J$66:$K$89,2,0)," ")</f>
        <v>PM/0131/0108/45990160207</v>
      </c>
      <c r="AG146" s="118" t="s">
        <v>385</v>
      </c>
      <c r="AH146" s="159" t="s">
        <v>193</v>
      </c>
      <c r="AI146" s="162" t="str">
        <f>CONCATENATE(PAA[[#This Row],[Id Interno]],"-",PAA[[#This Row],[tipo de Contrato (TH talento humano - B/S bienes y/o servicios)]],"-",S146,"-",T146,"-",PAA[[#This Row],[Objeto de la contratación]])</f>
        <v>20260104-TH-8126-9-Prestar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47" spans="2:35" ht="70" x14ac:dyDescent="0.35">
      <c r="B147" s="23">
        <v>20260105</v>
      </c>
      <c r="C147" s="99" t="s">
        <v>410</v>
      </c>
      <c r="D147" s="23" t="s">
        <v>105</v>
      </c>
      <c r="E147" s="23" t="s">
        <v>363</v>
      </c>
      <c r="F147" s="156" t="s">
        <v>144</v>
      </c>
      <c r="G147" s="157" t="s">
        <v>374</v>
      </c>
      <c r="H147" s="158">
        <v>8</v>
      </c>
      <c r="I147" s="158">
        <v>0</v>
      </c>
      <c r="J147" s="127">
        <v>53600000</v>
      </c>
      <c r="K147" s="88" t="s">
        <v>398</v>
      </c>
      <c r="L147" s="156" t="s">
        <v>153</v>
      </c>
      <c r="M147" s="159" t="s">
        <v>420</v>
      </c>
      <c r="N147" s="23" t="s">
        <v>197</v>
      </c>
      <c r="O147" s="151" t="s">
        <v>963</v>
      </c>
      <c r="P147" s="156" t="s">
        <v>348</v>
      </c>
      <c r="Q147" s="53">
        <v>80111600</v>
      </c>
      <c r="R147" s="159" t="s">
        <v>208</v>
      </c>
      <c r="S147" s="159" t="str">
        <f>MID(PAA[[#This Row],[Meta Proyecto de Inversión]],1,4)</f>
        <v>8126</v>
      </c>
      <c r="T147" s="159" t="str">
        <f>MID(PAA[[#This Row],[Meta Proyecto de Inversión]],6,1)</f>
        <v>9</v>
      </c>
      <c r="U147" s="160" t="str">
        <f>IFERROR(VLOOKUP(N147,TD!$B$50:$F$54,2,0)," ")</f>
        <v>O230117</v>
      </c>
      <c r="V147" s="160" t="str">
        <f>IFERROR(VLOOKUP(N147,TD!$B$50:$F$54,3,0)," ")</f>
        <v>4599</v>
      </c>
      <c r="W147" s="160">
        <f>IFERROR(VLOOKUP(N147,TD!$B$50:$F$54,4,0)," ")</f>
        <v>20240207</v>
      </c>
      <c r="X147" s="159" t="s">
        <v>174</v>
      </c>
      <c r="Y147" s="160" t="str">
        <f>IFERROR(VLOOKUP(X147,TD!$J$51:$K$64,2,0)," ")</f>
        <v>Infraestructura física, mantenimiento y dotación (Sedes construidas, mantenidas reforzadas)</v>
      </c>
      <c r="Z147" s="161" t="str">
        <f>CONCATENATE(X147,"-",Y147)</f>
        <v>08-Infraestructura física, mantenimiento y dotación (Sedes construidas, mantenidas reforzadas)</v>
      </c>
      <c r="AA147" s="159" t="s">
        <v>227</v>
      </c>
      <c r="AB147" s="160" t="str">
        <f>IFERROR(VLOOKUP(AA147,TD!$N$51:$O$66,2,0)," ")</f>
        <v>Sedes mantenidas</v>
      </c>
      <c r="AC147" s="161" t="str">
        <f>CONCATENATE(AA147,"_",AB147)</f>
        <v>016_Sedes mantenidas</v>
      </c>
      <c r="AD147" s="161" t="str">
        <f>CONCATENATE(Z147," ",AC147)</f>
        <v>08-Infraestructura física, mantenimiento y dotación (Sedes construidas, mantenidas reforzadas) 016_Sedes mantenidas</v>
      </c>
      <c r="AE147" s="160" t="str">
        <f>CONCATENATE(U147,V147,W147,X147,AA147)</f>
        <v>O23011745992024020708016</v>
      </c>
      <c r="AF147" s="160" t="str">
        <f>IFERROR(VLOOKUP(AD147,TD!$J$66:$K$89,2,0)," ")</f>
        <v>PM/0131/0108/45990160207</v>
      </c>
      <c r="AG147" s="118" t="s">
        <v>385</v>
      </c>
      <c r="AH147" s="159" t="s">
        <v>193</v>
      </c>
      <c r="AI147" s="162" t="str">
        <f>CONCATENATE(PAA[[#This Row],[Id Interno]],"-",PAA[[#This Row],[tipo de Contrato (TH talento humano - B/S bienes y/o servicios)]],"-",S147,"-",T147,"-",PAA[[#This Row],[Objeto de la contratación]])</f>
        <v>20260105-TH-8126-9-Prestar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48" spans="2:35" ht="84" x14ac:dyDescent="0.35">
      <c r="B148" s="23">
        <v>20260106</v>
      </c>
      <c r="C148" s="99" t="s">
        <v>404</v>
      </c>
      <c r="D148" s="23" t="s">
        <v>105</v>
      </c>
      <c r="E148" s="23" t="s">
        <v>363</v>
      </c>
      <c r="F148" s="156" t="s">
        <v>144</v>
      </c>
      <c r="G148" s="157" t="s">
        <v>374</v>
      </c>
      <c r="H148" s="158">
        <v>9</v>
      </c>
      <c r="I148" s="158">
        <v>0</v>
      </c>
      <c r="J148" s="127">
        <v>94500000</v>
      </c>
      <c r="K148" s="88" t="s">
        <v>398</v>
      </c>
      <c r="L148" s="156" t="s">
        <v>153</v>
      </c>
      <c r="M148" s="159" t="s">
        <v>420</v>
      </c>
      <c r="N148" s="23" t="s">
        <v>197</v>
      </c>
      <c r="O148" s="151" t="s">
        <v>963</v>
      </c>
      <c r="P148" s="156" t="s">
        <v>348</v>
      </c>
      <c r="Q148" s="53">
        <v>80111600</v>
      </c>
      <c r="R148" s="159" t="s">
        <v>208</v>
      </c>
      <c r="S148" s="159" t="str">
        <f>MID(PAA[[#This Row],[Meta Proyecto de Inversión]],1,4)</f>
        <v>8126</v>
      </c>
      <c r="T148" s="159" t="str">
        <f>MID(PAA[[#This Row],[Meta Proyecto de Inversión]],6,1)</f>
        <v>9</v>
      </c>
      <c r="U148" s="160" t="str">
        <f>IFERROR(VLOOKUP(N148,TD!$B$50:$F$54,2,0)," ")</f>
        <v>O230117</v>
      </c>
      <c r="V148" s="160" t="str">
        <f>IFERROR(VLOOKUP(N148,TD!$B$50:$F$54,3,0)," ")</f>
        <v>4599</v>
      </c>
      <c r="W148" s="160">
        <f>IFERROR(VLOOKUP(N148,TD!$B$50:$F$54,4,0)," ")</f>
        <v>20240207</v>
      </c>
      <c r="X148" s="159" t="s">
        <v>174</v>
      </c>
      <c r="Y148" s="160" t="str">
        <f>IFERROR(VLOOKUP(X148,TD!$J$51:$K$64,2,0)," ")</f>
        <v>Infraestructura física, mantenimiento y dotación (Sedes construidas, mantenidas reforzadas)</v>
      </c>
      <c r="Z148" s="161" t="str">
        <f>CONCATENATE(X148,"-",Y148)</f>
        <v>08-Infraestructura física, mantenimiento y dotación (Sedes construidas, mantenidas reforzadas)</v>
      </c>
      <c r="AA148" s="159" t="s">
        <v>227</v>
      </c>
      <c r="AB148" s="160" t="str">
        <f>IFERROR(VLOOKUP(AA148,TD!$N$51:$O$66,2,0)," ")</f>
        <v>Sedes mantenidas</v>
      </c>
      <c r="AC148" s="161" t="str">
        <f>CONCATENATE(AA148,"_",AB148)</f>
        <v>016_Sedes mantenidas</v>
      </c>
      <c r="AD148" s="161" t="str">
        <f>CONCATENATE(Z148," ",AC148)</f>
        <v>08-Infraestructura física, mantenimiento y dotación (Sedes construidas, mantenidas reforzadas) 016_Sedes mantenidas</v>
      </c>
      <c r="AE148" s="160" t="str">
        <f>CONCATENATE(U148,V148,W148,X148,AA148)</f>
        <v>O23011745992024020708016</v>
      </c>
      <c r="AF148" s="160" t="str">
        <f>IFERROR(VLOOKUP(AD148,TD!$J$66:$K$89,2,0)," ")</f>
        <v>PM/0131/0108/45990160207</v>
      </c>
      <c r="AG148" s="118" t="s">
        <v>385</v>
      </c>
      <c r="AH148" s="159" t="s">
        <v>193</v>
      </c>
      <c r="AI148" s="162" t="str">
        <f>CONCATENATE(PAA[[#This Row],[Id Interno]],"-",PAA[[#This Row],[tipo de Contrato (TH talento humano - B/S bienes y/o servicios)]],"-",S148,"-",T148,"-",PAA[[#This Row],[Objeto de la contratación]])</f>
        <v>20260106-TH-8126-9-Prestar los servicios profesionales jurídicos especializados en la Oficina Jurídica que garantice la verificación de la legalidad, en apoyo a cada una de las actuaciones a cargo de esta Oficina.</v>
      </c>
    </row>
    <row r="149" spans="2:35" ht="98" x14ac:dyDescent="0.35">
      <c r="B149" s="23">
        <v>20260107</v>
      </c>
      <c r="C149" s="99" t="s">
        <v>405</v>
      </c>
      <c r="D149" s="23" t="s">
        <v>105</v>
      </c>
      <c r="E149" s="23" t="s">
        <v>363</v>
      </c>
      <c r="F149" s="156" t="s">
        <v>144</v>
      </c>
      <c r="G149" s="157" t="s">
        <v>374</v>
      </c>
      <c r="H149" s="158">
        <v>8</v>
      </c>
      <c r="I149" s="158">
        <v>0</v>
      </c>
      <c r="J149" s="127">
        <v>77200000</v>
      </c>
      <c r="K149" s="88" t="s">
        <v>398</v>
      </c>
      <c r="L149" s="156" t="s">
        <v>153</v>
      </c>
      <c r="M149" s="159" t="s">
        <v>420</v>
      </c>
      <c r="N149" s="23" t="s">
        <v>197</v>
      </c>
      <c r="O149" s="151" t="s">
        <v>963</v>
      </c>
      <c r="P149" s="156" t="s">
        <v>348</v>
      </c>
      <c r="Q149" s="53">
        <v>80111600</v>
      </c>
      <c r="R149" s="159" t="s">
        <v>208</v>
      </c>
      <c r="S149" s="159" t="str">
        <f>MID(PAA[[#This Row],[Meta Proyecto de Inversión]],1,4)</f>
        <v>8126</v>
      </c>
      <c r="T149" s="159" t="str">
        <f>MID(PAA[[#This Row],[Meta Proyecto de Inversión]],6,1)</f>
        <v>9</v>
      </c>
      <c r="U149" s="160" t="str">
        <f>IFERROR(VLOOKUP(N149,TD!$B$50:$F$54,2,0)," ")</f>
        <v>O230117</v>
      </c>
      <c r="V149" s="160" t="str">
        <f>IFERROR(VLOOKUP(N149,TD!$B$50:$F$54,3,0)," ")</f>
        <v>4599</v>
      </c>
      <c r="W149" s="160">
        <f>IFERROR(VLOOKUP(N149,TD!$B$50:$F$54,4,0)," ")</f>
        <v>20240207</v>
      </c>
      <c r="X149" s="159" t="s">
        <v>174</v>
      </c>
      <c r="Y149" s="160" t="str">
        <f>IFERROR(VLOOKUP(X149,TD!$J$51:$K$64,2,0)," ")</f>
        <v>Infraestructura física, mantenimiento y dotación (Sedes construidas, mantenidas reforzadas)</v>
      </c>
      <c r="Z149" s="161" t="str">
        <f>CONCATENATE(X149,"-",Y149)</f>
        <v>08-Infraestructura física, mantenimiento y dotación (Sedes construidas, mantenidas reforzadas)</v>
      </c>
      <c r="AA149" s="159" t="s">
        <v>227</v>
      </c>
      <c r="AB149" s="160" t="str">
        <f>IFERROR(VLOOKUP(AA149,TD!$N$51:$O$66,2,0)," ")</f>
        <v>Sedes mantenidas</v>
      </c>
      <c r="AC149" s="161" t="str">
        <f>CONCATENATE(AA149,"_",AB149)</f>
        <v>016_Sedes mantenidas</v>
      </c>
      <c r="AD149" s="161" t="str">
        <f>CONCATENATE(Z149," ",AC149)</f>
        <v>08-Infraestructura física, mantenimiento y dotación (Sedes construidas, mantenidas reforzadas) 016_Sedes mantenidas</v>
      </c>
      <c r="AE149" s="160" t="str">
        <f>CONCATENATE(U149,V149,W149,X149,AA149)</f>
        <v>O23011745992024020708016</v>
      </c>
      <c r="AF149" s="160" t="str">
        <f>IFERROR(VLOOKUP(AD149,TD!$J$66:$K$89,2,0)," ")</f>
        <v>PM/0131/0108/45990160207</v>
      </c>
      <c r="AG149" s="118" t="s">
        <v>385</v>
      </c>
      <c r="AH149" s="159" t="s">
        <v>193</v>
      </c>
      <c r="AI149" s="162" t="str">
        <f>CONCATENATE(PAA[[#This Row],[Id Interno]],"-",PAA[[#This Row],[tipo de Contrato (TH talento humano - B/S bienes y/o servicios)]],"-",S149,"-",T149,"-",PAA[[#This Row],[Objeto de la contratación]])</f>
        <v>20260107-TH-8126-9-Prestar servicios profesionales para apoyar en la estructuración de las acciones de mejora, seguimiento  a la gestión contractual de la Entidad y demás procedimientos, en el marco de las funciones de la Oficina Jurídica</v>
      </c>
    </row>
    <row r="150" spans="2:35" ht="112" x14ac:dyDescent="0.35">
      <c r="B150" s="23">
        <v>20260108</v>
      </c>
      <c r="C150" s="99" t="s">
        <v>406</v>
      </c>
      <c r="D150" s="23" t="s">
        <v>105</v>
      </c>
      <c r="E150" s="23" t="s">
        <v>363</v>
      </c>
      <c r="F150" s="156" t="s">
        <v>144</v>
      </c>
      <c r="G150" s="157" t="s">
        <v>374</v>
      </c>
      <c r="H150" s="158">
        <v>8</v>
      </c>
      <c r="I150" s="158">
        <v>0</v>
      </c>
      <c r="J150" s="127">
        <v>52000000</v>
      </c>
      <c r="K150" s="88" t="s">
        <v>398</v>
      </c>
      <c r="L150" s="156" t="s">
        <v>153</v>
      </c>
      <c r="M150" s="159" t="s">
        <v>420</v>
      </c>
      <c r="N150" s="23" t="s">
        <v>197</v>
      </c>
      <c r="O150" s="151" t="s">
        <v>963</v>
      </c>
      <c r="P150" s="156" t="s">
        <v>348</v>
      </c>
      <c r="Q150" s="53">
        <v>80111600</v>
      </c>
      <c r="R150" s="159" t="s">
        <v>208</v>
      </c>
      <c r="S150" s="159" t="str">
        <f>MID(PAA[[#This Row],[Meta Proyecto de Inversión]],1,4)</f>
        <v>8126</v>
      </c>
      <c r="T150" s="159" t="str">
        <f>MID(PAA[[#This Row],[Meta Proyecto de Inversión]],6,1)</f>
        <v>9</v>
      </c>
      <c r="U150" s="160" t="str">
        <f>IFERROR(VLOOKUP(N150,TD!$B$50:$F$54,2,0)," ")</f>
        <v>O230117</v>
      </c>
      <c r="V150" s="160" t="str">
        <f>IFERROR(VLOOKUP(N150,TD!$B$50:$F$54,3,0)," ")</f>
        <v>4599</v>
      </c>
      <c r="W150" s="160">
        <f>IFERROR(VLOOKUP(N150,TD!$B$50:$F$54,4,0)," ")</f>
        <v>20240207</v>
      </c>
      <c r="X150" s="159" t="s">
        <v>174</v>
      </c>
      <c r="Y150" s="160" t="str">
        <f>IFERROR(VLOOKUP(X150,TD!$J$51:$K$64,2,0)," ")</f>
        <v>Infraestructura física, mantenimiento y dotación (Sedes construidas, mantenidas reforzadas)</v>
      </c>
      <c r="Z150" s="161" t="str">
        <f>CONCATENATE(X150,"-",Y150)</f>
        <v>08-Infraestructura física, mantenimiento y dotación (Sedes construidas, mantenidas reforzadas)</v>
      </c>
      <c r="AA150" s="159" t="s">
        <v>227</v>
      </c>
      <c r="AB150" s="160" t="str">
        <f>IFERROR(VLOOKUP(AA150,TD!$N$51:$O$66,2,0)," ")</f>
        <v>Sedes mantenidas</v>
      </c>
      <c r="AC150" s="161" t="str">
        <f>CONCATENATE(AA150,"_",AB150)</f>
        <v>016_Sedes mantenidas</v>
      </c>
      <c r="AD150" s="161" t="str">
        <f>CONCATENATE(Z150," ",AC150)</f>
        <v>08-Infraestructura física, mantenimiento y dotación (Sedes construidas, mantenidas reforzadas) 016_Sedes mantenidas</v>
      </c>
      <c r="AE150" s="160" t="str">
        <f>CONCATENATE(U150,V150,W150,X150,AA150)</f>
        <v>O23011745992024020708016</v>
      </c>
      <c r="AF150" s="160" t="str">
        <f>IFERROR(VLOOKUP(AD150,TD!$J$66:$K$89,2,0)," ")</f>
        <v>PM/0131/0108/45990160207</v>
      </c>
      <c r="AG150" s="118" t="s">
        <v>385</v>
      </c>
      <c r="AH150" s="159" t="s">
        <v>193</v>
      </c>
      <c r="AI150" s="162" t="str">
        <f>CONCATENATE(PAA[[#This Row],[Id Interno]],"-",PAA[[#This Row],[tipo de Contrato (TH talento humano - B/S bienes y/o servicios)]],"-",S150,"-",T150,"-",PAA[[#This Row],[Objeto de la contratación]])</f>
        <v>20260108-TH-8126-9-Prestar servicios profesionales para apoyar en la estructuración de las acciones de mejora, elaboración de informes y soporte de las funciones administrativas y de mejora</v>
      </c>
    </row>
    <row r="151" spans="2:35" ht="84" x14ac:dyDescent="0.35">
      <c r="B151" s="23">
        <v>20260109</v>
      </c>
      <c r="C151" s="99" t="s">
        <v>407</v>
      </c>
      <c r="D151" s="23" t="s">
        <v>105</v>
      </c>
      <c r="E151" s="23" t="s">
        <v>363</v>
      </c>
      <c r="F151" s="156" t="s">
        <v>144</v>
      </c>
      <c r="G151" s="157" t="s">
        <v>374</v>
      </c>
      <c r="H151" s="158">
        <v>6</v>
      </c>
      <c r="I151" s="158">
        <v>0</v>
      </c>
      <c r="J151" s="127">
        <v>66000000</v>
      </c>
      <c r="K151" s="88" t="s">
        <v>398</v>
      </c>
      <c r="L151" s="156" t="s">
        <v>153</v>
      </c>
      <c r="M151" s="159" t="s">
        <v>420</v>
      </c>
      <c r="N151" s="23" t="s">
        <v>197</v>
      </c>
      <c r="O151" s="151" t="s">
        <v>963</v>
      </c>
      <c r="P151" s="156" t="s">
        <v>348</v>
      </c>
      <c r="Q151" s="53">
        <v>80111600</v>
      </c>
      <c r="R151" s="159" t="s">
        <v>208</v>
      </c>
      <c r="S151" s="159" t="str">
        <f>MID(PAA[[#This Row],[Meta Proyecto de Inversión]],1,4)</f>
        <v>8126</v>
      </c>
      <c r="T151" s="159" t="str">
        <f>MID(PAA[[#This Row],[Meta Proyecto de Inversión]],6,1)</f>
        <v>9</v>
      </c>
      <c r="U151" s="160" t="str">
        <f>IFERROR(VLOOKUP(N151,TD!$B$50:$F$54,2,0)," ")</f>
        <v>O230117</v>
      </c>
      <c r="V151" s="160" t="str">
        <f>IFERROR(VLOOKUP(N151,TD!$B$50:$F$54,3,0)," ")</f>
        <v>4599</v>
      </c>
      <c r="W151" s="160">
        <f>IFERROR(VLOOKUP(N151,TD!$B$50:$F$54,4,0)," ")</f>
        <v>20240207</v>
      </c>
      <c r="X151" s="159" t="s">
        <v>174</v>
      </c>
      <c r="Y151" s="160" t="str">
        <f>IFERROR(VLOOKUP(X151,TD!$J$51:$K$64,2,0)," ")</f>
        <v>Infraestructura física, mantenimiento y dotación (Sedes construidas, mantenidas reforzadas)</v>
      </c>
      <c r="Z151" s="161" t="str">
        <f>CONCATENATE(X151,"-",Y151)</f>
        <v>08-Infraestructura física, mantenimiento y dotación (Sedes construidas, mantenidas reforzadas)</v>
      </c>
      <c r="AA151" s="159" t="s">
        <v>227</v>
      </c>
      <c r="AB151" s="160" t="str">
        <f>IFERROR(VLOOKUP(AA151,TD!$N$51:$O$66,2,0)," ")</f>
        <v>Sedes mantenidas</v>
      </c>
      <c r="AC151" s="161" t="str">
        <f>CONCATENATE(AA151,"_",AB151)</f>
        <v>016_Sedes mantenidas</v>
      </c>
      <c r="AD151" s="161" t="str">
        <f>CONCATENATE(Z151," ",AC151)</f>
        <v>08-Infraestructura física, mantenimiento y dotación (Sedes construidas, mantenidas reforzadas) 016_Sedes mantenidas</v>
      </c>
      <c r="AE151" s="160" t="str">
        <f>CONCATENATE(U151,V151,W151,X151,AA151)</f>
        <v>O23011745992024020708016</v>
      </c>
      <c r="AF151" s="160" t="str">
        <f>IFERROR(VLOOKUP(AD151,TD!$J$66:$K$89,2,0)," ")</f>
        <v>PM/0131/0108/45990160207</v>
      </c>
      <c r="AG151" s="118" t="s">
        <v>385</v>
      </c>
      <c r="AH151" s="159" t="s">
        <v>193</v>
      </c>
      <c r="AI151" s="162" t="str">
        <f>CONCATENATE(PAA[[#This Row],[Id Interno]],"-",PAA[[#This Row],[tipo de Contrato (TH talento humano - B/S bienes y/o servicios)]],"-",S151,"-",T151,"-",PAA[[#This Row],[Objeto de la contratación]])</f>
        <v>20260109-TH-8126-9-Prestar los servicios profesionales jurídicos especializados para apoyar el desarrollo de las funciones de la Oficina Jurídica</v>
      </c>
    </row>
    <row r="152" spans="2:35" ht="84" x14ac:dyDescent="0.35">
      <c r="B152" s="23">
        <v>20260110</v>
      </c>
      <c r="C152" s="99" t="s">
        <v>408</v>
      </c>
      <c r="D152" s="23" t="s">
        <v>105</v>
      </c>
      <c r="E152" s="23" t="s">
        <v>363</v>
      </c>
      <c r="F152" s="156" t="s">
        <v>144</v>
      </c>
      <c r="G152" s="157" t="s">
        <v>374</v>
      </c>
      <c r="H152" s="158">
        <v>9</v>
      </c>
      <c r="I152" s="158">
        <v>0</v>
      </c>
      <c r="J152" s="127">
        <v>76500000</v>
      </c>
      <c r="K152" s="88" t="s">
        <v>398</v>
      </c>
      <c r="L152" s="156" t="s">
        <v>153</v>
      </c>
      <c r="M152" s="159" t="s">
        <v>420</v>
      </c>
      <c r="N152" s="23" t="s">
        <v>197</v>
      </c>
      <c r="O152" s="151" t="s">
        <v>963</v>
      </c>
      <c r="P152" s="156" t="s">
        <v>348</v>
      </c>
      <c r="Q152" s="53">
        <v>80111600</v>
      </c>
      <c r="R152" s="159" t="s">
        <v>208</v>
      </c>
      <c r="S152" s="159" t="str">
        <f>MID(PAA[[#This Row],[Meta Proyecto de Inversión]],1,4)</f>
        <v>8126</v>
      </c>
      <c r="T152" s="159" t="str">
        <f>MID(PAA[[#This Row],[Meta Proyecto de Inversión]],6,1)</f>
        <v>9</v>
      </c>
      <c r="U152" s="160" t="str">
        <f>IFERROR(VLOOKUP(N152,TD!$B$50:$F$54,2,0)," ")</f>
        <v>O230117</v>
      </c>
      <c r="V152" s="160" t="str">
        <f>IFERROR(VLOOKUP(N152,TD!$B$50:$F$54,3,0)," ")</f>
        <v>4599</v>
      </c>
      <c r="W152" s="160">
        <f>IFERROR(VLOOKUP(N152,TD!$B$50:$F$54,4,0)," ")</f>
        <v>20240207</v>
      </c>
      <c r="X152" s="159" t="s">
        <v>174</v>
      </c>
      <c r="Y152" s="160" t="str">
        <f>IFERROR(VLOOKUP(X152,TD!$J$51:$K$64,2,0)," ")</f>
        <v>Infraestructura física, mantenimiento y dotación (Sedes construidas, mantenidas reforzadas)</v>
      </c>
      <c r="Z152" s="161" t="str">
        <f>CONCATENATE(X152,"-",Y152)</f>
        <v>08-Infraestructura física, mantenimiento y dotación (Sedes construidas, mantenidas reforzadas)</v>
      </c>
      <c r="AA152" s="159" t="s">
        <v>227</v>
      </c>
      <c r="AB152" s="160" t="str">
        <f>IFERROR(VLOOKUP(AA152,TD!$N$51:$O$66,2,0)," ")</f>
        <v>Sedes mantenidas</v>
      </c>
      <c r="AC152" s="161" t="str">
        <f>CONCATENATE(AA152,"_",AB152)</f>
        <v>016_Sedes mantenidas</v>
      </c>
      <c r="AD152" s="161" t="str">
        <f>CONCATENATE(Z152," ",AC152)</f>
        <v>08-Infraestructura física, mantenimiento y dotación (Sedes construidas, mantenidas reforzadas) 016_Sedes mantenidas</v>
      </c>
      <c r="AE152" s="160" t="str">
        <f>CONCATENATE(U152,V152,W152,X152,AA152)</f>
        <v>O23011745992024020708016</v>
      </c>
      <c r="AF152" s="160" t="str">
        <f>IFERROR(VLOOKUP(AD152,TD!$J$66:$K$89,2,0)," ")</f>
        <v>PM/0131/0108/45990160207</v>
      </c>
      <c r="AG152" s="118" t="s">
        <v>385</v>
      </c>
      <c r="AH152" s="159" t="s">
        <v>193</v>
      </c>
      <c r="AI152" s="162" t="str">
        <f>CONCATENATE(PAA[[#This Row],[Id Interno]],"-",PAA[[#This Row],[tipo de Contrato (TH talento humano - B/S bienes y/o servicios)]],"-",S152,"-",T152,"-",PAA[[#This Row],[Objeto de la contratación]])</f>
        <v>20260110-TH-8126-9-Prestar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53" spans="2:35" ht="84" x14ac:dyDescent="0.35">
      <c r="B153" s="23">
        <v>20260111</v>
      </c>
      <c r="C153" s="99" t="s">
        <v>408</v>
      </c>
      <c r="D153" s="23" t="s">
        <v>105</v>
      </c>
      <c r="E153" s="23" t="s">
        <v>363</v>
      </c>
      <c r="F153" s="156" t="s">
        <v>144</v>
      </c>
      <c r="G153" s="157" t="s">
        <v>374</v>
      </c>
      <c r="H153" s="158">
        <v>9</v>
      </c>
      <c r="I153" s="158">
        <v>0</v>
      </c>
      <c r="J153" s="127">
        <v>76500000</v>
      </c>
      <c r="K153" s="88" t="s">
        <v>398</v>
      </c>
      <c r="L153" s="156" t="s">
        <v>153</v>
      </c>
      <c r="M153" s="159" t="s">
        <v>420</v>
      </c>
      <c r="N153" s="23" t="s">
        <v>197</v>
      </c>
      <c r="O153" s="151" t="s">
        <v>963</v>
      </c>
      <c r="P153" s="156" t="s">
        <v>348</v>
      </c>
      <c r="Q153" s="53">
        <v>80111600</v>
      </c>
      <c r="R153" s="159" t="s">
        <v>208</v>
      </c>
      <c r="S153" s="159" t="str">
        <f>MID(PAA[[#This Row],[Meta Proyecto de Inversión]],1,4)</f>
        <v>8126</v>
      </c>
      <c r="T153" s="159" t="str">
        <f>MID(PAA[[#This Row],[Meta Proyecto de Inversión]],6,1)</f>
        <v>9</v>
      </c>
      <c r="U153" s="160" t="str">
        <f>IFERROR(VLOOKUP(N153,TD!$B$50:$F$54,2,0)," ")</f>
        <v>O230117</v>
      </c>
      <c r="V153" s="160" t="str">
        <f>IFERROR(VLOOKUP(N153,TD!$B$50:$F$54,3,0)," ")</f>
        <v>4599</v>
      </c>
      <c r="W153" s="160">
        <f>IFERROR(VLOOKUP(N153,TD!$B$50:$F$54,4,0)," ")</f>
        <v>20240207</v>
      </c>
      <c r="X153" s="159" t="s">
        <v>174</v>
      </c>
      <c r="Y153" s="160" t="str">
        <f>IFERROR(VLOOKUP(X153,TD!$J$51:$K$64,2,0)," ")</f>
        <v>Infraestructura física, mantenimiento y dotación (Sedes construidas, mantenidas reforzadas)</v>
      </c>
      <c r="Z153" s="161" t="str">
        <f>CONCATENATE(X153,"-",Y153)</f>
        <v>08-Infraestructura física, mantenimiento y dotación (Sedes construidas, mantenidas reforzadas)</v>
      </c>
      <c r="AA153" s="159" t="s">
        <v>227</v>
      </c>
      <c r="AB153" s="160" t="str">
        <f>IFERROR(VLOOKUP(AA153,TD!$N$51:$O$66,2,0)," ")</f>
        <v>Sedes mantenidas</v>
      </c>
      <c r="AC153" s="161" t="str">
        <f>CONCATENATE(AA153,"_",AB153)</f>
        <v>016_Sedes mantenidas</v>
      </c>
      <c r="AD153" s="161" t="str">
        <f>CONCATENATE(Z153," ",AC153)</f>
        <v>08-Infraestructura física, mantenimiento y dotación (Sedes construidas, mantenidas reforzadas) 016_Sedes mantenidas</v>
      </c>
      <c r="AE153" s="160" t="str">
        <f>CONCATENATE(U153,V153,W153,X153,AA153)</f>
        <v>O23011745992024020708016</v>
      </c>
      <c r="AF153" s="160" t="str">
        <f>IFERROR(VLOOKUP(AD153,TD!$J$66:$K$89,2,0)," ")</f>
        <v>PM/0131/0108/45990160207</v>
      </c>
      <c r="AG153" s="118" t="s">
        <v>385</v>
      </c>
      <c r="AH153" s="159" t="s">
        <v>193</v>
      </c>
      <c r="AI153" s="162" t="str">
        <f>CONCATENATE(PAA[[#This Row],[Id Interno]],"-",PAA[[#This Row],[tipo de Contrato (TH talento humano - B/S bienes y/o servicios)]],"-",S153,"-",T153,"-",PAA[[#This Row],[Objeto de la contratación]])</f>
        <v>20260111-TH-8126-9-Prestar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54" spans="2:35" ht="84" x14ac:dyDescent="0.35">
      <c r="B154" s="23">
        <v>20260112</v>
      </c>
      <c r="C154" s="99" t="s">
        <v>409</v>
      </c>
      <c r="D154" s="23" t="s">
        <v>105</v>
      </c>
      <c r="E154" s="23" t="s">
        <v>363</v>
      </c>
      <c r="F154" s="156" t="s">
        <v>144</v>
      </c>
      <c r="G154" s="157" t="s">
        <v>374</v>
      </c>
      <c r="H154" s="158">
        <v>9</v>
      </c>
      <c r="I154" s="158">
        <v>0</v>
      </c>
      <c r="J154" s="127">
        <v>76500000</v>
      </c>
      <c r="K154" s="88" t="s">
        <v>398</v>
      </c>
      <c r="L154" s="156" t="s">
        <v>153</v>
      </c>
      <c r="M154" s="159" t="s">
        <v>420</v>
      </c>
      <c r="N154" s="23" t="s">
        <v>197</v>
      </c>
      <c r="O154" s="151" t="s">
        <v>963</v>
      </c>
      <c r="P154" s="156" t="s">
        <v>348</v>
      </c>
      <c r="Q154" s="53">
        <v>80111600</v>
      </c>
      <c r="R154" s="159" t="s">
        <v>208</v>
      </c>
      <c r="S154" s="159" t="str">
        <f>MID(PAA[[#This Row],[Meta Proyecto de Inversión]],1,4)</f>
        <v>8126</v>
      </c>
      <c r="T154" s="159" t="str">
        <f>MID(PAA[[#This Row],[Meta Proyecto de Inversión]],6,1)</f>
        <v>9</v>
      </c>
      <c r="U154" s="160" t="str">
        <f>IFERROR(VLOOKUP(N154,TD!$B$50:$F$54,2,0)," ")</f>
        <v>O230117</v>
      </c>
      <c r="V154" s="160" t="str">
        <f>IFERROR(VLOOKUP(N154,TD!$B$50:$F$54,3,0)," ")</f>
        <v>4599</v>
      </c>
      <c r="W154" s="160">
        <f>IFERROR(VLOOKUP(N154,TD!$B$50:$F$54,4,0)," ")</f>
        <v>20240207</v>
      </c>
      <c r="X154" s="159" t="s">
        <v>174</v>
      </c>
      <c r="Y154" s="160" t="str">
        <f>IFERROR(VLOOKUP(X154,TD!$J$51:$K$64,2,0)," ")</f>
        <v>Infraestructura física, mantenimiento y dotación (Sedes construidas, mantenidas reforzadas)</v>
      </c>
      <c r="Z154" s="161" t="str">
        <f>CONCATENATE(X154,"-",Y154)</f>
        <v>08-Infraestructura física, mantenimiento y dotación (Sedes construidas, mantenidas reforzadas)</v>
      </c>
      <c r="AA154" s="159" t="s">
        <v>227</v>
      </c>
      <c r="AB154" s="160" t="str">
        <f>IFERROR(VLOOKUP(AA154,TD!$N$51:$O$66,2,0)," ")</f>
        <v>Sedes mantenidas</v>
      </c>
      <c r="AC154" s="161" t="str">
        <f>CONCATENATE(AA154,"_",AB154)</f>
        <v>016_Sedes mantenidas</v>
      </c>
      <c r="AD154" s="161" t="str">
        <f>CONCATENATE(Z154," ",AC154)</f>
        <v>08-Infraestructura física, mantenimiento y dotación (Sedes construidas, mantenidas reforzadas) 016_Sedes mantenidas</v>
      </c>
      <c r="AE154" s="160" t="str">
        <f>CONCATENATE(U154,V154,W154,X154,AA154)</f>
        <v>O23011745992024020708016</v>
      </c>
      <c r="AF154" s="160" t="str">
        <f>IFERROR(VLOOKUP(AD154,TD!$J$66:$K$89,2,0)," ")</f>
        <v>PM/0131/0108/45990160207</v>
      </c>
      <c r="AG154" s="118" t="s">
        <v>385</v>
      </c>
      <c r="AH154" s="159" t="s">
        <v>193</v>
      </c>
      <c r="AI154" s="162" t="str">
        <f>CONCATENATE(PAA[[#This Row],[Id Interno]],"-",PAA[[#This Row],[tipo de Contrato (TH talento humano - B/S bienes y/o servicios)]],"-",S154,"-",T154,"-",PAA[[#This Row],[Objeto de la contratación]])</f>
        <v>20260112-TH-8126-9-Prestar servicios profesionales jurídicos para orientar y apoyar los procesos de contratación gestionados por la Oficina Jurídica, en el marco de las actividades propias de la gestión contractual, con el objetivo de garantizar el cumplimiento de las necesidades de la UAECOB.</v>
      </c>
    </row>
    <row r="155" spans="2:35" ht="84" x14ac:dyDescent="0.35">
      <c r="B155" s="23">
        <v>20260113</v>
      </c>
      <c r="C155" s="99" t="s">
        <v>408</v>
      </c>
      <c r="D155" s="23" t="s">
        <v>105</v>
      </c>
      <c r="E155" s="23" t="s">
        <v>363</v>
      </c>
      <c r="F155" s="156" t="s">
        <v>144</v>
      </c>
      <c r="G155" s="157" t="s">
        <v>374</v>
      </c>
      <c r="H155" s="158">
        <v>9</v>
      </c>
      <c r="I155" s="158">
        <v>0</v>
      </c>
      <c r="J155" s="127">
        <v>76500000</v>
      </c>
      <c r="K155" s="88" t="s">
        <v>398</v>
      </c>
      <c r="L155" s="156" t="s">
        <v>153</v>
      </c>
      <c r="M155" s="159" t="s">
        <v>420</v>
      </c>
      <c r="N155" s="23" t="s">
        <v>197</v>
      </c>
      <c r="O155" s="151" t="s">
        <v>963</v>
      </c>
      <c r="P155" s="156" t="s">
        <v>348</v>
      </c>
      <c r="Q155" s="53">
        <v>80111600</v>
      </c>
      <c r="R155" s="159" t="s">
        <v>208</v>
      </c>
      <c r="S155" s="159" t="str">
        <f>MID(PAA[[#This Row],[Meta Proyecto de Inversión]],1,4)</f>
        <v>8126</v>
      </c>
      <c r="T155" s="159" t="str">
        <f>MID(PAA[[#This Row],[Meta Proyecto de Inversión]],6,1)</f>
        <v>9</v>
      </c>
      <c r="U155" s="160" t="str">
        <f>IFERROR(VLOOKUP(N155,TD!$B$50:$F$54,2,0)," ")</f>
        <v>O230117</v>
      </c>
      <c r="V155" s="160" t="str">
        <f>IFERROR(VLOOKUP(N155,TD!$B$50:$F$54,3,0)," ")</f>
        <v>4599</v>
      </c>
      <c r="W155" s="160">
        <f>IFERROR(VLOOKUP(N155,TD!$B$50:$F$54,4,0)," ")</f>
        <v>20240207</v>
      </c>
      <c r="X155" s="159" t="s">
        <v>174</v>
      </c>
      <c r="Y155" s="160" t="str">
        <f>IFERROR(VLOOKUP(X155,TD!$J$51:$K$64,2,0)," ")</f>
        <v>Infraestructura física, mantenimiento y dotación (Sedes construidas, mantenidas reforzadas)</v>
      </c>
      <c r="Z155" s="161" t="str">
        <f>CONCATENATE(X155,"-",Y155)</f>
        <v>08-Infraestructura física, mantenimiento y dotación (Sedes construidas, mantenidas reforzadas)</v>
      </c>
      <c r="AA155" s="159" t="s">
        <v>227</v>
      </c>
      <c r="AB155" s="160" t="str">
        <f>IFERROR(VLOOKUP(AA155,TD!$N$51:$O$66,2,0)," ")</f>
        <v>Sedes mantenidas</v>
      </c>
      <c r="AC155" s="161" t="str">
        <f>CONCATENATE(AA155,"_",AB155)</f>
        <v>016_Sedes mantenidas</v>
      </c>
      <c r="AD155" s="161" t="str">
        <f>CONCATENATE(Z155," ",AC155)</f>
        <v>08-Infraestructura física, mantenimiento y dotación (Sedes construidas, mantenidas reforzadas) 016_Sedes mantenidas</v>
      </c>
      <c r="AE155" s="160" t="str">
        <f>CONCATENATE(U155,V155,W155,X155,AA155)</f>
        <v>O23011745992024020708016</v>
      </c>
      <c r="AF155" s="160" t="str">
        <f>IFERROR(VLOOKUP(AD155,TD!$J$66:$K$89,2,0)," ")</f>
        <v>PM/0131/0108/45990160207</v>
      </c>
      <c r="AG155" s="118" t="s">
        <v>385</v>
      </c>
      <c r="AH155" s="159" t="s">
        <v>193</v>
      </c>
      <c r="AI155" s="162" t="str">
        <f>CONCATENATE(PAA[[#This Row],[Id Interno]],"-",PAA[[#This Row],[tipo de Contrato (TH talento humano - B/S bienes y/o servicios)]],"-",S155,"-",T155,"-",PAA[[#This Row],[Objeto de la contratación]])</f>
        <v>20260113-TH-8126-9-Prestar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56" spans="2:35" ht="84" x14ac:dyDescent="0.35">
      <c r="B156" s="23">
        <v>20260114</v>
      </c>
      <c r="C156" s="99" t="s">
        <v>408</v>
      </c>
      <c r="D156" s="23" t="s">
        <v>105</v>
      </c>
      <c r="E156" s="23" t="s">
        <v>363</v>
      </c>
      <c r="F156" s="156" t="s">
        <v>144</v>
      </c>
      <c r="G156" s="157" t="s">
        <v>374</v>
      </c>
      <c r="H156" s="158">
        <v>9</v>
      </c>
      <c r="I156" s="158">
        <v>0</v>
      </c>
      <c r="J156" s="127">
        <v>72000000</v>
      </c>
      <c r="K156" s="88" t="s">
        <v>398</v>
      </c>
      <c r="L156" s="156" t="s">
        <v>153</v>
      </c>
      <c r="M156" s="159" t="s">
        <v>420</v>
      </c>
      <c r="N156" s="23" t="s">
        <v>197</v>
      </c>
      <c r="O156" s="151" t="s">
        <v>963</v>
      </c>
      <c r="P156" s="156" t="s">
        <v>348</v>
      </c>
      <c r="Q156" s="53">
        <v>80111600</v>
      </c>
      <c r="R156" s="159" t="s">
        <v>208</v>
      </c>
      <c r="S156" s="159" t="str">
        <f>MID(PAA[[#This Row],[Meta Proyecto de Inversión]],1,4)</f>
        <v>8126</v>
      </c>
      <c r="T156" s="159" t="str">
        <f>MID(PAA[[#This Row],[Meta Proyecto de Inversión]],6,1)</f>
        <v>9</v>
      </c>
      <c r="U156" s="160" t="str">
        <f>IFERROR(VLOOKUP(N156,TD!$B$50:$F$54,2,0)," ")</f>
        <v>O230117</v>
      </c>
      <c r="V156" s="160" t="str">
        <f>IFERROR(VLOOKUP(N156,TD!$B$50:$F$54,3,0)," ")</f>
        <v>4599</v>
      </c>
      <c r="W156" s="160">
        <f>IFERROR(VLOOKUP(N156,TD!$B$50:$F$54,4,0)," ")</f>
        <v>20240207</v>
      </c>
      <c r="X156" s="159" t="s">
        <v>174</v>
      </c>
      <c r="Y156" s="160" t="str">
        <f>IFERROR(VLOOKUP(X156,TD!$J$51:$K$64,2,0)," ")</f>
        <v>Infraestructura física, mantenimiento y dotación (Sedes construidas, mantenidas reforzadas)</v>
      </c>
      <c r="Z156" s="161" t="str">
        <f>CONCATENATE(X156,"-",Y156)</f>
        <v>08-Infraestructura física, mantenimiento y dotación (Sedes construidas, mantenidas reforzadas)</v>
      </c>
      <c r="AA156" s="159" t="s">
        <v>227</v>
      </c>
      <c r="AB156" s="160" t="str">
        <f>IFERROR(VLOOKUP(AA156,TD!$N$51:$O$66,2,0)," ")</f>
        <v>Sedes mantenidas</v>
      </c>
      <c r="AC156" s="161" t="str">
        <f>CONCATENATE(AA156,"_",AB156)</f>
        <v>016_Sedes mantenidas</v>
      </c>
      <c r="AD156" s="161" t="str">
        <f>CONCATENATE(Z156," ",AC156)</f>
        <v>08-Infraestructura física, mantenimiento y dotación (Sedes construidas, mantenidas reforzadas) 016_Sedes mantenidas</v>
      </c>
      <c r="AE156" s="160" t="str">
        <f>CONCATENATE(U156,V156,W156,X156,AA156)</f>
        <v>O23011745992024020708016</v>
      </c>
      <c r="AF156" s="160" t="str">
        <f>IFERROR(VLOOKUP(AD156,TD!$J$66:$K$89,2,0)," ")</f>
        <v>PM/0131/0108/45990160207</v>
      </c>
      <c r="AG156" s="118" t="s">
        <v>385</v>
      </c>
      <c r="AH156" s="159" t="s">
        <v>193</v>
      </c>
      <c r="AI156" s="162" t="str">
        <f>CONCATENATE(PAA[[#This Row],[Id Interno]],"-",PAA[[#This Row],[tipo de Contrato (TH talento humano - B/S bienes y/o servicios)]],"-",S156,"-",T156,"-",PAA[[#This Row],[Objeto de la contratación]])</f>
        <v>20260114-TH-8126-9-Prestar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v>
      </c>
    </row>
    <row r="157" spans="2:35" ht="70" x14ac:dyDescent="0.35">
      <c r="B157" s="23">
        <v>20260115</v>
      </c>
      <c r="C157" s="99" t="s">
        <v>410</v>
      </c>
      <c r="D157" s="23" t="s">
        <v>105</v>
      </c>
      <c r="E157" s="23" t="s">
        <v>363</v>
      </c>
      <c r="F157" s="156" t="s">
        <v>145</v>
      </c>
      <c r="G157" s="157" t="s">
        <v>374</v>
      </c>
      <c r="H157" s="158">
        <v>9</v>
      </c>
      <c r="I157" s="158">
        <v>0</v>
      </c>
      <c r="J157" s="127">
        <v>60300000</v>
      </c>
      <c r="K157" s="88" t="s">
        <v>398</v>
      </c>
      <c r="L157" s="156" t="s">
        <v>153</v>
      </c>
      <c r="M157" s="159" t="s">
        <v>420</v>
      </c>
      <c r="N157" s="23" t="s">
        <v>197</v>
      </c>
      <c r="O157" s="151" t="s">
        <v>963</v>
      </c>
      <c r="P157" s="156" t="s">
        <v>348</v>
      </c>
      <c r="Q157" s="53">
        <v>80111600</v>
      </c>
      <c r="R157" s="159" t="s">
        <v>208</v>
      </c>
      <c r="S157" s="159" t="str">
        <f>MID(PAA[[#This Row],[Meta Proyecto de Inversión]],1,4)</f>
        <v>8126</v>
      </c>
      <c r="T157" s="159" t="str">
        <f>MID(PAA[[#This Row],[Meta Proyecto de Inversión]],6,1)</f>
        <v>9</v>
      </c>
      <c r="U157" s="160" t="str">
        <f>IFERROR(VLOOKUP(N157,TD!$B$50:$F$54,2,0)," ")</f>
        <v>O230117</v>
      </c>
      <c r="V157" s="160" t="str">
        <f>IFERROR(VLOOKUP(N157,TD!$B$50:$F$54,3,0)," ")</f>
        <v>4599</v>
      </c>
      <c r="W157" s="160">
        <f>IFERROR(VLOOKUP(N157,TD!$B$50:$F$54,4,0)," ")</f>
        <v>20240207</v>
      </c>
      <c r="X157" s="159" t="s">
        <v>174</v>
      </c>
      <c r="Y157" s="160" t="str">
        <f>IFERROR(VLOOKUP(X157,TD!$J$51:$K$64,2,0)," ")</f>
        <v>Infraestructura física, mantenimiento y dotación (Sedes construidas, mantenidas reforzadas)</v>
      </c>
      <c r="Z157" s="161" t="str">
        <f>CONCATENATE(X157,"-",Y157)</f>
        <v>08-Infraestructura física, mantenimiento y dotación (Sedes construidas, mantenidas reforzadas)</v>
      </c>
      <c r="AA157" s="159" t="s">
        <v>227</v>
      </c>
      <c r="AB157" s="160" t="str">
        <f>IFERROR(VLOOKUP(AA157,TD!$N$51:$O$66,2,0)," ")</f>
        <v>Sedes mantenidas</v>
      </c>
      <c r="AC157" s="161" t="str">
        <f>CONCATENATE(AA157,"_",AB157)</f>
        <v>016_Sedes mantenidas</v>
      </c>
      <c r="AD157" s="161" t="str">
        <f>CONCATENATE(Z157," ",AC157)</f>
        <v>08-Infraestructura física, mantenimiento y dotación (Sedes construidas, mantenidas reforzadas) 016_Sedes mantenidas</v>
      </c>
      <c r="AE157" s="160" t="str">
        <f>CONCATENATE(U157,V157,W157,X157,AA157)</f>
        <v>O23011745992024020708016</v>
      </c>
      <c r="AF157" s="160" t="str">
        <f>IFERROR(VLOOKUP(AD157,TD!$J$66:$K$89,2,0)," ")</f>
        <v>PM/0131/0108/45990160207</v>
      </c>
      <c r="AG157" s="118" t="s">
        <v>385</v>
      </c>
      <c r="AH157" s="159" t="s">
        <v>193</v>
      </c>
      <c r="AI157" s="162" t="str">
        <f>CONCATENATE(PAA[[#This Row],[Id Interno]],"-",PAA[[#This Row],[tipo de Contrato (TH talento humano - B/S bienes y/o servicios)]],"-",S157,"-",T157,"-",PAA[[#This Row],[Objeto de la contratación]])</f>
        <v>20260115-TH-8126-9-Prestar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58" spans="2:35" ht="84" x14ac:dyDescent="0.35">
      <c r="B158" s="23">
        <v>20260116</v>
      </c>
      <c r="C158" s="99" t="s">
        <v>410</v>
      </c>
      <c r="D158" s="23" t="s">
        <v>105</v>
      </c>
      <c r="E158" s="23" t="s">
        <v>363</v>
      </c>
      <c r="F158" s="156" t="s">
        <v>145</v>
      </c>
      <c r="G158" s="157" t="s">
        <v>374</v>
      </c>
      <c r="H158" s="158">
        <v>8</v>
      </c>
      <c r="I158" s="158">
        <v>0</v>
      </c>
      <c r="J158" s="127">
        <v>46400000</v>
      </c>
      <c r="K158" s="88" t="s">
        <v>398</v>
      </c>
      <c r="L158" s="156" t="s">
        <v>153</v>
      </c>
      <c r="M158" s="159" t="s">
        <v>420</v>
      </c>
      <c r="N158" s="23" t="s">
        <v>197</v>
      </c>
      <c r="O158" s="151" t="s">
        <v>963</v>
      </c>
      <c r="P158" s="156" t="s">
        <v>348</v>
      </c>
      <c r="Q158" s="53">
        <v>80111600</v>
      </c>
      <c r="R158" s="159" t="s">
        <v>208</v>
      </c>
      <c r="S158" s="159" t="str">
        <f>MID(PAA[[#This Row],[Meta Proyecto de Inversión]],1,4)</f>
        <v>8126</v>
      </c>
      <c r="T158" s="159" t="str">
        <f>MID(PAA[[#This Row],[Meta Proyecto de Inversión]],6,1)</f>
        <v>9</v>
      </c>
      <c r="U158" s="160" t="str">
        <f>IFERROR(VLOOKUP(N158,TD!$B$50:$F$54,2,0)," ")</f>
        <v>O230117</v>
      </c>
      <c r="V158" s="160" t="str">
        <f>IFERROR(VLOOKUP(N158,TD!$B$50:$F$54,3,0)," ")</f>
        <v>4599</v>
      </c>
      <c r="W158" s="160">
        <f>IFERROR(VLOOKUP(N158,TD!$B$50:$F$54,4,0)," ")</f>
        <v>20240207</v>
      </c>
      <c r="X158" s="159" t="s">
        <v>174</v>
      </c>
      <c r="Y158" s="160" t="str">
        <f>IFERROR(VLOOKUP(X158,TD!$J$51:$K$64,2,0)," ")</f>
        <v>Infraestructura física, mantenimiento y dotación (Sedes construidas, mantenidas reforzadas)</v>
      </c>
      <c r="Z158" s="161" t="str">
        <f>CONCATENATE(X158,"-",Y158)</f>
        <v>08-Infraestructura física, mantenimiento y dotación (Sedes construidas, mantenidas reforzadas)</v>
      </c>
      <c r="AA158" s="159" t="s">
        <v>227</v>
      </c>
      <c r="AB158" s="160" t="str">
        <f>IFERROR(VLOOKUP(AA158,TD!$N$51:$O$66,2,0)," ")</f>
        <v>Sedes mantenidas</v>
      </c>
      <c r="AC158" s="161" t="str">
        <f>CONCATENATE(AA158,"_",AB158)</f>
        <v>016_Sedes mantenidas</v>
      </c>
      <c r="AD158" s="161" t="str">
        <f>CONCATENATE(Z158," ",AC158)</f>
        <v>08-Infraestructura física, mantenimiento y dotación (Sedes construidas, mantenidas reforzadas) 016_Sedes mantenidas</v>
      </c>
      <c r="AE158" s="160" t="str">
        <f>CONCATENATE(U158,V158,W158,X158,AA158)</f>
        <v>O23011745992024020708016</v>
      </c>
      <c r="AF158" s="160" t="str">
        <f>IFERROR(VLOOKUP(AD158,TD!$J$66:$K$89,2,0)," ")</f>
        <v>PM/0131/0108/45990160207</v>
      </c>
      <c r="AG158" s="118" t="s">
        <v>385</v>
      </c>
      <c r="AH158" s="159" t="s">
        <v>193</v>
      </c>
      <c r="AI158" s="162" t="str">
        <f>CONCATENATE(PAA[[#This Row],[Id Interno]],"-",PAA[[#This Row],[tipo de Contrato (TH talento humano - B/S bienes y/o servicios)]],"-",S158,"-",T158,"-",PAA[[#This Row],[Objeto de la contratación]])</f>
        <v>20260116-TH-8126-9-Prestar los servicios profesionales para apoyar las actividades propias de la gestión contractual a cargo de la Oficina Jurídica, en función de las necesidades identificadas por la entidad y con el propósito de garantizar el cumplimiento de su misionalidad.</v>
      </c>
    </row>
    <row r="159" spans="2:35" ht="98" x14ac:dyDescent="0.35">
      <c r="B159" s="23">
        <v>20260117</v>
      </c>
      <c r="C159" s="99" t="s">
        <v>411</v>
      </c>
      <c r="D159" s="23" t="s">
        <v>105</v>
      </c>
      <c r="E159" s="23" t="s">
        <v>363</v>
      </c>
      <c r="F159" s="156" t="s">
        <v>144</v>
      </c>
      <c r="G159" s="157" t="s">
        <v>374</v>
      </c>
      <c r="H159" s="158">
        <v>8</v>
      </c>
      <c r="I159" s="158">
        <v>0</v>
      </c>
      <c r="J159" s="127">
        <v>72000000</v>
      </c>
      <c r="K159" s="88" t="s">
        <v>398</v>
      </c>
      <c r="L159" s="156" t="s">
        <v>153</v>
      </c>
      <c r="M159" s="159" t="s">
        <v>420</v>
      </c>
      <c r="N159" s="23" t="s">
        <v>197</v>
      </c>
      <c r="O159" s="151" t="s">
        <v>963</v>
      </c>
      <c r="P159" s="156" t="s">
        <v>348</v>
      </c>
      <c r="Q159" s="53">
        <v>80111600</v>
      </c>
      <c r="R159" s="159" t="s">
        <v>208</v>
      </c>
      <c r="S159" s="159" t="str">
        <f>MID(PAA[[#This Row],[Meta Proyecto de Inversión]],1,4)</f>
        <v>8126</v>
      </c>
      <c r="T159" s="159" t="str">
        <f>MID(PAA[[#This Row],[Meta Proyecto de Inversión]],6,1)</f>
        <v>9</v>
      </c>
      <c r="U159" s="160" t="str">
        <f>IFERROR(VLOOKUP(N159,TD!$B$50:$F$54,2,0)," ")</f>
        <v>O230117</v>
      </c>
      <c r="V159" s="160" t="str">
        <f>IFERROR(VLOOKUP(N159,TD!$B$50:$F$54,3,0)," ")</f>
        <v>4599</v>
      </c>
      <c r="W159" s="160">
        <f>IFERROR(VLOOKUP(N159,TD!$B$50:$F$54,4,0)," ")</f>
        <v>20240207</v>
      </c>
      <c r="X159" s="159" t="s">
        <v>174</v>
      </c>
      <c r="Y159" s="160" t="str">
        <f>IFERROR(VLOOKUP(X159,TD!$J$51:$K$64,2,0)," ")</f>
        <v>Infraestructura física, mantenimiento y dotación (Sedes construidas, mantenidas reforzadas)</v>
      </c>
      <c r="Z159" s="161" t="str">
        <f>CONCATENATE(X159,"-",Y159)</f>
        <v>08-Infraestructura física, mantenimiento y dotación (Sedes construidas, mantenidas reforzadas)</v>
      </c>
      <c r="AA159" s="159" t="s">
        <v>227</v>
      </c>
      <c r="AB159" s="160" t="str">
        <f>IFERROR(VLOOKUP(AA159,TD!$N$51:$O$66,2,0)," ")</f>
        <v>Sedes mantenidas</v>
      </c>
      <c r="AC159" s="161" t="str">
        <f>CONCATENATE(AA159,"_",AB159)</f>
        <v>016_Sedes mantenidas</v>
      </c>
      <c r="AD159" s="161" t="str">
        <f>CONCATENATE(Z159," ",AC159)</f>
        <v>08-Infraestructura física, mantenimiento y dotación (Sedes construidas, mantenidas reforzadas) 016_Sedes mantenidas</v>
      </c>
      <c r="AE159" s="160" t="str">
        <f>CONCATENATE(U159,V159,W159,X159,AA159)</f>
        <v>O23011745992024020708016</v>
      </c>
      <c r="AF159" s="160" t="str">
        <f>IFERROR(VLOOKUP(AD159,TD!$J$66:$K$89,2,0)," ")</f>
        <v>PM/0131/0108/45990160207</v>
      </c>
      <c r="AG159" s="118" t="s">
        <v>385</v>
      </c>
      <c r="AH159" s="159" t="s">
        <v>193</v>
      </c>
      <c r="AI159" s="162" t="str">
        <f>CONCATENATE(PAA[[#This Row],[Id Interno]],"-",PAA[[#This Row],[tipo de Contrato (TH talento humano - B/S bienes y/o servicios)]],"-",S159,"-",T159,"-",PAA[[#This Row],[Objeto de la contratación]])</f>
        <v>20260117-TH-8126-9-Prestar los servicios profesionales para realizar el acompañamiento administrativo y financiero en temas de liquidación y cierre de expedientes, como demás actuaciones administrativas requeridas de los procesos contractuales</v>
      </c>
    </row>
    <row r="160" spans="2:35" ht="98" x14ac:dyDescent="0.35">
      <c r="B160" s="23">
        <v>20260118</v>
      </c>
      <c r="C160" s="99" t="s">
        <v>412</v>
      </c>
      <c r="D160" s="23" t="s">
        <v>105</v>
      </c>
      <c r="E160" s="23" t="s">
        <v>363</v>
      </c>
      <c r="F160" s="156" t="s">
        <v>144</v>
      </c>
      <c r="G160" s="157" t="s">
        <v>374</v>
      </c>
      <c r="H160" s="158">
        <v>11</v>
      </c>
      <c r="I160" s="158">
        <v>0</v>
      </c>
      <c r="J160" s="127">
        <v>374000000</v>
      </c>
      <c r="K160" s="88" t="s">
        <v>398</v>
      </c>
      <c r="L160" s="156" t="s">
        <v>153</v>
      </c>
      <c r="M160" s="159" t="s">
        <v>420</v>
      </c>
      <c r="N160" s="23" t="s">
        <v>197</v>
      </c>
      <c r="O160" s="151" t="s">
        <v>963</v>
      </c>
      <c r="P160" s="156" t="s">
        <v>348</v>
      </c>
      <c r="Q160" s="53">
        <v>80111600</v>
      </c>
      <c r="R160" s="159" t="s">
        <v>208</v>
      </c>
      <c r="S160" s="159" t="str">
        <f>MID(PAA[[#This Row],[Meta Proyecto de Inversión]],1,4)</f>
        <v>8126</v>
      </c>
      <c r="T160" s="159" t="str">
        <f>MID(PAA[[#This Row],[Meta Proyecto de Inversión]],6,1)</f>
        <v>9</v>
      </c>
      <c r="U160" s="160" t="str">
        <f>IFERROR(VLOOKUP(N160,TD!$B$50:$F$54,2,0)," ")</f>
        <v>O230117</v>
      </c>
      <c r="V160" s="160" t="str">
        <f>IFERROR(VLOOKUP(N160,TD!$B$50:$F$54,3,0)," ")</f>
        <v>4599</v>
      </c>
      <c r="W160" s="160">
        <f>IFERROR(VLOOKUP(N160,TD!$B$50:$F$54,4,0)," ")</f>
        <v>20240207</v>
      </c>
      <c r="X160" s="159" t="s">
        <v>174</v>
      </c>
      <c r="Y160" s="160" t="str">
        <f>IFERROR(VLOOKUP(X160,TD!$J$51:$K$64,2,0)," ")</f>
        <v>Infraestructura física, mantenimiento y dotación (Sedes construidas, mantenidas reforzadas)</v>
      </c>
      <c r="Z160" s="161" t="str">
        <f>CONCATENATE(X160,"-",Y160)</f>
        <v>08-Infraestructura física, mantenimiento y dotación (Sedes construidas, mantenidas reforzadas)</v>
      </c>
      <c r="AA160" s="159" t="s">
        <v>227</v>
      </c>
      <c r="AB160" s="160" t="str">
        <f>IFERROR(VLOOKUP(AA160,TD!$N$51:$O$66,2,0)," ")</f>
        <v>Sedes mantenidas</v>
      </c>
      <c r="AC160" s="161" t="str">
        <f>CONCATENATE(AA160,"_",AB160)</f>
        <v>016_Sedes mantenidas</v>
      </c>
      <c r="AD160" s="161" t="str">
        <f>CONCATENATE(Z160," ",AC160)</f>
        <v>08-Infraestructura física, mantenimiento y dotación (Sedes construidas, mantenidas reforzadas) 016_Sedes mantenidas</v>
      </c>
      <c r="AE160" s="160" t="str">
        <f>CONCATENATE(U160,V160,W160,X160,AA160)</f>
        <v>O23011745992024020708016</v>
      </c>
      <c r="AF160" s="160" t="str">
        <f>IFERROR(VLOOKUP(AD160,TD!$J$66:$K$89,2,0)," ")</f>
        <v>PM/0131/0108/45990160207</v>
      </c>
      <c r="AG160" s="118" t="s">
        <v>385</v>
      </c>
      <c r="AH160" s="159" t="s">
        <v>193</v>
      </c>
      <c r="AI160" s="162" t="str">
        <f>CONCATENATE(PAA[[#This Row],[Id Interno]],"-",PAA[[#This Row],[tipo de Contrato (TH talento humano - B/S bienes y/o servicios)]],"-",S160,"-",T160,"-",PAA[[#This Row],[Objeto de la contratación]])</f>
        <v>20260118-TH-8126-9-Prestar los servicios profesionales especializados para la representación judicial  de la Entidad y la prevención del daño antijurídico.</v>
      </c>
    </row>
    <row r="161" spans="2:35" ht="98" x14ac:dyDescent="0.35">
      <c r="B161" s="23">
        <v>20260119</v>
      </c>
      <c r="C161" s="99" t="s">
        <v>413</v>
      </c>
      <c r="D161" s="23" t="s">
        <v>105</v>
      </c>
      <c r="E161" s="23" t="s">
        <v>363</v>
      </c>
      <c r="F161" s="156" t="s">
        <v>145</v>
      </c>
      <c r="G161" s="157" t="s">
        <v>374</v>
      </c>
      <c r="H161" s="158">
        <v>8</v>
      </c>
      <c r="I161" s="158">
        <v>0</v>
      </c>
      <c r="J161" s="127">
        <v>28800000</v>
      </c>
      <c r="K161" s="88" t="s">
        <v>398</v>
      </c>
      <c r="L161" s="156" t="s">
        <v>153</v>
      </c>
      <c r="M161" s="159" t="s">
        <v>420</v>
      </c>
      <c r="N161" s="23" t="s">
        <v>197</v>
      </c>
      <c r="O161" s="151" t="s">
        <v>963</v>
      </c>
      <c r="P161" s="156" t="s">
        <v>348</v>
      </c>
      <c r="Q161" s="53">
        <v>80111600</v>
      </c>
      <c r="R161" s="159" t="s">
        <v>208</v>
      </c>
      <c r="S161" s="159" t="str">
        <f>MID(PAA[[#This Row],[Meta Proyecto de Inversión]],1,4)</f>
        <v>8126</v>
      </c>
      <c r="T161" s="159" t="str">
        <f>MID(PAA[[#This Row],[Meta Proyecto de Inversión]],6,1)</f>
        <v>9</v>
      </c>
      <c r="U161" s="160" t="str">
        <f>IFERROR(VLOOKUP(N161,TD!$B$50:$F$54,2,0)," ")</f>
        <v>O230117</v>
      </c>
      <c r="V161" s="160" t="str">
        <f>IFERROR(VLOOKUP(N161,TD!$B$50:$F$54,3,0)," ")</f>
        <v>4599</v>
      </c>
      <c r="W161" s="160">
        <f>IFERROR(VLOOKUP(N161,TD!$B$50:$F$54,4,0)," ")</f>
        <v>20240207</v>
      </c>
      <c r="X161" s="159" t="s">
        <v>174</v>
      </c>
      <c r="Y161" s="160" t="str">
        <f>IFERROR(VLOOKUP(X161,TD!$J$51:$K$64,2,0)," ")</f>
        <v>Infraestructura física, mantenimiento y dotación (Sedes construidas, mantenidas reforzadas)</v>
      </c>
      <c r="Z161" s="161" t="str">
        <f>CONCATENATE(X161,"-",Y161)</f>
        <v>08-Infraestructura física, mantenimiento y dotación (Sedes construidas, mantenidas reforzadas)</v>
      </c>
      <c r="AA161" s="159" t="s">
        <v>227</v>
      </c>
      <c r="AB161" s="160" t="str">
        <f>IFERROR(VLOOKUP(AA161,TD!$N$51:$O$66,2,0)," ")</f>
        <v>Sedes mantenidas</v>
      </c>
      <c r="AC161" s="161" t="str">
        <f>CONCATENATE(AA161,"_",AB161)</f>
        <v>016_Sedes mantenidas</v>
      </c>
      <c r="AD161" s="161" t="str">
        <f>CONCATENATE(Z161," ",AC161)</f>
        <v>08-Infraestructura física, mantenimiento y dotación (Sedes construidas, mantenidas reforzadas) 016_Sedes mantenidas</v>
      </c>
      <c r="AE161" s="160" t="str">
        <f>CONCATENATE(U161,V161,W161,X161,AA161)</f>
        <v>O23011745992024020708016</v>
      </c>
      <c r="AF161" s="160" t="str">
        <f>IFERROR(VLOOKUP(AD161,TD!$J$66:$K$89,2,0)," ")</f>
        <v>PM/0131/0108/45990160207</v>
      </c>
      <c r="AG161" s="118" t="s">
        <v>385</v>
      </c>
      <c r="AH161" s="159" t="s">
        <v>193</v>
      </c>
      <c r="AI161" s="162" t="str">
        <f>CONCATENATE(PAA[[#This Row],[Id Interno]],"-",PAA[[#This Row],[tipo de Contrato (TH talento humano - B/S bienes y/o servicios)]],"-",S161,"-",T161,"-",PAA[[#This Row],[Objeto de la contratación]])</f>
        <v>20260119-TH-8126-9-Prestar los servicios de apoyo para las gestiones administrativas requeridas en la Oficina Jurídica.</v>
      </c>
    </row>
    <row r="162" spans="2:35" ht="98" x14ac:dyDescent="0.35">
      <c r="B162" s="23">
        <v>20260120</v>
      </c>
      <c r="C162" s="99" t="s">
        <v>414</v>
      </c>
      <c r="D162" s="23" t="s">
        <v>105</v>
      </c>
      <c r="E162" s="23" t="s">
        <v>363</v>
      </c>
      <c r="F162" s="156" t="s">
        <v>145</v>
      </c>
      <c r="G162" s="157" t="s">
        <v>374</v>
      </c>
      <c r="H162" s="158">
        <v>8</v>
      </c>
      <c r="I162" s="158">
        <v>0</v>
      </c>
      <c r="J162" s="127">
        <v>28800000</v>
      </c>
      <c r="K162" s="88" t="s">
        <v>398</v>
      </c>
      <c r="L162" s="156" t="s">
        <v>153</v>
      </c>
      <c r="M162" s="159" t="s">
        <v>420</v>
      </c>
      <c r="N162" s="23" t="s">
        <v>197</v>
      </c>
      <c r="O162" s="151" t="s">
        <v>963</v>
      </c>
      <c r="P162" s="156" t="s">
        <v>348</v>
      </c>
      <c r="Q162" s="53">
        <v>80111600</v>
      </c>
      <c r="R162" s="159" t="s">
        <v>208</v>
      </c>
      <c r="S162" s="159" t="str">
        <f>MID(PAA[[#This Row],[Meta Proyecto de Inversión]],1,4)</f>
        <v>8126</v>
      </c>
      <c r="T162" s="159" t="str">
        <f>MID(PAA[[#This Row],[Meta Proyecto de Inversión]],6,1)</f>
        <v>9</v>
      </c>
      <c r="U162" s="160" t="str">
        <f>IFERROR(VLOOKUP(N162,TD!$B$50:$F$54,2,0)," ")</f>
        <v>O230117</v>
      </c>
      <c r="V162" s="160" t="str">
        <f>IFERROR(VLOOKUP(N162,TD!$B$50:$F$54,3,0)," ")</f>
        <v>4599</v>
      </c>
      <c r="W162" s="160">
        <f>IFERROR(VLOOKUP(N162,TD!$B$50:$F$54,4,0)," ")</f>
        <v>20240207</v>
      </c>
      <c r="X162" s="159" t="s">
        <v>174</v>
      </c>
      <c r="Y162" s="160" t="str">
        <f>IFERROR(VLOOKUP(X162,TD!$J$51:$K$64,2,0)," ")</f>
        <v>Infraestructura física, mantenimiento y dotación (Sedes construidas, mantenidas reforzadas)</v>
      </c>
      <c r="Z162" s="161" t="str">
        <f>CONCATENATE(X162,"-",Y162)</f>
        <v>08-Infraestructura física, mantenimiento y dotación (Sedes construidas, mantenidas reforzadas)</v>
      </c>
      <c r="AA162" s="159" t="s">
        <v>227</v>
      </c>
      <c r="AB162" s="160" t="str">
        <f>IFERROR(VLOOKUP(AA162,TD!$N$51:$O$66,2,0)," ")</f>
        <v>Sedes mantenidas</v>
      </c>
      <c r="AC162" s="161" t="str">
        <f>CONCATENATE(AA162,"_",AB162)</f>
        <v>016_Sedes mantenidas</v>
      </c>
      <c r="AD162" s="161" t="str">
        <f>CONCATENATE(Z162," ",AC162)</f>
        <v>08-Infraestructura física, mantenimiento y dotación (Sedes construidas, mantenidas reforzadas) 016_Sedes mantenidas</v>
      </c>
      <c r="AE162" s="160" t="str">
        <f>CONCATENATE(U162,V162,W162,X162,AA162)</f>
        <v>O23011745992024020708016</v>
      </c>
      <c r="AF162" s="160" t="str">
        <f>IFERROR(VLOOKUP(AD162,TD!$J$66:$K$89,2,0)," ")</f>
        <v>PM/0131/0108/45990160207</v>
      </c>
      <c r="AG162" s="118" t="s">
        <v>385</v>
      </c>
      <c r="AH162" s="159" t="s">
        <v>193</v>
      </c>
      <c r="AI162" s="162" t="str">
        <f>CONCATENATE(PAA[[#This Row],[Id Interno]],"-",PAA[[#This Row],[tipo de Contrato (TH talento humano - B/S bienes y/o servicios)]],"-",S162,"-",T162,"-",PAA[[#This Row],[Objeto de la contratación]])</f>
        <v>20260120-TH-8126-9-Prestar los servicios de apoyo para las gestiones documentales y administrativas requerida por la Oficina  Jurídica.</v>
      </c>
    </row>
    <row r="163" spans="2:35" ht="98" x14ac:dyDescent="0.35">
      <c r="B163" s="23">
        <v>20260121</v>
      </c>
      <c r="C163" s="99" t="s">
        <v>414</v>
      </c>
      <c r="D163" s="23" t="s">
        <v>105</v>
      </c>
      <c r="E163" s="23" t="s">
        <v>363</v>
      </c>
      <c r="F163" s="156" t="s">
        <v>145</v>
      </c>
      <c r="G163" s="157" t="s">
        <v>374</v>
      </c>
      <c r="H163" s="158">
        <v>8</v>
      </c>
      <c r="I163" s="158">
        <v>0</v>
      </c>
      <c r="J163" s="127">
        <v>28800000</v>
      </c>
      <c r="K163" s="88" t="s">
        <v>398</v>
      </c>
      <c r="L163" s="156" t="s">
        <v>153</v>
      </c>
      <c r="M163" s="159" t="s">
        <v>420</v>
      </c>
      <c r="N163" s="23" t="s">
        <v>197</v>
      </c>
      <c r="O163" s="151" t="s">
        <v>963</v>
      </c>
      <c r="P163" s="156" t="s">
        <v>348</v>
      </c>
      <c r="Q163" s="53">
        <v>80111600</v>
      </c>
      <c r="R163" s="159" t="s">
        <v>208</v>
      </c>
      <c r="S163" s="159" t="str">
        <f>MID(PAA[[#This Row],[Meta Proyecto de Inversión]],1,4)</f>
        <v>8126</v>
      </c>
      <c r="T163" s="159" t="str">
        <f>MID(PAA[[#This Row],[Meta Proyecto de Inversión]],6,1)</f>
        <v>9</v>
      </c>
      <c r="U163" s="160" t="str">
        <f>IFERROR(VLOOKUP(N163,TD!$B$50:$F$54,2,0)," ")</f>
        <v>O230117</v>
      </c>
      <c r="V163" s="160" t="str">
        <f>IFERROR(VLOOKUP(N163,TD!$B$50:$F$54,3,0)," ")</f>
        <v>4599</v>
      </c>
      <c r="W163" s="160">
        <f>IFERROR(VLOOKUP(N163,TD!$B$50:$F$54,4,0)," ")</f>
        <v>20240207</v>
      </c>
      <c r="X163" s="159" t="s">
        <v>174</v>
      </c>
      <c r="Y163" s="160" t="str">
        <f>IFERROR(VLOOKUP(X163,TD!$J$51:$K$64,2,0)," ")</f>
        <v>Infraestructura física, mantenimiento y dotación (Sedes construidas, mantenidas reforzadas)</v>
      </c>
      <c r="Z163" s="161" t="str">
        <f>CONCATENATE(X163,"-",Y163)</f>
        <v>08-Infraestructura física, mantenimiento y dotación (Sedes construidas, mantenidas reforzadas)</v>
      </c>
      <c r="AA163" s="159" t="s">
        <v>227</v>
      </c>
      <c r="AB163" s="160" t="str">
        <f>IFERROR(VLOOKUP(AA163,TD!$N$51:$O$66,2,0)," ")</f>
        <v>Sedes mantenidas</v>
      </c>
      <c r="AC163" s="161" t="str">
        <f>CONCATENATE(AA163,"_",AB163)</f>
        <v>016_Sedes mantenidas</v>
      </c>
      <c r="AD163" s="161" t="str">
        <f>CONCATENATE(Z163," ",AC163)</f>
        <v>08-Infraestructura física, mantenimiento y dotación (Sedes construidas, mantenidas reforzadas) 016_Sedes mantenidas</v>
      </c>
      <c r="AE163" s="160" t="str">
        <f>CONCATENATE(U163,V163,W163,X163,AA163)</f>
        <v>O23011745992024020708016</v>
      </c>
      <c r="AF163" s="160" t="str">
        <f>IFERROR(VLOOKUP(AD163,TD!$J$66:$K$89,2,0)," ")</f>
        <v>PM/0131/0108/45990160207</v>
      </c>
      <c r="AG163" s="118" t="s">
        <v>385</v>
      </c>
      <c r="AH163" s="159" t="s">
        <v>193</v>
      </c>
      <c r="AI163" s="162" t="str">
        <f>CONCATENATE(PAA[[#This Row],[Id Interno]],"-",PAA[[#This Row],[tipo de Contrato (TH talento humano - B/S bienes y/o servicios)]],"-",S163,"-",T163,"-",PAA[[#This Row],[Objeto de la contratación]])</f>
        <v>20260121-TH-8126-9-Prestar los servicios de apoyo para las gestiones documentales y administrativas requerida por la Oficina  Jurídica.</v>
      </c>
    </row>
    <row r="164" spans="2:35" ht="112" x14ac:dyDescent="0.35">
      <c r="B164" s="23">
        <v>20260122</v>
      </c>
      <c r="C164" s="99" t="s">
        <v>415</v>
      </c>
      <c r="D164" s="23" t="s">
        <v>105</v>
      </c>
      <c r="E164" s="23" t="s">
        <v>363</v>
      </c>
      <c r="F164" s="156" t="s">
        <v>144</v>
      </c>
      <c r="G164" s="157" t="s">
        <v>374</v>
      </c>
      <c r="H164" s="158">
        <v>8</v>
      </c>
      <c r="I164" s="158">
        <v>0</v>
      </c>
      <c r="J164" s="127">
        <v>64000000</v>
      </c>
      <c r="K164" s="88" t="s">
        <v>398</v>
      </c>
      <c r="L164" s="156" t="s">
        <v>153</v>
      </c>
      <c r="M164" s="159" t="s">
        <v>420</v>
      </c>
      <c r="N164" s="23" t="s">
        <v>197</v>
      </c>
      <c r="O164" s="151" t="s">
        <v>963</v>
      </c>
      <c r="P164" s="156" t="s">
        <v>348</v>
      </c>
      <c r="Q164" s="53">
        <v>80111600</v>
      </c>
      <c r="R164" s="159" t="s">
        <v>208</v>
      </c>
      <c r="S164" s="159" t="str">
        <f>MID(PAA[[#This Row],[Meta Proyecto de Inversión]],1,4)</f>
        <v>8126</v>
      </c>
      <c r="T164" s="159" t="str">
        <f>MID(PAA[[#This Row],[Meta Proyecto de Inversión]],6,1)</f>
        <v>9</v>
      </c>
      <c r="U164" s="160" t="str">
        <f>IFERROR(VLOOKUP(N164,TD!$B$50:$F$54,2,0)," ")</f>
        <v>O230117</v>
      </c>
      <c r="V164" s="160" t="str">
        <f>IFERROR(VLOOKUP(N164,TD!$B$50:$F$54,3,0)," ")</f>
        <v>4599</v>
      </c>
      <c r="W164" s="160">
        <f>IFERROR(VLOOKUP(N164,TD!$B$50:$F$54,4,0)," ")</f>
        <v>20240207</v>
      </c>
      <c r="X164" s="159" t="s">
        <v>174</v>
      </c>
      <c r="Y164" s="160" t="str">
        <f>IFERROR(VLOOKUP(X164,TD!$J$51:$K$64,2,0)," ")</f>
        <v>Infraestructura física, mantenimiento y dotación (Sedes construidas, mantenidas reforzadas)</v>
      </c>
      <c r="Z164" s="161" t="str">
        <f>CONCATENATE(X164,"-",Y164)</f>
        <v>08-Infraestructura física, mantenimiento y dotación (Sedes construidas, mantenidas reforzadas)</v>
      </c>
      <c r="AA164" s="159" t="s">
        <v>227</v>
      </c>
      <c r="AB164" s="160" t="str">
        <f>IFERROR(VLOOKUP(AA164,TD!$N$51:$O$66,2,0)," ")</f>
        <v>Sedes mantenidas</v>
      </c>
      <c r="AC164" s="161" t="str">
        <f>CONCATENATE(AA164,"_",AB164)</f>
        <v>016_Sedes mantenidas</v>
      </c>
      <c r="AD164" s="161" t="str">
        <f>CONCATENATE(Z164," ",AC164)</f>
        <v>08-Infraestructura física, mantenimiento y dotación (Sedes construidas, mantenidas reforzadas) 016_Sedes mantenidas</v>
      </c>
      <c r="AE164" s="160" t="str">
        <f>CONCATENATE(U164,V164,W164,X164,AA164)</f>
        <v>O23011745992024020708016</v>
      </c>
      <c r="AF164" s="160" t="str">
        <f>IFERROR(VLOOKUP(AD164,TD!$J$66:$K$89,2,0)," ")</f>
        <v>PM/0131/0108/45990160207</v>
      </c>
      <c r="AG164" s="118" t="s">
        <v>385</v>
      </c>
      <c r="AH164" s="159" t="s">
        <v>193</v>
      </c>
      <c r="AI164" s="162" t="str">
        <f>CONCATENATE(PAA[[#This Row],[Id Interno]],"-",PAA[[#This Row],[tipo de Contrato (TH talento humano - B/S bienes y/o servicios)]],"-",S164,"-",T164,"-",PAA[[#This Row],[Objeto de la contratación]])</f>
        <v>20260122-TH-8126-9-Prestar los servicios profesionales para apoyar la gestión de la información y presupuestal y elaborar los informes reglamentarios que la Oficina Jurídica debe presentar a los entes de control, respuestas a la ciudadanía y otros informes que den cuanta de su gestión.</v>
      </c>
    </row>
    <row r="165" spans="2:35" ht="98" x14ac:dyDescent="0.35">
      <c r="B165" s="23">
        <v>20260123</v>
      </c>
      <c r="C165" s="99" t="s">
        <v>416</v>
      </c>
      <c r="D165" s="23" t="s">
        <v>105</v>
      </c>
      <c r="E165" s="23" t="s">
        <v>363</v>
      </c>
      <c r="F165" s="156" t="s">
        <v>144</v>
      </c>
      <c r="G165" s="157" t="s">
        <v>374</v>
      </c>
      <c r="H165" s="158">
        <v>8</v>
      </c>
      <c r="I165" s="158">
        <v>0</v>
      </c>
      <c r="J165" s="127">
        <v>46100000</v>
      </c>
      <c r="K165" s="88" t="s">
        <v>398</v>
      </c>
      <c r="L165" s="156" t="s">
        <v>153</v>
      </c>
      <c r="M165" s="159" t="s">
        <v>420</v>
      </c>
      <c r="N165" s="23" t="s">
        <v>197</v>
      </c>
      <c r="O165" s="151" t="s">
        <v>963</v>
      </c>
      <c r="P165" s="156" t="s">
        <v>348</v>
      </c>
      <c r="Q165" s="53">
        <v>80111600</v>
      </c>
      <c r="R165" s="159" t="s">
        <v>208</v>
      </c>
      <c r="S165" s="159" t="str">
        <f>MID(PAA[[#This Row],[Meta Proyecto de Inversión]],1,4)</f>
        <v>8126</v>
      </c>
      <c r="T165" s="159" t="str">
        <f>MID(PAA[[#This Row],[Meta Proyecto de Inversión]],6,1)</f>
        <v>9</v>
      </c>
      <c r="U165" s="160" t="str">
        <f>IFERROR(VLOOKUP(N165,TD!$B$50:$F$54,2,0)," ")</f>
        <v>O230117</v>
      </c>
      <c r="V165" s="160" t="str">
        <f>IFERROR(VLOOKUP(N165,TD!$B$50:$F$54,3,0)," ")</f>
        <v>4599</v>
      </c>
      <c r="W165" s="160">
        <f>IFERROR(VLOOKUP(N165,TD!$B$50:$F$54,4,0)," ")</f>
        <v>20240207</v>
      </c>
      <c r="X165" s="159" t="s">
        <v>174</v>
      </c>
      <c r="Y165" s="160" t="str">
        <f>IFERROR(VLOOKUP(X165,TD!$J$51:$K$64,2,0)," ")</f>
        <v>Infraestructura física, mantenimiento y dotación (Sedes construidas, mantenidas reforzadas)</v>
      </c>
      <c r="Z165" s="161" t="str">
        <f>CONCATENATE(X165,"-",Y165)</f>
        <v>08-Infraestructura física, mantenimiento y dotación (Sedes construidas, mantenidas reforzadas)</v>
      </c>
      <c r="AA165" s="159" t="s">
        <v>227</v>
      </c>
      <c r="AB165" s="160" t="str">
        <f>IFERROR(VLOOKUP(AA165,TD!$N$51:$O$66,2,0)," ")</f>
        <v>Sedes mantenidas</v>
      </c>
      <c r="AC165" s="161" t="str">
        <f>CONCATENATE(AA165,"_",AB165)</f>
        <v>016_Sedes mantenidas</v>
      </c>
      <c r="AD165" s="161" t="str">
        <f>CONCATENATE(Z165," ",AC165)</f>
        <v>08-Infraestructura física, mantenimiento y dotación (Sedes construidas, mantenidas reforzadas) 016_Sedes mantenidas</v>
      </c>
      <c r="AE165" s="160" t="str">
        <f>CONCATENATE(U165,V165,W165,X165,AA165)</f>
        <v>O23011745992024020708016</v>
      </c>
      <c r="AF165" s="160" t="str">
        <f>IFERROR(VLOOKUP(AD165,TD!$J$66:$K$89,2,0)," ")</f>
        <v>PM/0131/0108/45990160207</v>
      </c>
      <c r="AG165" s="118" t="s">
        <v>385</v>
      </c>
      <c r="AH165" s="159" t="s">
        <v>193</v>
      </c>
      <c r="AI165" s="162" t="str">
        <f>CONCATENATE(PAA[[#This Row],[Id Interno]],"-",PAA[[#This Row],[tipo de Contrato (TH talento humano - B/S bienes y/o servicios)]],"-",S165,"-",T165,"-",PAA[[#This Row],[Objeto de la contratación]])</f>
        <v>20260123-TH-8126-9-Prestar servicios profesionales para realizar la gestión de tramites y actividades que se requieran en los diferentes procesos disciplinarios propios de la etapa de juzgamiento de la Oficina Jurídica en la UAECOB</v>
      </c>
    </row>
    <row r="166" spans="2:35" ht="112" x14ac:dyDescent="0.35">
      <c r="B166" s="23">
        <v>20260124</v>
      </c>
      <c r="C166" s="99" t="s">
        <v>417</v>
      </c>
      <c r="D166" s="23" t="s">
        <v>105</v>
      </c>
      <c r="E166" s="23" t="s">
        <v>363</v>
      </c>
      <c r="F166" s="156" t="s">
        <v>144</v>
      </c>
      <c r="G166" s="157" t="s">
        <v>374</v>
      </c>
      <c r="H166" s="158">
        <v>8</v>
      </c>
      <c r="I166" s="158">
        <v>0</v>
      </c>
      <c r="J166" s="127">
        <v>60000000</v>
      </c>
      <c r="K166" s="88" t="s">
        <v>398</v>
      </c>
      <c r="L166" s="156" t="s">
        <v>153</v>
      </c>
      <c r="M166" s="159" t="s">
        <v>420</v>
      </c>
      <c r="N166" s="23" t="s">
        <v>197</v>
      </c>
      <c r="O166" s="151" t="s">
        <v>963</v>
      </c>
      <c r="P166" s="156" t="s">
        <v>348</v>
      </c>
      <c r="Q166" s="53">
        <v>80111600</v>
      </c>
      <c r="R166" s="159" t="s">
        <v>208</v>
      </c>
      <c r="S166" s="159" t="str">
        <f>MID(PAA[[#This Row],[Meta Proyecto de Inversión]],1,4)</f>
        <v>8126</v>
      </c>
      <c r="T166" s="159" t="str">
        <f>MID(PAA[[#This Row],[Meta Proyecto de Inversión]],6,1)</f>
        <v>9</v>
      </c>
      <c r="U166" s="160" t="str">
        <f>IFERROR(VLOOKUP(N166,TD!$B$50:$F$54,2,0)," ")</f>
        <v>O230117</v>
      </c>
      <c r="V166" s="160" t="str">
        <f>IFERROR(VLOOKUP(N166,TD!$B$50:$F$54,3,0)," ")</f>
        <v>4599</v>
      </c>
      <c r="W166" s="160">
        <f>IFERROR(VLOOKUP(N166,TD!$B$50:$F$54,4,0)," ")</f>
        <v>20240207</v>
      </c>
      <c r="X166" s="159" t="s">
        <v>174</v>
      </c>
      <c r="Y166" s="160" t="str">
        <f>IFERROR(VLOOKUP(X166,TD!$J$51:$K$64,2,0)," ")</f>
        <v>Infraestructura física, mantenimiento y dotación (Sedes construidas, mantenidas reforzadas)</v>
      </c>
      <c r="Z166" s="161" t="str">
        <f>CONCATENATE(X166,"-",Y166)</f>
        <v>08-Infraestructura física, mantenimiento y dotación (Sedes construidas, mantenidas reforzadas)</v>
      </c>
      <c r="AA166" s="159" t="s">
        <v>227</v>
      </c>
      <c r="AB166" s="160" t="str">
        <f>IFERROR(VLOOKUP(AA166,TD!$N$51:$O$66,2,0)," ")</f>
        <v>Sedes mantenidas</v>
      </c>
      <c r="AC166" s="161" t="str">
        <f>CONCATENATE(AA166,"_",AB166)</f>
        <v>016_Sedes mantenidas</v>
      </c>
      <c r="AD166" s="161" t="str">
        <f>CONCATENATE(Z166," ",AC166)</f>
        <v>08-Infraestructura física, mantenimiento y dotación (Sedes construidas, mantenidas reforzadas) 016_Sedes mantenidas</v>
      </c>
      <c r="AE166" s="160" t="str">
        <f>CONCATENATE(U166,V166,W166,X166,AA166)</f>
        <v>O23011745992024020708016</v>
      </c>
      <c r="AF166" s="160" t="str">
        <f>IFERROR(VLOOKUP(AD166,TD!$J$66:$K$89,2,0)," ")</f>
        <v>PM/0131/0108/45990160207</v>
      </c>
      <c r="AG166" s="118" t="s">
        <v>385</v>
      </c>
      <c r="AH166" s="159" t="s">
        <v>193</v>
      </c>
      <c r="AI166" s="162" t="str">
        <f>CONCATENATE(PAA[[#This Row],[Id Interno]],"-",PAA[[#This Row],[tipo de Contrato (TH talento humano - B/S bienes y/o servicios)]],"-",S166,"-",T166,"-",PAA[[#This Row],[Objeto de la contratación]])</f>
        <v>20260124-TH-8126-9-Prestar los servicios profesionales para apoyar la depuración de la cartera de cobro coactivo, así como actividades propias de la defensa judicial de la Entidad y demas actiuaciones relacionadas que requiera la Oficina Jurídica</v>
      </c>
    </row>
    <row r="167" spans="2:35" ht="98" x14ac:dyDescent="0.35">
      <c r="B167" s="23">
        <v>20260125</v>
      </c>
      <c r="C167" s="99" t="s">
        <v>418</v>
      </c>
      <c r="D167" s="23" t="s">
        <v>105</v>
      </c>
      <c r="E167" s="23" t="s">
        <v>363</v>
      </c>
      <c r="F167" s="156" t="s">
        <v>144</v>
      </c>
      <c r="G167" s="157" t="s">
        <v>374</v>
      </c>
      <c r="H167" s="158">
        <v>8</v>
      </c>
      <c r="I167" s="158">
        <v>0</v>
      </c>
      <c r="J167" s="127">
        <v>64000000</v>
      </c>
      <c r="K167" s="88" t="s">
        <v>398</v>
      </c>
      <c r="L167" s="156" t="s">
        <v>153</v>
      </c>
      <c r="M167" s="159" t="s">
        <v>420</v>
      </c>
      <c r="N167" s="23" t="s">
        <v>197</v>
      </c>
      <c r="O167" s="151" t="s">
        <v>963</v>
      </c>
      <c r="P167" s="156" t="s">
        <v>348</v>
      </c>
      <c r="Q167" s="53">
        <v>80111600</v>
      </c>
      <c r="R167" s="159" t="s">
        <v>208</v>
      </c>
      <c r="S167" s="159" t="str">
        <f>MID(PAA[[#This Row],[Meta Proyecto de Inversión]],1,4)</f>
        <v>8126</v>
      </c>
      <c r="T167" s="159" t="str">
        <f>MID(PAA[[#This Row],[Meta Proyecto de Inversión]],6,1)</f>
        <v>9</v>
      </c>
      <c r="U167" s="160" t="str">
        <f>IFERROR(VLOOKUP(N167,TD!$B$50:$F$54,2,0)," ")</f>
        <v>O230117</v>
      </c>
      <c r="V167" s="160" t="str">
        <f>IFERROR(VLOOKUP(N167,TD!$B$50:$F$54,3,0)," ")</f>
        <v>4599</v>
      </c>
      <c r="W167" s="160">
        <f>IFERROR(VLOOKUP(N167,TD!$B$50:$F$54,4,0)," ")</f>
        <v>20240207</v>
      </c>
      <c r="X167" s="159" t="s">
        <v>174</v>
      </c>
      <c r="Y167" s="160" t="str">
        <f>IFERROR(VLOOKUP(X167,TD!$J$51:$K$64,2,0)," ")</f>
        <v>Infraestructura física, mantenimiento y dotación (Sedes construidas, mantenidas reforzadas)</v>
      </c>
      <c r="Z167" s="161" t="str">
        <f>CONCATENATE(X167,"-",Y167)</f>
        <v>08-Infraestructura física, mantenimiento y dotación (Sedes construidas, mantenidas reforzadas)</v>
      </c>
      <c r="AA167" s="159" t="s">
        <v>227</v>
      </c>
      <c r="AB167" s="160" t="str">
        <f>IFERROR(VLOOKUP(AA167,TD!$N$51:$O$66,2,0)," ")</f>
        <v>Sedes mantenidas</v>
      </c>
      <c r="AC167" s="161" t="str">
        <f>CONCATENATE(AA167,"_",AB167)</f>
        <v>016_Sedes mantenidas</v>
      </c>
      <c r="AD167" s="161" t="str">
        <f>CONCATENATE(Z167," ",AC167)</f>
        <v>08-Infraestructura física, mantenimiento y dotación (Sedes construidas, mantenidas reforzadas) 016_Sedes mantenidas</v>
      </c>
      <c r="AE167" s="160" t="str">
        <f>CONCATENATE(U167,V167,W167,X167,AA167)</f>
        <v>O23011745992024020708016</v>
      </c>
      <c r="AF167" s="160" t="str">
        <f>IFERROR(VLOOKUP(AD167,TD!$J$66:$K$89,2,0)," ")</f>
        <v>PM/0131/0108/45990160207</v>
      </c>
      <c r="AG167" s="118" t="s">
        <v>385</v>
      </c>
      <c r="AH167" s="159" t="s">
        <v>193</v>
      </c>
      <c r="AI167" s="162" t="str">
        <f>CONCATENATE(PAA[[#This Row],[Id Interno]],"-",PAA[[#This Row],[tipo de Contrato (TH talento humano - B/S bienes y/o servicios)]],"-",S167,"-",T167,"-",PAA[[#This Row],[Objeto de la contratación]])</f>
        <v>20260125-TH-8126-9-Prestación de servicios profesionales jurídicos para orientar y apoyar el trámite y la gestión de los procesos disciplinarios que se adelanten en la Oficina Jurídica de la Unidad Administrativa Especial Cuerpo Oficial de Bomberos Bogotá</v>
      </c>
    </row>
    <row r="168" spans="2:35" ht="112" x14ac:dyDescent="0.35">
      <c r="B168" s="23">
        <v>20260126</v>
      </c>
      <c r="C168" s="99" t="s">
        <v>947</v>
      </c>
      <c r="D168" s="23" t="s">
        <v>105</v>
      </c>
      <c r="E168" s="23" t="s">
        <v>363</v>
      </c>
      <c r="F168" s="156" t="s">
        <v>144</v>
      </c>
      <c r="G168" s="157" t="s">
        <v>374</v>
      </c>
      <c r="H168" s="158">
        <v>8</v>
      </c>
      <c r="I168" s="158">
        <v>0</v>
      </c>
      <c r="J168" s="127">
        <v>64000000</v>
      </c>
      <c r="K168" s="88" t="s">
        <v>398</v>
      </c>
      <c r="L168" s="156" t="s">
        <v>153</v>
      </c>
      <c r="M168" s="159" t="s">
        <v>420</v>
      </c>
      <c r="N168" s="23" t="s">
        <v>197</v>
      </c>
      <c r="O168" s="151" t="s">
        <v>963</v>
      </c>
      <c r="P168" s="156" t="s">
        <v>348</v>
      </c>
      <c r="Q168" s="53">
        <v>80111600</v>
      </c>
      <c r="R168" s="159" t="s">
        <v>208</v>
      </c>
      <c r="S168" s="159" t="str">
        <f>MID(PAA[[#This Row],[Meta Proyecto de Inversión]],1,4)</f>
        <v>8126</v>
      </c>
      <c r="T168" s="159" t="str">
        <f>MID(PAA[[#This Row],[Meta Proyecto de Inversión]],6,1)</f>
        <v>9</v>
      </c>
      <c r="U168" s="160" t="str">
        <f>IFERROR(VLOOKUP(N168,TD!$B$50:$F$54,2,0)," ")</f>
        <v>O230117</v>
      </c>
      <c r="V168" s="160" t="str">
        <f>IFERROR(VLOOKUP(N168,TD!$B$50:$F$54,3,0)," ")</f>
        <v>4599</v>
      </c>
      <c r="W168" s="160">
        <f>IFERROR(VLOOKUP(N168,TD!$B$50:$F$54,4,0)," ")</f>
        <v>20240207</v>
      </c>
      <c r="X168" s="159" t="s">
        <v>174</v>
      </c>
      <c r="Y168" s="160" t="str">
        <f>IFERROR(VLOOKUP(X168,TD!$J$51:$K$64,2,0)," ")</f>
        <v>Infraestructura física, mantenimiento y dotación (Sedes construidas, mantenidas reforzadas)</v>
      </c>
      <c r="Z168" s="161" t="str">
        <f>CONCATENATE(X168,"-",Y168)</f>
        <v>08-Infraestructura física, mantenimiento y dotación (Sedes construidas, mantenidas reforzadas)</v>
      </c>
      <c r="AA168" s="159" t="s">
        <v>227</v>
      </c>
      <c r="AB168" s="160" t="str">
        <f>IFERROR(VLOOKUP(AA168,TD!$N$51:$O$66,2,0)," ")</f>
        <v>Sedes mantenidas</v>
      </c>
      <c r="AC168" s="161" t="str">
        <f>CONCATENATE(AA168,"_",AB168)</f>
        <v>016_Sedes mantenidas</v>
      </c>
      <c r="AD168" s="161" t="str">
        <f>CONCATENATE(Z168," ",AC168)</f>
        <v>08-Infraestructura física, mantenimiento y dotación (Sedes construidas, mantenidas reforzadas) 016_Sedes mantenidas</v>
      </c>
      <c r="AE168" s="160" t="str">
        <f>CONCATENATE(U168,V168,W168,X168,AA168)</f>
        <v>O23011745992024020708016</v>
      </c>
      <c r="AF168" s="160" t="str">
        <f>IFERROR(VLOOKUP(AD168,TD!$J$66:$K$89,2,0)," ")</f>
        <v>PM/0131/0108/45990160207</v>
      </c>
      <c r="AG168" s="118" t="s">
        <v>385</v>
      </c>
      <c r="AH168" s="159" t="s">
        <v>193</v>
      </c>
      <c r="AI168" s="162" t="str">
        <f>CONCATENATE(PAA[[#This Row],[Id Interno]],"-",PAA[[#This Row],[tipo de Contrato (TH talento humano - B/S bienes y/o servicios)]],"-",S168,"-",T168,"-",PAA[[#This Row],[Objeto de la contratación]])</f>
        <v>20260126-TH-8126-9-Prestar servicios profesionales de carácter jurídico para apoyar y fortalecer de manera integral las actividades propias de la Oficina Jurídica</v>
      </c>
    </row>
    <row r="169" spans="2:35" ht="98" x14ac:dyDescent="0.35">
      <c r="B169" s="23">
        <v>20260127</v>
      </c>
      <c r="C169" s="99" t="s">
        <v>419</v>
      </c>
      <c r="D169" s="23" t="s">
        <v>105</v>
      </c>
      <c r="E169" s="23" t="s">
        <v>363</v>
      </c>
      <c r="F169" s="156" t="s">
        <v>144</v>
      </c>
      <c r="G169" s="157" t="s">
        <v>374</v>
      </c>
      <c r="H169" s="158">
        <v>8</v>
      </c>
      <c r="I169" s="158">
        <v>0</v>
      </c>
      <c r="J169" s="127">
        <v>52000000</v>
      </c>
      <c r="K169" s="88" t="s">
        <v>398</v>
      </c>
      <c r="L169" s="156" t="s">
        <v>153</v>
      </c>
      <c r="M169" s="159" t="s">
        <v>420</v>
      </c>
      <c r="N169" s="23" t="s">
        <v>197</v>
      </c>
      <c r="O169" s="151" t="s">
        <v>963</v>
      </c>
      <c r="P169" s="156" t="s">
        <v>348</v>
      </c>
      <c r="Q169" s="53">
        <v>80111600</v>
      </c>
      <c r="R169" s="159" t="s">
        <v>208</v>
      </c>
      <c r="S169" s="159" t="str">
        <f>MID(PAA[[#This Row],[Meta Proyecto de Inversión]],1,4)</f>
        <v>8126</v>
      </c>
      <c r="T169" s="159" t="str">
        <f>MID(PAA[[#This Row],[Meta Proyecto de Inversión]],6,1)</f>
        <v>9</v>
      </c>
      <c r="U169" s="160" t="str">
        <f>IFERROR(VLOOKUP(N169,TD!$B$50:$F$54,2,0)," ")</f>
        <v>O230117</v>
      </c>
      <c r="V169" s="160" t="str">
        <f>IFERROR(VLOOKUP(N169,TD!$B$50:$F$54,3,0)," ")</f>
        <v>4599</v>
      </c>
      <c r="W169" s="160">
        <f>IFERROR(VLOOKUP(N169,TD!$B$50:$F$54,4,0)," ")</f>
        <v>20240207</v>
      </c>
      <c r="X169" s="159" t="s">
        <v>174</v>
      </c>
      <c r="Y169" s="160" t="str">
        <f>IFERROR(VLOOKUP(X169,TD!$J$51:$K$64,2,0)," ")</f>
        <v>Infraestructura física, mantenimiento y dotación (Sedes construidas, mantenidas reforzadas)</v>
      </c>
      <c r="Z169" s="161" t="str">
        <f>CONCATENATE(X169,"-",Y169)</f>
        <v>08-Infraestructura física, mantenimiento y dotación (Sedes construidas, mantenidas reforzadas)</v>
      </c>
      <c r="AA169" s="159" t="s">
        <v>227</v>
      </c>
      <c r="AB169" s="160" t="str">
        <f>IFERROR(VLOOKUP(AA169,TD!$N$51:$O$66,2,0)," ")</f>
        <v>Sedes mantenidas</v>
      </c>
      <c r="AC169" s="161" t="str">
        <f>CONCATENATE(AA169,"_",AB169)</f>
        <v>016_Sedes mantenidas</v>
      </c>
      <c r="AD169" s="161" t="str">
        <f>CONCATENATE(Z169," ",AC169)</f>
        <v>08-Infraestructura física, mantenimiento y dotación (Sedes construidas, mantenidas reforzadas) 016_Sedes mantenidas</v>
      </c>
      <c r="AE169" s="160" t="str">
        <f>CONCATENATE(U169,V169,W169,X169,AA169)</f>
        <v>O23011745992024020708016</v>
      </c>
      <c r="AF169" s="160" t="str">
        <f>IFERROR(VLOOKUP(AD169,TD!$J$66:$K$89,2,0)," ")</f>
        <v>PM/0131/0108/45990160207</v>
      </c>
      <c r="AG169" s="118" t="s">
        <v>385</v>
      </c>
      <c r="AH169" s="159" t="s">
        <v>193</v>
      </c>
      <c r="AI169" s="162" t="str">
        <f>CONCATENATE(PAA[[#This Row],[Id Interno]],"-",PAA[[#This Row],[tipo de Contrato (TH talento humano - B/S bienes y/o servicios)]],"-",S169,"-",T169,"-",PAA[[#This Row],[Objeto de la contratación]])</f>
        <v>20260127-TH-8126-9-Prestar los servicios profesionales jurídicos para apoyar las actuaciones procesales y procedimentales de la Oficina Jurídica</v>
      </c>
    </row>
    <row r="170" spans="2:35" ht="98" x14ac:dyDescent="0.35">
      <c r="B170" s="23">
        <v>20260128</v>
      </c>
      <c r="C170" s="99" t="s">
        <v>632</v>
      </c>
      <c r="D170" s="23" t="s">
        <v>105</v>
      </c>
      <c r="E170" s="23" t="s">
        <v>363</v>
      </c>
      <c r="F170" s="156" t="s">
        <v>144</v>
      </c>
      <c r="G170" s="157" t="s">
        <v>373</v>
      </c>
      <c r="H170" s="158">
        <v>8</v>
      </c>
      <c r="I170" s="158">
        <v>0</v>
      </c>
      <c r="J170" s="127">
        <v>64000000</v>
      </c>
      <c r="K170" s="88" t="s">
        <v>398</v>
      </c>
      <c r="L170" s="156" t="s">
        <v>154</v>
      </c>
      <c r="M170" s="159" t="s">
        <v>460</v>
      </c>
      <c r="N170" s="23" t="s">
        <v>198</v>
      </c>
      <c r="O170" s="151" t="s">
        <v>964</v>
      </c>
      <c r="P170" s="156" t="s">
        <v>348</v>
      </c>
      <c r="Q170" s="53">
        <v>80111600</v>
      </c>
      <c r="R170" s="159" t="s">
        <v>218</v>
      </c>
      <c r="S170" s="159" t="str">
        <f>MID(PAA[[#This Row],[Meta Proyecto de Inversión]],1,4)</f>
        <v>8173</v>
      </c>
      <c r="T170" s="159" t="str">
        <f>MID(PAA[[#This Row],[Meta Proyecto de Inversión]],6,1)</f>
        <v>9</v>
      </c>
      <c r="U170" s="160" t="str">
        <f>IFERROR(VLOOKUP(N170,TD!$B$50:$F$54,2,0)," ")</f>
        <v>O230117</v>
      </c>
      <c r="V170" s="160" t="str">
        <f>IFERROR(VLOOKUP(N170,TD!$B$50:$F$54,3,0)," ")</f>
        <v>4503</v>
      </c>
      <c r="W170" s="160">
        <f>IFERROR(VLOOKUP(N170,TD!$B$50:$F$54,4,0)," ")</f>
        <v>20240255</v>
      </c>
      <c r="X170" s="159" t="s">
        <v>172</v>
      </c>
      <c r="Y170" s="160" t="str">
        <f>IFERROR(VLOOKUP(X170,TD!$J$51:$K$64,2,0)," ")</f>
        <v>Servicio de formación en gestión del riesgo de incendios para el personal UAECOB</v>
      </c>
      <c r="Z170" s="161" t="str">
        <f>CONCATENATE(X170,"-",Y170)</f>
        <v>07-Servicio de formación en gestión del riesgo de incendios para el personal UAECOB</v>
      </c>
      <c r="AA170" s="159" t="s">
        <v>222</v>
      </c>
      <c r="AB170" s="160" t="str">
        <f>IFERROR(VLOOKUP(AA170,TD!$N$51:$O$66,2,0)," ")</f>
        <v>Servicio de educación informal</v>
      </c>
      <c r="AC170" s="161" t="str">
        <f>CONCATENATE(AA170,"_",AB170)</f>
        <v>002_Servicio de educación informal</v>
      </c>
      <c r="AD170" s="161" t="str">
        <f>CONCATENATE(Z170," ",AC170)</f>
        <v>07-Servicio de formación en gestión del riesgo de incendios para el personal UAECOB 002_Servicio de educación informal</v>
      </c>
      <c r="AE170" s="160" t="str">
        <f>CONCATENATE(U170,V170,W170,X170,AA170)</f>
        <v>O23011745032024025507002</v>
      </c>
      <c r="AF170" s="160" t="str">
        <f>IFERROR(VLOOKUP(AD170,TD!$J$66:$K$89,2,0)," ")</f>
        <v>PM/0131/0107/45030020255</v>
      </c>
      <c r="AG170" s="118" t="s">
        <v>385</v>
      </c>
      <c r="AH170" s="159" t="s">
        <v>193</v>
      </c>
      <c r="AI170" s="162" t="str">
        <f>CONCATENATE(PAA[[#This Row],[Id Interno]],"-",PAA[[#This Row],[tipo de Contrato (TH talento humano - B/S bienes y/o servicios)]],"-",S170,"-",T170,"-",PAA[[#This Row],[Objeto de la contratación]])</f>
        <v>20260128-TH-8173-9-SGH - Prestar servicios profesionales para apoyar a la Academia de la UAE Cuerpo Oficial de Bomberos de Bogotá D.C., orientados al fortalecimiento de los procesos de innovación, gestión del conocimiento y desarrollo de capacidades estratégicas del personal operativo, administrativo y directivo, contribuyendo al mejoramiento continuo y a la consolidación institucional</v>
      </c>
    </row>
    <row r="171" spans="2:35" ht="98" x14ac:dyDescent="0.35">
      <c r="B171" s="23">
        <v>20260129</v>
      </c>
      <c r="C171" s="99" t="s">
        <v>633</v>
      </c>
      <c r="D171" s="23" t="s">
        <v>105</v>
      </c>
      <c r="E171" s="23" t="s">
        <v>363</v>
      </c>
      <c r="F171" s="156" t="s">
        <v>145</v>
      </c>
      <c r="G171" s="157" t="s">
        <v>373</v>
      </c>
      <c r="H171" s="158">
        <v>7</v>
      </c>
      <c r="I171" s="158">
        <v>0</v>
      </c>
      <c r="J171" s="127">
        <v>26600000</v>
      </c>
      <c r="K171" s="88" t="s">
        <v>398</v>
      </c>
      <c r="L171" s="156" t="s">
        <v>154</v>
      </c>
      <c r="M171" s="159" t="s">
        <v>460</v>
      </c>
      <c r="N171" s="23" t="s">
        <v>197</v>
      </c>
      <c r="O171" s="151" t="s">
        <v>963</v>
      </c>
      <c r="P171" s="156" t="s">
        <v>348</v>
      </c>
      <c r="Q171" s="53">
        <v>80111600</v>
      </c>
      <c r="R171" s="159" t="s">
        <v>208</v>
      </c>
      <c r="S171" s="159" t="str">
        <f>MID(PAA[[#This Row],[Meta Proyecto de Inversión]],1,4)</f>
        <v>8126</v>
      </c>
      <c r="T171" s="159" t="str">
        <f>MID(PAA[[#This Row],[Meta Proyecto de Inversión]],6,1)</f>
        <v>9</v>
      </c>
      <c r="U171" s="160" t="str">
        <f>IFERROR(VLOOKUP(N171,TD!$B$50:$F$54,2,0)," ")</f>
        <v>O230117</v>
      </c>
      <c r="V171" s="160" t="str">
        <f>IFERROR(VLOOKUP(N171,TD!$B$50:$F$54,3,0)," ")</f>
        <v>4599</v>
      </c>
      <c r="W171" s="160">
        <f>IFERROR(VLOOKUP(N171,TD!$B$50:$F$54,4,0)," ")</f>
        <v>20240207</v>
      </c>
      <c r="X171" s="159" t="s">
        <v>174</v>
      </c>
      <c r="Y171" s="160" t="str">
        <f>IFERROR(VLOOKUP(X171,TD!$J$51:$K$64,2,0)," ")</f>
        <v>Infraestructura física, mantenimiento y dotación (Sedes construidas, mantenidas reforzadas)</v>
      </c>
      <c r="Z171" s="161" t="str">
        <f>CONCATENATE(X171,"-",Y171)</f>
        <v>08-Infraestructura física, mantenimiento y dotación (Sedes construidas, mantenidas reforzadas)</v>
      </c>
      <c r="AA171" s="159" t="s">
        <v>227</v>
      </c>
      <c r="AB171" s="160" t="str">
        <f>IFERROR(VLOOKUP(AA171,TD!$N$51:$O$66,2,0)," ")</f>
        <v>Sedes mantenidas</v>
      </c>
      <c r="AC171" s="161" t="str">
        <f>CONCATENATE(AA171,"_",AB171)</f>
        <v>016_Sedes mantenidas</v>
      </c>
      <c r="AD171" s="161" t="str">
        <f>CONCATENATE(Z171," ",AC171)</f>
        <v>08-Infraestructura física, mantenimiento y dotación (Sedes construidas, mantenidas reforzadas) 016_Sedes mantenidas</v>
      </c>
      <c r="AE171" s="160" t="str">
        <f>CONCATENATE(U171,V171,W171,X171,AA171)</f>
        <v>O23011745992024020708016</v>
      </c>
      <c r="AF171" s="160" t="str">
        <f>IFERROR(VLOOKUP(AD171,TD!$J$66:$K$89,2,0)," ")</f>
        <v>PM/0131/0108/45990160207</v>
      </c>
      <c r="AG171" s="118" t="s">
        <v>385</v>
      </c>
      <c r="AH171" s="159" t="s">
        <v>193</v>
      </c>
      <c r="AI171" s="162" t="str">
        <f>CONCATENATE(PAA[[#This Row],[Id Interno]],"-",PAA[[#This Row],[tipo de Contrato (TH talento humano - B/S bienes y/o servicios)]],"-",S171,"-",T171,"-",PAA[[#This Row],[Objeto de la contratación]])</f>
        <v>20260129-TH-8126-9-SGH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72" spans="2:35" ht="84" x14ac:dyDescent="0.35">
      <c r="B172" s="23">
        <v>20260130</v>
      </c>
      <c r="C172" s="99" t="s">
        <v>634</v>
      </c>
      <c r="D172" s="23" t="s">
        <v>105</v>
      </c>
      <c r="E172" s="23" t="s">
        <v>363</v>
      </c>
      <c r="F172" s="156" t="s">
        <v>145</v>
      </c>
      <c r="G172" s="157" t="s">
        <v>373</v>
      </c>
      <c r="H172" s="158">
        <v>11</v>
      </c>
      <c r="I172" s="158">
        <v>0</v>
      </c>
      <c r="J172" s="127">
        <v>46200000</v>
      </c>
      <c r="K172" s="88" t="s">
        <v>398</v>
      </c>
      <c r="L172" s="156" t="s">
        <v>154</v>
      </c>
      <c r="M172" s="159" t="s">
        <v>460</v>
      </c>
      <c r="N172" s="23" t="s">
        <v>197</v>
      </c>
      <c r="O172" s="151" t="s">
        <v>963</v>
      </c>
      <c r="P172" s="156" t="s">
        <v>348</v>
      </c>
      <c r="Q172" s="53">
        <v>80111600</v>
      </c>
      <c r="R172" s="159" t="s">
        <v>208</v>
      </c>
      <c r="S172" s="159" t="str">
        <f>MID(PAA[[#This Row],[Meta Proyecto de Inversión]],1,4)</f>
        <v>8126</v>
      </c>
      <c r="T172" s="159" t="str">
        <f>MID(PAA[[#This Row],[Meta Proyecto de Inversión]],6,1)</f>
        <v>9</v>
      </c>
      <c r="U172" s="160" t="str">
        <f>IFERROR(VLOOKUP(N172,TD!$B$50:$F$54,2,0)," ")</f>
        <v>O230117</v>
      </c>
      <c r="V172" s="160" t="str">
        <f>IFERROR(VLOOKUP(N172,TD!$B$50:$F$54,3,0)," ")</f>
        <v>4599</v>
      </c>
      <c r="W172" s="160">
        <f>IFERROR(VLOOKUP(N172,TD!$B$50:$F$54,4,0)," ")</f>
        <v>20240207</v>
      </c>
      <c r="X172" s="159" t="s">
        <v>174</v>
      </c>
      <c r="Y172" s="160" t="str">
        <f>IFERROR(VLOOKUP(X172,TD!$J$51:$K$64,2,0)," ")</f>
        <v>Infraestructura física, mantenimiento y dotación (Sedes construidas, mantenidas reforzadas)</v>
      </c>
      <c r="Z172" s="161" t="str">
        <f>CONCATENATE(X172,"-",Y172)</f>
        <v>08-Infraestructura física, mantenimiento y dotación (Sedes construidas, mantenidas reforzadas)</v>
      </c>
      <c r="AA172" s="159" t="s">
        <v>227</v>
      </c>
      <c r="AB172" s="160" t="str">
        <f>IFERROR(VLOOKUP(AA172,TD!$N$51:$O$66,2,0)," ")</f>
        <v>Sedes mantenidas</v>
      </c>
      <c r="AC172" s="161" t="str">
        <f>CONCATENATE(AA172,"_",AB172)</f>
        <v>016_Sedes mantenidas</v>
      </c>
      <c r="AD172" s="161" t="str">
        <f>CONCATENATE(Z172," ",AC172)</f>
        <v>08-Infraestructura física, mantenimiento y dotación (Sedes construidas, mantenidas reforzadas) 016_Sedes mantenidas</v>
      </c>
      <c r="AE172" s="160" t="str">
        <f>CONCATENATE(U172,V172,W172,X172,AA172)</f>
        <v>O23011745992024020708016</v>
      </c>
      <c r="AF172" s="160" t="str">
        <f>IFERROR(VLOOKUP(AD172,TD!$J$66:$K$89,2,0)," ")</f>
        <v>PM/0131/0108/45990160207</v>
      </c>
      <c r="AG172" s="118" t="s">
        <v>385</v>
      </c>
      <c r="AH172" s="159" t="s">
        <v>193</v>
      </c>
      <c r="AI172" s="162" t="str">
        <f>CONCATENATE(PAA[[#This Row],[Id Interno]],"-",PAA[[#This Row],[tipo de Contrato (TH talento humano - B/S bienes y/o servicios)]],"-",S172,"-",T172,"-",PAA[[#This Row],[Objeto de la contratación]])</f>
        <v>20260130-TH-8126-9-SGH - Prestar servicios de apoyo a la Subdirección de Gestión Humana de la UAE Cuerpo Oficial de Bomberos de Bogotá D.C., en la gestión de los procesos de administración y aplicación de los instrumentos archivísticos vigentes en el archivo de gestión de la dependencia, conforme a la normatividad archivística y los lineamientos institucionales.</v>
      </c>
    </row>
    <row r="173" spans="2:35" ht="112" x14ac:dyDescent="0.35">
      <c r="B173" s="23">
        <v>20260131</v>
      </c>
      <c r="C173" s="99" t="s">
        <v>633</v>
      </c>
      <c r="D173" s="23" t="s">
        <v>105</v>
      </c>
      <c r="E173" s="23" t="s">
        <v>363</v>
      </c>
      <c r="F173" s="156" t="s">
        <v>145</v>
      </c>
      <c r="G173" s="157" t="s">
        <v>373</v>
      </c>
      <c r="H173" s="158">
        <v>7</v>
      </c>
      <c r="I173" s="158">
        <v>0</v>
      </c>
      <c r="J173" s="127">
        <v>26600000</v>
      </c>
      <c r="K173" s="88" t="s">
        <v>398</v>
      </c>
      <c r="L173" s="156" t="s">
        <v>154</v>
      </c>
      <c r="M173" s="159" t="s">
        <v>460</v>
      </c>
      <c r="N173" s="23" t="s">
        <v>197</v>
      </c>
      <c r="O173" s="151" t="s">
        <v>963</v>
      </c>
      <c r="P173" s="156" t="s">
        <v>348</v>
      </c>
      <c r="Q173" s="53">
        <v>80111600</v>
      </c>
      <c r="R173" s="159" t="s">
        <v>208</v>
      </c>
      <c r="S173" s="159" t="str">
        <f>MID(PAA[[#This Row],[Meta Proyecto de Inversión]],1,4)</f>
        <v>8126</v>
      </c>
      <c r="T173" s="159" t="str">
        <f>MID(PAA[[#This Row],[Meta Proyecto de Inversión]],6,1)</f>
        <v>9</v>
      </c>
      <c r="U173" s="160" t="str">
        <f>IFERROR(VLOOKUP(N173,TD!$B$50:$F$54,2,0)," ")</f>
        <v>O230117</v>
      </c>
      <c r="V173" s="160" t="str">
        <f>IFERROR(VLOOKUP(N173,TD!$B$50:$F$54,3,0)," ")</f>
        <v>4599</v>
      </c>
      <c r="W173" s="160">
        <f>IFERROR(VLOOKUP(N173,TD!$B$50:$F$54,4,0)," ")</f>
        <v>20240207</v>
      </c>
      <c r="X173" s="159" t="s">
        <v>174</v>
      </c>
      <c r="Y173" s="160" t="str">
        <f>IFERROR(VLOOKUP(X173,TD!$J$51:$K$64,2,0)," ")</f>
        <v>Infraestructura física, mantenimiento y dotación (Sedes construidas, mantenidas reforzadas)</v>
      </c>
      <c r="Z173" s="161" t="str">
        <f>CONCATENATE(X173,"-",Y173)</f>
        <v>08-Infraestructura física, mantenimiento y dotación (Sedes construidas, mantenidas reforzadas)</v>
      </c>
      <c r="AA173" s="159" t="s">
        <v>227</v>
      </c>
      <c r="AB173" s="160" t="str">
        <f>IFERROR(VLOOKUP(AA173,TD!$N$51:$O$66,2,0)," ")</f>
        <v>Sedes mantenidas</v>
      </c>
      <c r="AC173" s="161" t="str">
        <f>CONCATENATE(AA173,"_",AB173)</f>
        <v>016_Sedes mantenidas</v>
      </c>
      <c r="AD173" s="161" t="str">
        <f>CONCATENATE(Z173," ",AC173)</f>
        <v>08-Infraestructura física, mantenimiento y dotación (Sedes construidas, mantenidas reforzadas) 016_Sedes mantenidas</v>
      </c>
      <c r="AE173" s="160" t="str">
        <f>CONCATENATE(U173,V173,W173,X173,AA173)</f>
        <v>O23011745992024020708016</v>
      </c>
      <c r="AF173" s="160" t="str">
        <f>IFERROR(VLOOKUP(AD173,TD!$J$66:$K$89,2,0)," ")</f>
        <v>PM/0131/0108/45990160207</v>
      </c>
      <c r="AG173" s="118" t="s">
        <v>385</v>
      </c>
      <c r="AH173" s="159" t="s">
        <v>193</v>
      </c>
      <c r="AI173" s="162" t="str">
        <f>CONCATENATE(PAA[[#This Row],[Id Interno]],"-",PAA[[#This Row],[tipo de Contrato (TH talento humano - B/S bienes y/o servicios)]],"-",S173,"-",T173,"-",PAA[[#This Row],[Objeto de la contratación]])</f>
        <v>20260131-TH-8126-9-SGH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74" spans="2:35" ht="126" x14ac:dyDescent="0.35">
      <c r="B174" s="23">
        <v>20260132</v>
      </c>
      <c r="C174" s="99" t="s">
        <v>633</v>
      </c>
      <c r="D174" s="23" t="s">
        <v>105</v>
      </c>
      <c r="E174" s="23" t="s">
        <v>363</v>
      </c>
      <c r="F174" s="156" t="s">
        <v>145</v>
      </c>
      <c r="G174" s="157" t="s">
        <v>373</v>
      </c>
      <c r="H174" s="158">
        <v>11</v>
      </c>
      <c r="I174" s="158">
        <v>0</v>
      </c>
      <c r="J174" s="127">
        <v>41800000</v>
      </c>
      <c r="K174" s="88" t="s">
        <v>398</v>
      </c>
      <c r="L174" s="156" t="s">
        <v>154</v>
      </c>
      <c r="M174" s="159" t="s">
        <v>460</v>
      </c>
      <c r="N174" s="23" t="s">
        <v>197</v>
      </c>
      <c r="O174" s="151" t="s">
        <v>963</v>
      </c>
      <c r="P174" s="156" t="s">
        <v>348</v>
      </c>
      <c r="Q174" s="53">
        <v>80111600</v>
      </c>
      <c r="R174" s="159" t="s">
        <v>208</v>
      </c>
      <c r="S174" s="159" t="str">
        <f>MID(PAA[[#This Row],[Meta Proyecto de Inversión]],1,4)</f>
        <v>8126</v>
      </c>
      <c r="T174" s="159" t="str">
        <f>MID(PAA[[#This Row],[Meta Proyecto de Inversión]],6,1)</f>
        <v>9</v>
      </c>
      <c r="U174" s="160" t="str">
        <f>IFERROR(VLOOKUP(N174,TD!$B$50:$F$54,2,0)," ")</f>
        <v>O230117</v>
      </c>
      <c r="V174" s="160" t="str">
        <f>IFERROR(VLOOKUP(N174,TD!$B$50:$F$54,3,0)," ")</f>
        <v>4599</v>
      </c>
      <c r="W174" s="160">
        <f>IFERROR(VLOOKUP(N174,TD!$B$50:$F$54,4,0)," ")</f>
        <v>20240207</v>
      </c>
      <c r="X174" s="159" t="s">
        <v>174</v>
      </c>
      <c r="Y174" s="160" t="str">
        <f>IFERROR(VLOOKUP(X174,TD!$J$51:$K$64,2,0)," ")</f>
        <v>Infraestructura física, mantenimiento y dotación (Sedes construidas, mantenidas reforzadas)</v>
      </c>
      <c r="Z174" s="161" t="str">
        <f>CONCATENATE(X174,"-",Y174)</f>
        <v>08-Infraestructura física, mantenimiento y dotación (Sedes construidas, mantenidas reforzadas)</v>
      </c>
      <c r="AA174" s="159" t="s">
        <v>227</v>
      </c>
      <c r="AB174" s="160" t="str">
        <f>IFERROR(VLOOKUP(AA174,TD!$N$51:$O$66,2,0)," ")</f>
        <v>Sedes mantenidas</v>
      </c>
      <c r="AC174" s="161" t="str">
        <f>CONCATENATE(AA174,"_",AB174)</f>
        <v>016_Sedes mantenidas</v>
      </c>
      <c r="AD174" s="161" t="str">
        <f>CONCATENATE(Z174," ",AC174)</f>
        <v>08-Infraestructura física, mantenimiento y dotación (Sedes construidas, mantenidas reforzadas) 016_Sedes mantenidas</v>
      </c>
      <c r="AE174" s="160" t="str">
        <f>CONCATENATE(U174,V174,W174,X174,AA174)</f>
        <v>O23011745992024020708016</v>
      </c>
      <c r="AF174" s="160" t="str">
        <f>IFERROR(VLOOKUP(AD174,TD!$J$66:$K$89,2,0)," ")</f>
        <v>PM/0131/0108/45990160207</v>
      </c>
      <c r="AG174" s="118" t="s">
        <v>385</v>
      </c>
      <c r="AH174" s="159" t="s">
        <v>193</v>
      </c>
      <c r="AI174" s="162" t="str">
        <f>CONCATENATE(PAA[[#This Row],[Id Interno]],"-",PAA[[#This Row],[tipo de Contrato (TH talento humano - B/S bienes y/o servicios)]],"-",S174,"-",T174,"-",PAA[[#This Row],[Objeto de la contratación]])</f>
        <v>20260132-TH-8126-9-SGH - Prestar servicios de apoyo a la gestión, para apoyar a la Subdirección de Gestión Humana de la UAE Cuerpo Oficial de Bomberos de Bogotá D.C., mediante la ejecución de actividades relacionadas con la actualización, custodia y manejo del archivo de gestión de la dependencia, en cumplimiento de la normatividad archivística e institucional vigente.</v>
      </c>
    </row>
    <row r="175" spans="2:35" ht="98" x14ac:dyDescent="0.35">
      <c r="B175" s="23">
        <v>20260133</v>
      </c>
      <c r="C175" s="99" t="s">
        <v>635</v>
      </c>
      <c r="D175" s="23" t="s">
        <v>105</v>
      </c>
      <c r="E175" s="23" t="s">
        <v>363</v>
      </c>
      <c r="F175" s="156" t="s">
        <v>145</v>
      </c>
      <c r="G175" s="157" t="s">
        <v>373</v>
      </c>
      <c r="H175" s="158">
        <v>7</v>
      </c>
      <c r="I175" s="158">
        <v>0</v>
      </c>
      <c r="J175" s="127">
        <v>28700000</v>
      </c>
      <c r="K175" s="88" t="s">
        <v>398</v>
      </c>
      <c r="L175" s="156" t="s">
        <v>154</v>
      </c>
      <c r="M175" s="159" t="s">
        <v>460</v>
      </c>
      <c r="N175" s="23" t="s">
        <v>197</v>
      </c>
      <c r="O175" s="151" t="s">
        <v>963</v>
      </c>
      <c r="P175" s="156" t="s">
        <v>348</v>
      </c>
      <c r="Q175" s="53">
        <v>80111600</v>
      </c>
      <c r="R175" s="159" t="s">
        <v>208</v>
      </c>
      <c r="S175" s="159" t="str">
        <f>MID(PAA[[#This Row],[Meta Proyecto de Inversión]],1,4)</f>
        <v>8126</v>
      </c>
      <c r="T175" s="159" t="str">
        <f>MID(PAA[[#This Row],[Meta Proyecto de Inversión]],6,1)</f>
        <v>9</v>
      </c>
      <c r="U175" s="160" t="str">
        <f>IFERROR(VLOOKUP(N175,TD!$B$50:$F$54,2,0)," ")</f>
        <v>O230117</v>
      </c>
      <c r="V175" s="160" t="str">
        <f>IFERROR(VLOOKUP(N175,TD!$B$50:$F$54,3,0)," ")</f>
        <v>4599</v>
      </c>
      <c r="W175" s="160">
        <f>IFERROR(VLOOKUP(N175,TD!$B$50:$F$54,4,0)," ")</f>
        <v>20240207</v>
      </c>
      <c r="X175" s="159" t="s">
        <v>174</v>
      </c>
      <c r="Y175" s="160" t="str">
        <f>IFERROR(VLOOKUP(X175,TD!$J$51:$K$64,2,0)," ")</f>
        <v>Infraestructura física, mantenimiento y dotación (Sedes construidas, mantenidas reforzadas)</v>
      </c>
      <c r="Z175" s="161" t="str">
        <f>CONCATENATE(X175,"-",Y175)</f>
        <v>08-Infraestructura física, mantenimiento y dotación (Sedes construidas, mantenidas reforzadas)</v>
      </c>
      <c r="AA175" s="159" t="s">
        <v>227</v>
      </c>
      <c r="AB175" s="160" t="str">
        <f>IFERROR(VLOOKUP(AA175,TD!$N$51:$O$66,2,0)," ")</f>
        <v>Sedes mantenidas</v>
      </c>
      <c r="AC175" s="161" t="str">
        <f>CONCATENATE(AA175,"_",AB175)</f>
        <v>016_Sedes mantenidas</v>
      </c>
      <c r="AD175" s="161" t="str">
        <f>CONCATENATE(Z175," ",AC175)</f>
        <v>08-Infraestructura física, mantenimiento y dotación (Sedes construidas, mantenidas reforzadas) 016_Sedes mantenidas</v>
      </c>
      <c r="AE175" s="160" t="str">
        <f>CONCATENATE(U175,V175,W175,X175,AA175)</f>
        <v>O23011745992024020708016</v>
      </c>
      <c r="AF175" s="160" t="str">
        <f>IFERROR(VLOOKUP(AD175,TD!$J$66:$K$89,2,0)," ")</f>
        <v>PM/0131/0108/45990160207</v>
      </c>
      <c r="AG175" s="118" t="s">
        <v>385</v>
      </c>
      <c r="AH175" s="159" t="s">
        <v>193</v>
      </c>
      <c r="AI175" s="162" t="str">
        <f>CONCATENATE(PAA[[#This Row],[Id Interno]],"-",PAA[[#This Row],[tipo de Contrato (TH talento humano - B/S bienes y/o servicios)]],"-",S175,"-",T175,"-",PAA[[#This Row],[Objeto de la contratación]])</f>
        <v>20260133-TH-8126-9-SGH - Prestar servicios de apoyo a la gestión para acompañar a la Subdirección de Gestión Humana de la UAE Cuerpo Oficial de Bomberos de Bogotá D.C., en la ejecución de las actividades relacionadas con el Plan de Bienestar e Incentivos, conforme a los lineamientos institucionales.</v>
      </c>
    </row>
    <row r="176" spans="2:35" ht="98" x14ac:dyDescent="0.35">
      <c r="B176" s="23">
        <v>20260134</v>
      </c>
      <c r="C176" s="99" t="s">
        <v>636</v>
      </c>
      <c r="D176" s="23" t="s">
        <v>105</v>
      </c>
      <c r="E176" s="23" t="s">
        <v>363</v>
      </c>
      <c r="F176" s="156" t="s">
        <v>144</v>
      </c>
      <c r="G176" s="157" t="s">
        <v>373</v>
      </c>
      <c r="H176" s="158">
        <v>3</v>
      </c>
      <c r="I176" s="158">
        <v>15</v>
      </c>
      <c r="J176" s="127">
        <v>29400000</v>
      </c>
      <c r="K176" s="88" t="s">
        <v>398</v>
      </c>
      <c r="L176" s="156" t="s">
        <v>154</v>
      </c>
      <c r="M176" s="159" t="s">
        <v>460</v>
      </c>
      <c r="N176" s="23" t="s">
        <v>197</v>
      </c>
      <c r="O176" s="152" t="s">
        <v>963</v>
      </c>
      <c r="P176" s="156" t="s">
        <v>348</v>
      </c>
      <c r="Q176" s="53">
        <v>80111600</v>
      </c>
      <c r="R176" s="159" t="s">
        <v>208</v>
      </c>
      <c r="S176" s="159" t="str">
        <f>MID(PAA[[#This Row],[Meta Proyecto de Inversión]],1,4)</f>
        <v>8126</v>
      </c>
      <c r="T176" s="159" t="str">
        <f>MID(PAA[[#This Row],[Meta Proyecto de Inversión]],6,1)</f>
        <v>9</v>
      </c>
      <c r="U176" s="160" t="str">
        <f>IFERROR(VLOOKUP(N176,TD!$B$50:$F$54,2,0)," ")</f>
        <v>O230117</v>
      </c>
      <c r="V176" s="160" t="str">
        <f>IFERROR(VLOOKUP(N176,TD!$B$50:$F$54,3,0)," ")</f>
        <v>4599</v>
      </c>
      <c r="W176" s="160">
        <f>IFERROR(VLOOKUP(N176,TD!$B$50:$F$54,4,0)," ")</f>
        <v>20240207</v>
      </c>
      <c r="X176" s="159" t="s">
        <v>174</v>
      </c>
      <c r="Y176" s="160" t="str">
        <f>IFERROR(VLOOKUP(X176,TD!$J$51:$K$64,2,0)," ")</f>
        <v>Infraestructura física, mantenimiento y dotación (Sedes construidas, mantenidas reforzadas)</v>
      </c>
      <c r="Z176" s="161" t="str">
        <f>CONCATENATE(X176,"-",Y176)</f>
        <v>08-Infraestructura física, mantenimiento y dotación (Sedes construidas, mantenidas reforzadas)</v>
      </c>
      <c r="AA176" s="159" t="s">
        <v>227</v>
      </c>
      <c r="AB176" s="160" t="str">
        <f>IFERROR(VLOOKUP(AA176,TD!$N$51:$O$66,2,0)," ")</f>
        <v>Sedes mantenidas</v>
      </c>
      <c r="AC176" s="161" t="str">
        <f>CONCATENATE(AA176,"_",AB176)</f>
        <v>016_Sedes mantenidas</v>
      </c>
      <c r="AD176" s="161" t="str">
        <f>CONCATENATE(Z176," ",AC176)</f>
        <v>08-Infraestructura física, mantenimiento y dotación (Sedes construidas, mantenidas reforzadas) 016_Sedes mantenidas</v>
      </c>
      <c r="AE176" s="160" t="str">
        <f>CONCATENATE(U176,V176,W176,X176,AA176)</f>
        <v>O23011745992024020708016</v>
      </c>
      <c r="AF176" s="160" t="str">
        <f>IFERROR(VLOOKUP(AD176,TD!$J$66:$K$89,2,0)," ")</f>
        <v>PM/0131/0108/45990160207</v>
      </c>
      <c r="AG176" s="118" t="s">
        <v>385</v>
      </c>
      <c r="AH176" s="159" t="s">
        <v>193</v>
      </c>
      <c r="AI176" s="162" t="str">
        <f>CONCATENATE(PAA[[#This Row],[Id Interno]],"-",PAA[[#This Row],[tipo de Contrato (TH talento humano - B/S bienes y/o servicios)]],"-",S176,"-",T176,"-",PAA[[#This Row],[Objeto de la contratación]])</f>
        <v>20260134-TH-8126-9-SGH - Prestar sus servicios profesionales a la Subdirección de Gestión Humana de la UAE Cuerpo Oficial de Bomberos de Bogotá, en el apoyo en la verificación, revisión y actualización del Modelo Operativo de Procesos (MOP) institucionales, con la finalidad de identificar las oportunidades de mejora, como parte del proceso de fortalecimiento institucional.</v>
      </c>
    </row>
    <row r="177" spans="2:35" ht="84" x14ac:dyDescent="0.35">
      <c r="B177" s="23">
        <v>20260135</v>
      </c>
      <c r="C177" s="99" t="s">
        <v>637</v>
      </c>
      <c r="D177" s="23" t="s">
        <v>105</v>
      </c>
      <c r="E177" s="23" t="s">
        <v>363</v>
      </c>
      <c r="F177" s="156" t="s">
        <v>144</v>
      </c>
      <c r="G177" s="157" t="s">
        <v>373</v>
      </c>
      <c r="H177" s="158">
        <v>5</v>
      </c>
      <c r="I177" s="158">
        <v>0</v>
      </c>
      <c r="J177" s="127">
        <v>29500000</v>
      </c>
      <c r="K177" s="88" t="s">
        <v>398</v>
      </c>
      <c r="L177" s="156" t="s">
        <v>154</v>
      </c>
      <c r="M177" s="159" t="s">
        <v>460</v>
      </c>
      <c r="N177" s="23" t="s">
        <v>197</v>
      </c>
      <c r="O177" s="151" t="s">
        <v>963</v>
      </c>
      <c r="P177" s="156" t="s">
        <v>348</v>
      </c>
      <c r="Q177" s="53">
        <v>80111600</v>
      </c>
      <c r="R177" s="159" t="s">
        <v>208</v>
      </c>
      <c r="S177" s="159" t="str">
        <f>MID(PAA[[#This Row],[Meta Proyecto de Inversión]],1,4)</f>
        <v>8126</v>
      </c>
      <c r="T177" s="159" t="str">
        <f>MID(PAA[[#This Row],[Meta Proyecto de Inversión]],6,1)</f>
        <v>9</v>
      </c>
      <c r="U177" s="160" t="str">
        <f>IFERROR(VLOOKUP(N177,TD!$B$50:$F$54,2,0)," ")</f>
        <v>O230117</v>
      </c>
      <c r="V177" s="160" t="str">
        <f>IFERROR(VLOOKUP(N177,TD!$B$50:$F$54,3,0)," ")</f>
        <v>4599</v>
      </c>
      <c r="W177" s="160">
        <f>IFERROR(VLOOKUP(N177,TD!$B$50:$F$54,4,0)," ")</f>
        <v>20240207</v>
      </c>
      <c r="X177" s="159" t="s">
        <v>174</v>
      </c>
      <c r="Y177" s="160" t="str">
        <f>IFERROR(VLOOKUP(X177,TD!$J$51:$K$64,2,0)," ")</f>
        <v>Infraestructura física, mantenimiento y dotación (Sedes construidas, mantenidas reforzadas)</v>
      </c>
      <c r="Z177" s="161" t="str">
        <f>CONCATENATE(X177,"-",Y177)</f>
        <v>08-Infraestructura física, mantenimiento y dotación (Sedes construidas, mantenidas reforzadas)</v>
      </c>
      <c r="AA177" s="159" t="s">
        <v>227</v>
      </c>
      <c r="AB177" s="160" t="str">
        <f>IFERROR(VLOOKUP(AA177,TD!$N$51:$O$66,2,0)," ")</f>
        <v>Sedes mantenidas</v>
      </c>
      <c r="AC177" s="161" t="str">
        <f>CONCATENATE(AA177,"_",AB177)</f>
        <v>016_Sedes mantenidas</v>
      </c>
      <c r="AD177" s="161" t="str">
        <f>CONCATENATE(Z177," ",AC177)</f>
        <v>08-Infraestructura física, mantenimiento y dotación (Sedes construidas, mantenidas reforzadas) 016_Sedes mantenidas</v>
      </c>
      <c r="AE177" s="160" t="str">
        <f>CONCATENATE(U177,V177,W177,X177,AA177)</f>
        <v>O23011745992024020708016</v>
      </c>
      <c r="AF177" s="160" t="str">
        <f>IFERROR(VLOOKUP(AD177,TD!$J$66:$K$89,2,0)," ")</f>
        <v>PM/0131/0108/45990160207</v>
      </c>
      <c r="AG177" s="118" t="s">
        <v>385</v>
      </c>
      <c r="AH177" s="159" t="s">
        <v>193</v>
      </c>
      <c r="AI177" s="162" t="str">
        <f>CONCATENATE(PAA[[#This Row],[Id Interno]],"-",PAA[[#This Row],[tipo de Contrato (TH talento humano - B/S bienes y/o servicios)]],"-",S177,"-",T177,"-",PAA[[#This Row],[Objeto de la contratación]])</f>
        <v>20260135-TH-8126-9-SGH - Prestar servicios profesionales en la Subdirección de Gestión Humana de la UAE Cuerpo Oficial de Bomberos de Bogotá, para apoyar la gestión de los procesos de ingreso y retiro del personal de planta de la entidad, en cumplimiento de los procedimientos y lineamientos institucionales establecidos.</v>
      </c>
    </row>
    <row r="178" spans="2:35" ht="168" x14ac:dyDescent="0.35">
      <c r="B178" s="23">
        <v>20260136</v>
      </c>
      <c r="C178" s="99" t="s">
        <v>461</v>
      </c>
      <c r="D178" s="23" t="s">
        <v>105</v>
      </c>
      <c r="E178" s="23" t="s">
        <v>363</v>
      </c>
      <c r="F178" s="156" t="s">
        <v>144</v>
      </c>
      <c r="G178" s="157" t="s">
        <v>373</v>
      </c>
      <c r="H178" s="158">
        <v>10</v>
      </c>
      <c r="I178" s="158">
        <v>0</v>
      </c>
      <c r="J178" s="127">
        <v>67000000</v>
      </c>
      <c r="K178" s="88" t="s">
        <v>398</v>
      </c>
      <c r="L178" s="156" t="s">
        <v>154</v>
      </c>
      <c r="M178" s="159" t="s">
        <v>460</v>
      </c>
      <c r="N178" s="23" t="s">
        <v>197</v>
      </c>
      <c r="O178" s="151" t="s">
        <v>963</v>
      </c>
      <c r="P178" s="156" t="s">
        <v>348</v>
      </c>
      <c r="Q178" s="53">
        <v>80111600</v>
      </c>
      <c r="R178" s="159" t="s">
        <v>208</v>
      </c>
      <c r="S178" s="159" t="str">
        <f>MID(PAA[[#This Row],[Meta Proyecto de Inversión]],1,4)</f>
        <v>8126</v>
      </c>
      <c r="T178" s="159" t="str">
        <f>MID(PAA[[#This Row],[Meta Proyecto de Inversión]],6,1)</f>
        <v>9</v>
      </c>
      <c r="U178" s="160" t="str">
        <f>IFERROR(VLOOKUP(N178,TD!$B$50:$F$54,2,0)," ")</f>
        <v>O230117</v>
      </c>
      <c r="V178" s="160" t="str">
        <f>IFERROR(VLOOKUP(N178,TD!$B$50:$F$54,3,0)," ")</f>
        <v>4599</v>
      </c>
      <c r="W178" s="160">
        <f>IFERROR(VLOOKUP(N178,TD!$B$50:$F$54,4,0)," ")</f>
        <v>20240207</v>
      </c>
      <c r="X178" s="159" t="s">
        <v>174</v>
      </c>
      <c r="Y178" s="160" t="str">
        <f>IFERROR(VLOOKUP(X178,TD!$J$51:$K$64,2,0)," ")</f>
        <v>Infraestructura física, mantenimiento y dotación (Sedes construidas, mantenidas reforzadas)</v>
      </c>
      <c r="Z178" s="161" t="str">
        <f>CONCATENATE(X178,"-",Y178)</f>
        <v>08-Infraestructura física, mantenimiento y dotación (Sedes construidas, mantenidas reforzadas)</v>
      </c>
      <c r="AA178" s="159" t="s">
        <v>227</v>
      </c>
      <c r="AB178" s="160" t="str">
        <f>IFERROR(VLOOKUP(AA178,TD!$N$51:$O$66,2,0)," ")</f>
        <v>Sedes mantenidas</v>
      </c>
      <c r="AC178" s="161" t="str">
        <f>CONCATENATE(AA178,"_",AB178)</f>
        <v>016_Sedes mantenidas</v>
      </c>
      <c r="AD178" s="161" t="str">
        <f>CONCATENATE(Z178," ",AC178)</f>
        <v>08-Infraestructura física, mantenimiento y dotación (Sedes construidas, mantenidas reforzadas) 016_Sedes mantenidas</v>
      </c>
      <c r="AE178" s="160" t="str">
        <f>CONCATENATE(U178,V178,W178,X178,AA178)</f>
        <v>O23011745992024020708016</v>
      </c>
      <c r="AF178" s="160" t="str">
        <f>IFERROR(VLOOKUP(AD178,TD!$J$66:$K$89,2,0)," ")</f>
        <v>PM/0131/0108/45990160207</v>
      </c>
      <c r="AG178" s="118" t="s">
        <v>385</v>
      </c>
      <c r="AH178" s="159" t="s">
        <v>193</v>
      </c>
      <c r="AI178" s="162" t="str">
        <f>CONCATENATE(PAA[[#This Row],[Id Interno]],"-",PAA[[#This Row],[tipo de Contrato (TH talento humano - B/S bienes y/o servicios)]],"-",S178,"-",T178,"-",PAA[[#This Row],[Objeto de la contratación]])</f>
        <v>20260136-TH-8126-9-SGH - Prestar servicios profesionales en la Subdirección de Gestión Humana de la UAE Cuerpo Oficial de Bomberos de Bogotá, apoyando la ejecución de las actividades relacionadas con la permanencia del personal de planta, conforme a los planes y lineamientos definidos por Desarrollo Organizacional.</v>
      </c>
    </row>
    <row r="179" spans="2:35" ht="84" x14ac:dyDescent="0.35">
      <c r="B179" s="23">
        <v>20260137</v>
      </c>
      <c r="C179" s="99" t="s">
        <v>462</v>
      </c>
      <c r="D179" s="23" t="s">
        <v>105</v>
      </c>
      <c r="E179" s="23" t="s">
        <v>363</v>
      </c>
      <c r="F179" s="156" t="s">
        <v>145</v>
      </c>
      <c r="G179" s="157" t="s">
        <v>373</v>
      </c>
      <c r="H179" s="158">
        <v>10</v>
      </c>
      <c r="I179" s="158">
        <v>0</v>
      </c>
      <c r="J179" s="127">
        <v>36000000</v>
      </c>
      <c r="K179" s="88" t="s">
        <v>398</v>
      </c>
      <c r="L179" s="156" t="s">
        <v>154</v>
      </c>
      <c r="M179" s="159" t="s">
        <v>460</v>
      </c>
      <c r="N179" s="23" t="s">
        <v>197</v>
      </c>
      <c r="O179" s="151" t="s">
        <v>963</v>
      </c>
      <c r="P179" s="156" t="s">
        <v>348</v>
      </c>
      <c r="Q179" s="53">
        <v>80111600</v>
      </c>
      <c r="R179" s="159" t="s">
        <v>208</v>
      </c>
      <c r="S179" s="159" t="str">
        <f>MID(PAA[[#This Row],[Meta Proyecto de Inversión]],1,4)</f>
        <v>8126</v>
      </c>
      <c r="T179" s="159" t="str">
        <f>MID(PAA[[#This Row],[Meta Proyecto de Inversión]],6,1)</f>
        <v>9</v>
      </c>
      <c r="U179" s="160" t="str">
        <f>IFERROR(VLOOKUP(N179,TD!$B$50:$F$54,2,0)," ")</f>
        <v>O230117</v>
      </c>
      <c r="V179" s="160" t="str">
        <f>IFERROR(VLOOKUP(N179,TD!$B$50:$F$54,3,0)," ")</f>
        <v>4599</v>
      </c>
      <c r="W179" s="160">
        <f>IFERROR(VLOOKUP(N179,TD!$B$50:$F$54,4,0)," ")</f>
        <v>20240207</v>
      </c>
      <c r="X179" s="159" t="s">
        <v>174</v>
      </c>
      <c r="Y179" s="160" t="str">
        <f>IFERROR(VLOOKUP(X179,TD!$J$51:$K$64,2,0)," ")</f>
        <v>Infraestructura física, mantenimiento y dotación (Sedes construidas, mantenidas reforzadas)</v>
      </c>
      <c r="Z179" s="161" t="str">
        <f>CONCATENATE(X179,"-",Y179)</f>
        <v>08-Infraestructura física, mantenimiento y dotación (Sedes construidas, mantenidas reforzadas)</v>
      </c>
      <c r="AA179" s="159" t="s">
        <v>227</v>
      </c>
      <c r="AB179" s="160" t="str">
        <f>IFERROR(VLOOKUP(AA179,TD!$N$51:$O$66,2,0)," ")</f>
        <v>Sedes mantenidas</v>
      </c>
      <c r="AC179" s="161" t="str">
        <f>CONCATENATE(AA179,"_",AB179)</f>
        <v>016_Sedes mantenidas</v>
      </c>
      <c r="AD179" s="161" t="str">
        <f>CONCATENATE(Z179," ",AC179)</f>
        <v>08-Infraestructura física, mantenimiento y dotación (Sedes construidas, mantenidas reforzadas) 016_Sedes mantenidas</v>
      </c>
      <c r="AE179" s="160" t="str">
        <f>CONCATENATE(U179,V179,W179,X179,AA179)</f>
        <v>O23011745992024020708016</v>
      </c>
      <c r="AF179" s="160" t="str">
        <f>IFERROR(VLOOKUP(AD179,TD!$J$66:$K$89,2,0)," ")</f>
        <v>PM/0131/0108/45990160207</v>
      </c>
      <c r="AG179" s="118" t="s">
        <v>385</v>
      </c>
      <c r="AH179" s="159" t="s">
        <v>193</v>
      </c>
      <c r="AI179" s="162" t="str">
        <f>CONCATENATE(PAA[[#This Row],[Id Interno]],"-",PAA[[#This Row],[tipo de Contrato (TH talento humano - B/S bienes y/o servicios)]],"-",S179,"-",T179,"-",PAA[[#This Row],[Objeto de la contratación]])</f>
        <v>20260137-TH-8126-9-SGH - Prestar servicios de apoyo a la gestión en la Subdirección de Gestión Humana de la UAE Cuerpo Oficial de Bomberos de Bogotá, para el cumplimiento de las actividades de actualización de registros administrativos y de gestión documental a cargo de Desarrollo Organizacional, conforme a los lineamientos institucionales.</v>
      </c>
    </row>
    <row r="180" spans="2:35" ht="70" x14ac:dyDescent="0.35">
      <c r="B180" s="23">
        <v>20260138</v>
      </c>
      <c r="C180" s="99" t="s">
        <v>463</v>
      </c>
      <c r="D180" s="23" t="s">
        <v>105</v>
      </c>
      <c r="E180" s="23" t="s">
        <v>363</v>
      </c>
      <c r="F180" s="156" t="s">
        <v>144</v>
      </c>
      <c r="G180" s="157" t="s">
        <v>373</v>
      </c>
      <c r="H180" s="158">
        <v>7</v>
      </c>
      <c r="I180" s="158">
        <v>0</v>
      </c>
      <c r="J180" s="127">
        <v>50400000</v>
      </c>
      <c r="K180" s="88" t="s">
        <v>398</v>
      </c>
      <c r="L180" s="156" t="s">
        <v>154</v>
      </c>
      <c r="M180" s="159" t="s">
        <v>460</v>
      </c>
      <c r="N180" s="23" t="s">
        <v>197</v>
      </c>
      <c r="O180" s="151" t="s">
        <v>963</v>
      </c>
      <c r="P180" s="156" t="s">
        <v>348</v>
      </c>
      <c r="Q180" s="53">
        <v>80111600</v>
      </c>
      <c r="R180" s="159" t="s">
        <v>208</v>
      </c>
      <c r="S180" s="159" t="str">
        <f>MID(PAA[[#This Row],[Meta Proyecto de Inversión]],1,4)</f>
        <v>8126</v>
      </c>
      <c r="T180" s="159" t="str">
        <f>MID(PAA[[#This Row],[Meta Proyecto de Inversión]],6,1)</f>
        <v>9</v>
      </c>
      <c r="U180" s="160" t="str">
        <f>IFERROR(VLOOKUP(N180,TD!$B$50:$F$54,2,0)," ")</f>
        <v>O230117</v>
      </c>
      <c r="V180" s="160" t="str">
        <f>IFERROR(VLOOKUP(N180,TD!$B$50:$F$54,3,0)," ")</f>
        <v>4599</v>
      </c>
      <c r="W180" s="160">
        <f>IFERROR(VLOOKUP(N180,TD!$B$50:$F$54,4,0)," ")</f>
        <v>20240207</v>
      </c>
      <c r="X180" s="159" t="s">
        <v>174</v>
      </c>
      <c r="Y180" s="160" t="str">
        <f>IFERROR(VLOOKUP(X180,TD!$J$51:$K$64,2,0)," ")</f>
        <v>Infraestructura física, mantenimiento y dotación (Sedes construidas, mantenidas reforzadas)</v>
      </c>
      <c r="Z180" s="161" t="str">
        <f>CONCATENATE(X180,"-",Y180)</f>
        <v>08-Infraestructura física, mantenimiento y dotación (Sedes construidas, mantenidas reforzadas)</v>
      </c>
      <c r="AA180" s="159" t="s">
        <v>227</v>
      </c>
      <c r="AB180" s="160" t="str">
        <f>IFERROR(VLOOKUP(AA180,TD!$N$51:$O$66,2,0)," ")</f>
        <v>Sedes mantenidas</v>
      </c>
      <c r="AC180" s="161" t="str">
        <f>CONCATENATE(AA180,"_",AB180)</f>
        <v>016_Sedes mantenidas</v>
      </c>
      <c r="AD180" s="161" t="str">
        <f>CONCATENATE(Z180," ",AC180)</f>
        <v>08-Infraestructura física, mantenimiento y dotación (Sedes construidas, mantenidas reforzadas) 016_Sedes mantenidas</v>
      </c>
      <c r="AE180" s="160" t="str">
        <f>CONCATENATE(U180,V180,W180,X180,AA180)</f>
        <v>O23011745992024020708016</v>
      </c>
      <c r="AF180" s="160" t="str">
        <f>IFERROR(VLOOKUP(AD180,TD!$J$66:$K$89,2,0)," ")</f>
        <v>PM/0131/0108/45990160207</v>
      </c>
      <c r="AG180" s="118" t="s">
        <v>385</v>
      </c>
      <c r="AH180" s="159" t="s">
        <v>193</v>
      </c>
      <c r="AI180" s="162" t="str">
        <f>CONCATENATE(PAA[[#This Row],[Id Interno]],"-",PAA[[#This Row],[tipo de Contrato (TH talento humano - B/S bienes y/o servicios)]],"-",S180,"-",T180,"-",PAA[[#This Row],[Objeto de la contratación]])</f>
        <v>20260138-TH-8126-9-SGH - Prestar servicios profesionales en la Subdirección de Gestión Humana de la UAE Cuerpo Oficial de Bomberos de Bogotá, para apoyar el desarrollo de actividades relacionadas con la actualización de registros administrativos, el fortalecimiento del clima y ambiente laboral y la ejecución de planes institucionales, en el marco de las funciones para el desarrollo organizacional.</v>
      </c>
    </row>
    <row r="181" spans="2:35" ht="84" x14ac:dyDescent="0.35">
      <c r="B181" s="23">
        <v>20260139</v>
      </c>
      <c r="C181" s="99" t="s">
        <v>638</v>
      </c>
      <c r="D181" s="23" t="s">
        <v>105</v>
      </c>
      <c r="E181" s="23" t="s">
        <v>363</v>
      </c>
      <c r="F181" s="156" t="s">
        <v>144</v>
      </c>
      <c r="G181" s="157" t="s">
        <v>373</v>
      </c>
      <c r="H181" s="158">
        <v>7</v>
      </c>
      <c r="I181" s="158">
        <v>0</v>
      </c>
      <c r="J181" s="127">
        <v>50400000</v>
      </c>
      <c r="K181" s="88" t="s">
        <v>398</v>
      </c>
      <c r="L181" s="156" t="s">
        <v>154</v>
      </c>
      <c r="M181" s="159" t="s">
        <v>460</v>
      </c>
      <c r="N181" s="23" t="s">
        <v>197</v>
      </c>
      <c r="O181" s="151" t="s">
        <v>963</v>
      </c>
      <c r="P181" s="156" t="s">
        <v>348</v>
      </c>
      <c r="Q181" s="53">
        <v>80111600</v>
      </c>
      <c r="R181" s="159" t="s">
        <v>208</v>
      </c>
      <c r="S181" s="159" t="str">
        <f>MID(PAA[[#This Row],[Meta Proyecto de Inversión]],1,4)</f>
        <v>8126</v>
      </c>
      <c r="T181" s="159" t="str">
        <f>MID(PAA[[#This Row],[Meta Proyecto de Inversión]],6,1)</f>
        <v>9</v>
      </c>
      <c r="U181" s="160" t="str">
        <f>IFERROR(VLOOKUP(N181,TD!$B$50:$F$54,2,0)," ")</f>
        <v>O230117</v>
      </c>
      <c r="V181" s="160" t="str">
        <f>IFERROR(VLOOKUP(N181,TD!$B$50:$F$54,3,0)," ")</f>
        <v>4599</v>
      </c>
      <c r="W181" s="160">
        <f>IFERROR(VLOOKUP(N181,TD!$B$50:$F$54,4,0)," ")</f>
        <v>20240207</v>
      </c>
      <c r="X181" s="159" t="s">
        <v>174</v>
      </c>
      <c r="Y181" s="160" t="str">
        <f>IFERROR(VLOOKUP(X181,TD!$J$51:$K$64,2,0)," ")</f>
        <v>Infraestructura física, mantenimiento y dotación (Sedes construidas, mantenidas reforzadas)</v>
      </c>
      <c r="Z181" s="161" t="str">
        <f>CONCATENATE(X181,"-",Y181)</f>
        <v>08-Infraestructura física, mantenimiento y dotación (Sedes construidas, mantenidas reforzadas)</v>
      </c>
      <c r="AA181" s="159" t="s">
        <v>227</v>
      </c>
      <c r="AB181" s="160" t="str">
        <f>IFERROR(VLOOKUP(AA181,TD!$N$51:$O$66,2,0)," ")</f>
        <v>Sedes mantenidas</v>
      </c>
      <c r="AC181" s="161" t="str">
        <f>CONCATENATE(AA181,"_",AB181)</f>
        <v>016_Sedes mantenidas</v>
      </c>
      <c r="AD181" s="161" t="str">
        <f>CONCATENATE(Z181," ",AC181)</f>
        <v>08-Infraestructura física, mantenimiento y dotación (Sedes construidas, mantenidas reforzadas) 016_Sedes mantenidas</v>
      </c>
      <c r="AE181" s="160" t="str">
        <f>CONCATENATE(U181,V181,W181,X181,AA181)</f>
        <v>O23011745992024020708016</v>
      </c>
      <c r="AF181" s="160" t="str">
        <f>IFERROR(VLOOKUP(AD181,TD!$J$66:$K$89,2,0)," ")</f>
        <v>PM/0131/0108/45990160207</v>
      </c>
      <c r="AG181" s="118" t="s">
        <v>385</v>
      </c>
      <c r="AH181" s="159" t="s">
        <v>193</v>
      </c>
      <c r="AI181" s="162" t="str">
        <f>CONCATENATE(PAA[[#This Row],[Id Interno]],"-",PAA[[#This Row],[tipo de Contrato (TH talento humano - B/S bienes y/o servicios)]],"-",S181,"-",T181,"-",PAA[[#This Row],[Objeto de la contratación]])</f>
        <v>20260139-TH-8126-9-SSGH - Prestar servicios profesionales jurídicos en la Subdirección de Gestión Humana de la UAE Cuerpo Oficial de Bomberos de Bogotá D.C., orientados a apoyar las actividades propias del proceso de desarrollo organizacional, con especial énfasis en la formulación, acompañamiento y ejecución de acciones relacionadas con la reorganización de la planta de personal, en el marco del proceso de fortalecimiento institucional y en cumplimiento de la normatividad vigente.</v>
      </c>
    </row>
    <row r="182" spans="2:35" ht="98" x14ac:dyDescent="0.35">
      <c r="B182" s="23">
        <v>20260140</v>
      </c>
      <c r="C182" s="99" t="s">
        <v>639</v>
      </c>
      <c r="D182" s="23" t="s">
        <v>105</v>
      </c>
      <c r="E182" s="23" t="s">
        <v>363</v>
      </c>
      <c r="F182" s="156" t="s">
        <v>144</v>
      </c>
      <c r="G182" s="157" t="s">
        <v>373</v>
      </c>
      <c r="H182" s="158">
        <v>7</v>
      </c>
      <c r="I182" s="158">
        <v>0</v>
      </c>
      <c r="J182" s="127">
        <v>38500000</v>
      </c>
      <c r="K182" s="88" t="s">
        <v>398</v>
      </c>
      <c r="L182" s="156" t="s">
        <v>154</v>
      </c>
      <c r="M182" s="159" t="s">
        <v>460</v>
      </c>
      <c r="N182" s="23" t="s">
        <v>197</v>
      </c>
      <c r="O182" s="151" t="s">
        <v>963</v>
      </c>
      <c r="P182" s="156" t="s">
        <v>348</v>
      </c>
      <c r="Q182" s="53">
        <v>80111600</v>
      </c>
      <c r="R182" s="159" t="s">
        <v>208</v>
      </c>
      <c r="S182" s="159" t="str">
        <f>MID(PAA[[#This Row],[Meta Proyecto de Inversión]],1,4)</f>
        <v>8126</v>
      </c>
      <c r="T182" s="159" t="str">
        <f>MID(PAA[[#This Row],[Meta Proyecto de Inversión]],6,1)</f>
        <v>9</v>
      </c>
      <c r="U182" s="160" t="str">
        <f>IFERROR(VLOOKUP(N182,TD!$B$50:$F$54,2,0)," ")</f>
        <v>O230117</v>
      </c>
      <c r="V182" s="160" t="str">
        <f>IFERROR(VLOOKUP(N182,TD!$B$50:$F$54,3,0)," ")</f>
        <v>4599</v>
      </c>
      <c r="W182" s="160">
        <f>IFERROR(VLOOKUP(N182,TD!$B$50:$F$54,4,0)," ")</f>
        <v>20240207</v>
      </c>
      <c r="X182" s="159" t="s">
        <v>174</v>
      </c>
      <c r="Y182" s="160" t="str">
        <f>IFERROR(VLOOKUP(X182,TD!$J$51:$K$64,2,0)," ")</f>
        <v>Infraestructura física, mantenimiento y dotación (Sedes construidas, mantenidas reforzadas)</v>
      </c>
      <c r="Z182" s="161" t="str">
        <f>CONCATENATE(X182,"-",Y182)</f>
        <v>08-Infraestructura física, mantenimiento y dotación (Sedes construidas, mantenidas reforzadas)</v>
      </c>
      <c r="AA182" s="159" t="s">
        <v>227</v>
      </c>
      <c r="AB182" s="160" t="str">
        <f>IFERROR(VLOOKUP(AA182,TD!$N$51:$O$66,2,0)," ")</f>
        <v>Sedes mantenidas</v>
      </c>
      <c r="AC182" s="161" t="str">
        <f>CONCATENATE(AA182,"_",AB182)</f>
        <v>016_Sedes mantenidas</v>
      </c>
      <c r="AD182" s="161" t="str">
        <f>CONCATENATE(Z182," ",AC182)</f>
        <v>08-Infraestructura física, mantenimiento y dotación (Sedes construidas, mantenidas reforzadas) 016_Sedes mantenidas</v>
      </c>
      <c r="AE182" s="160" t="str">
        <f>CONCATENATE(U182,V182,W182,X182,AA182)</f>
        <v>O23011745992024020708016</v>
      </c>
      <c r="AF182" s="160" t="str">
        <f>IFERROR(VLOOKUP(AD182,TD!$J$66:$K$89,2,0)," ")</f>
        <v>PM/0131/0108/45990160207</v>
      </c>
      <c r="AG182" s="118" t="s">
        <v>385</v>
      </c>
      <c r="AH182" s="159" t="s">
        <v>193</v>
      </c>
      <c r="AI182" s="162" t="str">
        <f>CONCATENATE(PAA[[#This Row],[Id Interno]],"-",PAA[[#This Row],[tipo de Contrato (TH talento humano - B/S bienes y/o servicios)]],"-",S182,"-",T182,"-",PAA[[#This Row],[Objeto de la contratación]])</f>
        <v>20260140-TH-8126-9-SGH - Prestar servicios profesionales en la Subdirección de Gestión Humana de la UAE Cuerpo Oficial de Bomberos de Bogotá, para apoyar el desarrollo de actividades relacionadas con la actualización de registros laborales del personal de la entidad, así como en la ejecución de las acciones asignadas al desarrollo organizacional.</v>
      </c>
    </row>
    <row r="183" spans="2:35" ht="98" x14ac:dyDescent="0.35">
      <c r="B183" s="23">
        <v>20260141</v>
      </c>
      <c r="C183" s="99" t="s">
        <v>464</v>
      </c>
      <c r="D183" s="23" t="s">
        <v>105</v>
      </c>
      <c r="E183" s="23" t="s">
        <v>363</v>
      </c>
      <c r="F183" s="156" t="s">
        <v>144</v>
      </c>
      <c r="G183" s="157" t="s">
        <v>373</v>
      </c>
      <c r="H183" s="158">
        <v>10</v>
      </c>
      <c r="I183" s="158">
        <v>0</v>
      </c>
      <c r="J183" s="127">
        <v>69000000</v>
      </c>
      <c r="K183" s="88" t="s">
        <v>398</v>
      </c>
      <c r="L183" s="156" t="s">
        <v>154</v>
      </c>
      <c r="M183" s="159" t="s">
        <v>460</v>
      </c>
      <c r="N183" s="23" t="s">
        <v>197</v>
      </c>
      <c r="O183" s="151" t="s">
        <v>963</v>
      </c>
      <c r="P183" s="156" t="s">
        <v>348</v>
      </c>
      <c r="Q183" s="53">
        <v>80111600</v>
      </c>
      <c r="R183" s="159" t="s">
        <v>208</v>
      </c>
      <c r="S183" s="159" t="str">
        <f>MID(PAA[[#This Row],[Meta Proyecto de Inversión]],1,4)</f>
        <v>8126</v>
      </c>
      <c r="T183" s="159" t="str">
        <f>MID(PAA[[#This Row],[Meta Proyecto de Inversión]],6,1)</f>
        <v>9</v>
      </c>
      <c r="U183" s="160" t="str">
        <f>IFERROR(VLOOKUP(N183,TD!$B$50:$F$54,2,0)," ")</f>
        <v>O230117</v>
      </c>
      <c r="V183" s="160" t="str">
        <f>IFERROR(VLOOKUP(N183,TD!$B$50:$F$54,3,0)," ")</f>
        <v>4599</v>
      </c>
      <c r="W183" s="160">
        <f>IFERROR(VLOOKUP(N183,TD!$B$50:$F$54,4,0)," ")</f>
        <v>20240207</v>
      </c>
      <c r="X183" s="159" t="s">
        <v>174</v>
      </c>
      <c r="Y183" s="160" t="str">
        <f>IFERROR(VLOOKUP(X183,TD!$J$51:$K$64,2,0)," ")</f>
        <v>Infraestructura física, mantenimiento y dotación (Sedes construidas, mantenidas reforzadas)</v>
      </c>
      <c r="Z183" s="161" t="str">
        <f>CONCATENATE(X183,"-",Y183)</f>
        <v>08-Infraestructura física, mantenimiento y dotación (Sedes construidas, mantenidas reforzadas)</v>
      </c>
      <c r="AA183" s="159" t="s">
        <v>227</v>
      </c>
      <c r="AB183" s="160" t="str">
        <f>IFERROR(VLOOKUP(AA183,TD!$N$51:$O$66,2,0)," ")</f>
        <v>Sedes mantenidas</v>
      </c>
      <c r="AC183" s="161" t="str">
        <f>CONCATENATE(AA183,"_",AB183)</f>
        <v>016_Sedes mantenidas</v>
      </c>
      <c r="AD183" s="161" t="str">
        <f>CONCATENATE(Z183," ",AC183)</f>
        <v>08-Infraestructura física, mantenimiento y dotación (Sedes construidas, mantenidas reforzadas) 016_Sedes mantenidas</v>
      </c>
      <c r="AE183" s="160" t="str">
        <f>CONCATENATE(U183,V183,W183,X183,AA183)</f>
        <v>O23011745992024020708016</v>
      </c>
      <c r="AF183" s="160" t="str">
        <f>IFERROR(VLOOKUP(AD183,TD!$J$66:$K$89,2,0)," ")</f>
        <v>PM/0131/0108/45990160207</v>
      </c>
      <c r="AG183" s="118" t="s">
        <v>385</v>
      </c>
      <c r="AH183" s="159" t="s">
        <v>193</v>
      </c>
      <c r="AI183" s="162" t="str">
        <f>CONCATENATE(PAA[[#This Row],[Id Interno]],"-",PAA[[#This Row],[tipo de Contrato (TH talento humano - B/S bienes y/o servicios)]],"-",S183,"-",T183,"-",PAA[[#This Row],[Objeto de la contratación]])</f>
        <v>20260141-TH-8126-9-SGH - Prestar servicios profesionales en la Subdirección de Gestión Humana de la UAE Cuerpo Oficial de Bomberos de Bogotá, para apoyar el desarrollo de actividades relacionadas con los procesos de vinculación y permanencia del personal de la entidad, así como en las acciones a cargo del desarrollo organizacional.</v>
      </c>
    </row>
    <row r="184" spans="2:35" ht="70" x14ac:dyDescent="0.35">
      <c r="B184" s="23">
        <v>20260142</v>
      </c>
      <c r="C184" s="99" t="s">
        <v>465</v>
      </c>
      <c r="D184" s="23" t="s">
        <v>105</v>
      </c>
      <c r="E184" s="23" t="s">
        <v>363</v>
      </c>
      <c r="F184" s="156" t="s">
        <v>145</v>
      </c>
      <c r="G184" s="157" t="s">
        <v>373</v>
      </c>
      <c r="H184" s="158">
        <v>7</v>
      </c>
      <c r="I184" s="158">
        <v>0</v>
      </c>
      <c r="J184" s="127">
        <v>28700000</v>
      </c>
      <c r="K184" s="88" t="s">
        <v>398</v>
      </c>
      <c r="L184" s="156" t="s">
        <v>154</v>
      </c>
      <c r="M184" s="159" t="s">
        <v>460</v>
      </c>
      <c r="N184" s="23" t="s">
        <v>197</v>
      </c>
      <c r="O184" s="151" t="s">
        <v>963</v>
      </c>
      <c r="P184" s="156" t="s">
        <v>348</v>
      </c>
      <c r="Q184" s="53">
        <v>80111600</v>
      </c>
      <c r="R184" s="159" t="s">
        <v>208</v>
      </c>
      <c r="S184" s="159" t="str">
        <f>MID(PAA[[#This Row],[Meta Proyecto de Inversión]],1,4)</f>
        <v>8126</v>
      </c>
      <c r="T184" s="159" t="str">
        <f>MID(PAA[[#This Row],[Meta Proyecto de Inversión]],6,1)</f>
        <v>9</v>
      </c>
      <c r="U184" s="160" t="str">
        <f>IFERROR(VLOOKUP(N184,TD!$B$50:$F$54,2,0)," ")</f>
        <v>O230117</v>
      </c>
      <c r="V184" s="160" t="str">
        <f>IFERROR(VLOOKUP(N184,TD!$B$50:$F$54,3,0)," ")</f>
        <v>4599</v>
      </c>
      <c r="W184" s="160">
        <f>IFERROR(VLOOKUP(N184,TD!$B$50:$F$54,4,0)," ")</f>
        <v>20240207</v>
      </c>
      <c r="X184" s="159" t="s">
        <v>174</v>
      </c>
      <c r="Y184" s="160" t="str">
        <f>IFERROR(VLOOKUP(X184,TD!$J$51:$K$64,2,0)," ")</f>
        <v>Infraestructura física, mantenimiento y dotación (Sedes construidas, mantenidas reforzadas)</v>
      </c>
      <c r="Z184" s="161" t="str">
        <f>CONCATENATE(X184,"-",Y184)</f>
        <v>08-Infraestructura física, mantenimiento y dotación (Sedes construidas, mantenidas reforzadas)</v>
      </c>
      <c r="AA184" s="159" t="s">
        <v>227</v>
      </c>
      <c r="AB184" s="160" t="str">
        <f>IFERROR(VLOOKUP(AA184,TD!$N$51:$O$66,2,0)," ")</f>
        <v>Sedes mantenidas</v>
      </c>
      <c r="AC184" s="161" t="str">
        <f>CONCATENATE(AA184,"_",AB184)</f>
        <v>016_Sedes mantenidas</v>
      </c>
      <c r="AD184" s="161" t="str">
        <f>CONCATENATE(Z184," ",AC184)</f>
        <v>08-Infraestructura física, mantenimiento y dotación (Sedes construidas, mantenidas reforzadas) 016_Sedes mantenidas</v>
      </c>
      <c r="AE184" s="160" t="str">
        <f>CONCATENATE(U184,V184,W184,X184,AA184)</f>
        <v>O23011745992024020708016</v>
      </c>
      <c r="AF184" s="160" t="str">
        <f>IFERROR(VLOOKUP(AD184,TD!$J$66:$K$89,2,0)," ")</f>
        <v>PM/0131/0108/45990160207</v>
      </c>
      <c r="AG184" s="118" t="s">
        <v>385</v>
      </c>
      <c r="AH184" s="159" t="s">
        <v>193</v>
      </c>
      <c r="AI184" s="162" t="str">
        <f>CONCATENATE(PAA[[#This Row],[Id Interno]],"-",PAA[[#This Row],[tipo de Contrato (TH talento humano - B/S bienes y/o servicios)]],"-",S184,"-",T184,"-",PAA[[#This Row],[Objeto de la contratación]])</f>
        <v>20260142-TH-8126-9-SGH - Prestar servicios de apoyo a la gestión en la Subdirección de Gestión Humana de la UAE Cuerpo Oficial de Bomberos de Bogotá, en el desarrollo del proceso de recobro de incapacidades y de los subprocesos relacionados, de conformidad con la normatividad y lineamientos institucionales vigentes.</v>
      </c>
    </row>
    <row r="185" spans="2:35" ht="84" x14ac:dyDescent="0.35">
      <c r="B185" s="23">
        <v>20260143</v>
      </c>
      <c r="C185" s="99" t="s">
        <v>466</v>
      </c>
      <c r="D185" s="23" t="s">
        <v>105</v>
      </c>
      <c r="E185" s="23" t="s">
        <v>363</v>
      </c>
      <c r="F185" s="156" t="s">
        <v>144</v>
      </c>
      <c r="G185" s="157" t="s">
        <v>373</v>
      </c>
      <c r="H185" s="158">
        <v>7</v>
      </c>
      <c r="I185" s="158">
        <v>0</v>
      </c>
      <c r="J185" s="127">
        <v>45080000</v>
      </c>
      <c r="K185" s="88" t="s">
        <v>398</v>
      </c>
      <c r="L185" s="156" t="s">
        <v>154</v>
      </c>
      <c r="M185" s="159" t="s">
        <v>460</v>
      </c>
      <c r="N185" s="23" t="s">
        <v>197</v>
      </c>
      <c r="O185" s="151" t="s">
        <v>963</v>
      </c>
      <c r="P185" s="156" t="s">
        <v>348</v>
      </c>
      <c r="Q185" s="53">
        <v>80111600</v>
      </c>
      <c r="R185" s="159" t="s">
        <v>208</v>
      </c>
      <c r="S185" s="159" t="str">
        <f>MID(PAA[[#This Row],[Meta Proyecto de Inversión]],1,4)</f>
        <v>8126</v>
      </c>
      <c r="T185" s="159" t="str">
        <f>MID(PAA[[#This Row],[Meta Proyecto de Inversión]],6,1)</f>
        <v>9</v>
      </c>
      <c r="U185" s="160" t="str">
        <f>IFERROR(VLOOKUP(N185,TD!$B$50:$F$54,2,0)," ")</f>
        <v>O230117</v>
      </c>
      <c r="V185" s="160" t="str">
        <f>IFERROR(VLOOKUP(N185,TD!$B$50:$F$54,3,0)," ")</f>
        <v>4599</v>
      </c>
      <c r="W185" s="160">
        <f>IFERROR(VLOOKUP(N185,TD!$B$50:$F$54,4,0)," ")</f>
        <v>20240207</v>
      </c>
      <c r="X185" s="159" t="s">
        <v>174</v>
      </c>
      <c r="Y185" s="160" t="str">
        <f>IFERROR(VLOOKUP(X185,TD!$J$51:$K$64,2,0)," ")</f>
        <v>Infraestructura física, mantenimiento y dotación (Sedes construidas, mantenidas reforzadas)</v>
      </c>
      <c r="Z185" s="161" t="str">
        <f>CONCATENATE(X185,"-",Y185)</f>
        <v>08-Infraestructura física, mantenimiento y dotación (Sedes construidas, mantenidas reforzadas)</v>
      </c>
      <c r="AA185" s="159" t="s">
        <v>227</v>
      </c>
      <c r="AB185" s="160" t="str">
        <f>IFERROR(VLOOKUP(AA185,TD!$N$51:$O$66,2,0)," ")</f>
        <v>Sedes mantenidas</v>
      </c>
      <c r="AC185" s="161" t="str">
        <f>CONCATENATE(AA185,"_",AB185)</f>
        <v>016_Sedes mantenidas</v>
      </c>
      <c r="AD185" s="161" t="str">
        <f>CONCATENATE(Z185," ",AC185)</f>
        <v>08-Infraestructura física, mantenimiento y dotación (Sedes construidas, mantenidas reforzadas) 016_Sedes mantenidas</v>
      </c>
      <c r="AE185" s="160" t="str">
        <f>CONCATENATE(U185,V185,W185,X185,AA185)</f>
        <v>O23011745992024020708016</v>
      </c>
      <c r="AF185" s="160" t="str">
        <f>IFERROR(VLOOKUP(AD185,TD!$J$66:$K$89,2,0)," ")</f>
        <v>PM/0131/0108/45990160207</v>
      </c>
      <c r="AG185" s="118" t="s">
        <v>385</v>
      </c>
      <c r="AH185" s="159" t="s">
        <v>193</v>
      </c>
      <c r="AI185" s="162" t="str">
        <f>CONCATENATE(PAA[[#This Row],[Id Interno]],"-",PAA[[#This Row],[tipo de Contrato (TH talento humano - B/S bienes y/o servicios)]],"-",S185,"-",T185,"-",PAA[[#This Row],[Objeto de la contratación]])</f>
        <v>20260143-TH-8126-9-SGH - Prestar servicios profesionales en la Subdirección de Gestión Humana de la UAE Cuerpo Oficial de Bomberos de Bogotá, para apoyar la gestión del proceso de ausentismo, recobro de incapacidades y los subprocesos directamente relacionados, en cumplimiento de la normatividad y lineamientos institucionales vigentes.</v>
      </c>
    </row>
    <row r="186" spans="2:35" ht="98" x14ac:dyDescent="0.35">
      <c r="B186" s="23">
        <v>20260144</v>
      </c>
      <c r="C186" s="99" t="s">
        <v>467</v>
      </c>
      <c r="D186" s="23" t="s">
        <v>105</v>
      </c>
      <c r="E186" s="23" t="s">
        <v>363</v>
      </c>
      <c r="F186" s="156" t="s">
        <v>144</v>
      </c>
      <c r="G186" s="157" t="s">
        <v>373</v>
      </c>
      <c r="H186" s="158">
        <v>11</v>
      </c>
      <c r="I186" s="158">
        <v>0</v>
      </c>
      <c r="J186" s="127">
        <v>53900000</v>
      </c>
      <c r="K186" s="88" t="s">
        <v>398</v>
      </c>
      <c r="L186" s="156" t="s">
        <v>154</v>
      </c>
      <c r="M186" s="159" t="s">
        <v>460</v>
      </c>
      <c r="N186" s="23" t="s">
        <v>197</v>
      </c>
      <c r="O186" s="151" t="s">
        <v>963</v>
      </c>
      <c r="P186" s="156" t="s">
        <v>348</v>
      </c>
      <c r="Q186" s="53">
        <v>80111600</v>
      </c>
      <c r="R186" s="159" t="s">
        <v>208</v>
      </c>
      <c r="S186" s="159" t="str">
        <f>MID(PAA[[#This Row],[Meta Proyecto de Inversión]],1,4)</f>
        <v>8126</v>
      </c>
      <c r="T186" s="159" t="str">
        <f>MID(PAA[[#This Row],[Meta Proyecto de Inversión]],6,1)</f>
        <v>9</v>
      </c>
      <c r="U186" s="160" t="str">
        <f>IFERROR(VLOOKUP(N186,TD!$B$50:$F$54,2,0)," ")</f>
        <v>O230117</v>
      </c>
      <c r="V186" s="160" t="str">
        <f>IFERROR(VLOOKUP(N186,TD!$B$50:$F$54,3,0)," ")</f>
        <v>4599</v>
      </c>
      <c r="W186" s="160">
        <f>IFERROR(VLOOKUP(N186,TD!$B$50:$F$54,4,0)," ")</f>
        <v>20240207</v>
      </c>
      <c r="X186" s="159" t="s">
        <v>174</v>
      </c>
      <c r="Y186" s="160" t="str">
        <f>IFERROR(VLOOKUP(X186,TD!$J$51:$K$64,2,0)," ")</f>
        <v>Infraestructura física, mantenimiento y dotación (Sedes construidas, mantenidas reforzadas)</v>
      </c>
      <c r="Z186" s="161" t="str">
        <f>CONCATENATE(X186,"-",Y186)</f>
        <v>08-Infraestructura física, mantenimiento y dotación (Sedes construidas, mantenidas reforzadas)</v>
      </c>
      <c r="AA186" s="159" t="s">
        <v>227</v>
      </c>
      <c r="AB186" s="160" t="str">
        <f>IFERROR(VLOOKUP(AA186,TD!$N$51:$O$66,2,0)," ")</f>
        <v>Sedes mantenidas</v>
      </c>
      <c r="AC186" s="161" t="str">
        <f>CONCATENATE(AA186,"_",AB186)</f>
        <v>016_Sedes mantenidas</v>
      </c>
      <c r="AD186" s="161" t="str">
        <f>CONCATENATE(Z186," ",AC186)</f>
        <v>08-Infraestructura física, mantenimiento y dotación (Sedes construidas, mantenidas reforzadas) 016_Sedes mantenidas</v>
      </c>
      <c r="AE186" s="160" t="str">
        <f>CONCATENATE(U186,V186,W186,X186,AA186)</f>
        <v>O23011745992024020708016</v>
      </c>
      <c r="AF186" s="160" t="str">
        <f>IFERROR(VLOOKUP(AD186,TD!$J$66:$K$89,2,0)," ")</f>
        <v>PM/0131/0108/45990160207</v>
      </c>
      <c r="AG186" s="118" t="s">
        <v>385</v>
      </c>
      <c r="AH186" s="159" t="s">
        <v>193</v>
      </c>
      <c r="AI186" s="162" t="str">
        <f>CONCATENATE(PAA[[#This Row],[Id Interno]],"-",PAA[[#This Row],[tipo de Contrato (TH talento humano - B/S bienes y/o servicios)]],"-",S186,"-",T186,"-",PAA[[#This Row],[Objeto de la contratación]])</f>
        <v>20260144-TH-8126-9-SGH - Prestar servicios profesionales en la Subdirección de Gestión Humana de la UAE Cuerpo Oficial de Bomberos de Bogotá D.C., para apoyar la gestión relacionada con cesantías, expedición de certificaciones y situaciones administrativas de los servidores de la entidad, en cumplimiento de la normatividad y lineamientos institucionales vigentes.</v>
      </c>
    </row>
    <row r="187" spans="2:35" ht="70" x14ac:dyDescent="0.35">
      <c r="B187" s="23">
        <v>20260145</v>
      </c>
      <c r="C187" s="99" t="s">
        <v>917</v>
      </c>
      <c r="D187" s="23" t="s">
        <v>105</v>
      </c>
      <c r="E187" s="23" t="s">
        <v>363</v>
      </c>
      <c r="F187" s="156" t="s">
        <v>145</v>
      </c>
      <c r="G187" s="157" t="s">
        <v>373</v>
      </c>
      <c r="H187" s="158">
        <v>8</v>
      </c>
      <c r="I187" s="158">
        <v>0</v>
      </c>
      <c r="J187" s="127">
        <v>32000000</v>
      </c>
      <c r="K187" s="88" t="s">
        <v>398</v>
      </c>
      <c r="L187" s="156" t="s">
        <v>154</v>
      </c>
      <c r="M187" s="159" t="s">
        <v>460</v>
      </c>
      <c r="N187" s="23" t="s">
        <v>197</v>
      </c>
      <c r="O187" s="151" t="s">
        <v>963</v>
      </c>
      <c r="P187" s="156" t="s">
        <v>348</v>
      </c>
      <c r="Q187" s="53">
        <v>80111600</v>
      </c>
      <c r="R187" s="159" t="s">
        <v>208</v>
      </c>
      <c r="S187" s="159" t="str">
        <f>MID(PAA[[#This Row],[Meta Proyecto de Inversión]],1,4)</f>
        <v>8126</v>
      </c>
      <c r="T187" s="159" t="str">
        <f>MID(PAA[[#This Row],[Meta Proyecto de Inversión]],6,1)</f>
        <v>9</v>
      </c>
      <c r="U187" s="160" t="str">
        <f>IFERROR(VLOOKUP(N187,TD!$B$50:$F$54,2,0)," ")</f>
        <v>O230117</v>
      </c>
      <c r="V187" s="160" t="str">
        <f>IFERROR(VLOOKUP(N187,TD!$B$50:$F$54,3,0)," ")</f>
        <v>4599</v>
      </c>
      <c r="W187" s="160">
        <f>IFERROR(VLOOKUP(N187,TD!$B$50:$F$54,4,0)," ")</f>
        <v>20240207</v>
      </c>
      <c r="X187" s="159" t="s">
        <v>174</v>
      </c>
      <c r="Y187" s="160" t="str">
        <f>IFERROR(VLOOKUP(X187,TD!$J$51:$K$64,2,0)," ")</f>
        <v>Infraestructura física, mantenimiento y dotación (Sedes construidas, mantenidas reforzadas)</v>
      </c>
      <c r="Z187" s="161" t="str">
        <f>CONCATENATE(X187,"-",Y187)</f>
        <v>08-Infraestructura física, mantenimiento y dotación (Sedes construidas, mantenidas reforzadas)</v>
      </c>
      <c r="AA187" s="159" t="s">
        <v>227</v>
      </c>
      <c r="AB187" s="160" t="str">
        <f>IFERROR(VLOOKUP(AA187,TD!$N$51:$O$66,2,0)," ")</f>
        <v>Sedes mantenidas</v>
      </c>
      <c r="AC187" s="161" t="str">
        <f>CONCATENATE(AA187,"_",AB187)</f>
        <v>016_Sedes mantenidas</v>
      </c>
      <c r="AD187" s="161" t="str">
        <f>CONCATENATE(Z187," ",AC187)</f>
        <v>08-Infraestructura física, mantenimiento y dotación (Sedes construidas, mantenidas reforzadas) 016_Sedes mantenidas</v>
      </c>
      <c r="AE187" s="160" t="str">
        <f>CONCATENATE(U187,V187,W187,X187,AA187)</f>
        <v>O23011745992024020708016</v>
      </c>
      <c r="AF187" s="160" t="str">
        <f>IFERROR(VLOOKUP(AD187,TD!$J$66:$K$89,2,0)," ")</f>
        <v>PM/0131/0108/45990160207</v>
      </c>
      <c r="AG187" s="118" t="s">
        <v>385</v>
      </c>
      <c r="AH187" s="159" t="s">
        <v>193</v>
      </c>
      <c r="AI187" s="162" t="str">
        <f>CONCATENATE(PAA[[#This Row],[Id Interno]],"-",PAA[[#This Row],[tipo de Contrato (TH talento humano - B/S bienes y/o servicios)]],"-",S187,"-",T187,"-",PAA[[#This Row],[Objeto de la contratación]])</f>
        <v>20260145-TH-8126-9-SGH-Prestar los servicios de apoyo a la gestión en la Academia de la UAE Cuerpo Oficial de Bomberos de Bogotá D.C., brindando acompañamiento en el seguimiento de los procesos contractuales y en la atención de los requerimientos relacionados con el fortalecimiento de la formación y la capacitación institucional.</v>
      </c>
    </row>
    <row r="188" spans="2:35" ht="98" x14ac:dyDescent="0.35">
      <c r="B188" s="23">
        <v>20260146</v>
      </c>
      <c r="C188" s="99" t="s">
        <v>468</v>
      </c>
      <c r="D188" s="23" t="s">
        <v>105</v>
      </c>
      <c r="E188" s="23" t="s">
        <v>363</v>
      </c>
      <c r="F188" s="156" t="s">
        <v>144</v>
      </c>
      <c r="G188" s="157" t="s">
        <v>373</v>
      </c>
      <c r="H188" s="158">
        <v>7</v>
      </c>
      <c r="I188" s="158">
        <v>0</v>
      </c>
      <c r="J188" s="127">
        <v>40600000</v>
      </c>
      <c r="K188" s="88" t="s">
        <v>398</v>
      </c>
      <c r="L188" s="156" t="s">
        <v>154</v>
      </c>
      <c r="M188" s="159" t="s">
        <v>460</v>
      </c>
      <c r="N188" s="23" t="s">
        <v>197</v>
      </c>
      <c r="O188" s="151" t="s">
        <v>963</v>
      </c>
      <c r="P188" s="156" t="s">
        <v>348</v>
      </c>
      <c r="Q188" s="53">
        <v>80111600</v>
      </c>
      <c r="R188" s="159" t="s">
        <v>208</v>
      </c>
      <c r="S188" s="159" t="str">
        <f>MID(PAA[[#This Row],[Meta Proyecto de Inversión]],1,4)</f>
        <v>8126</v>
      </c>
      <c r="T188" s="159" t="str">
        <f>MID(PAA[[#This Row],[Meta Proyecto de Inversión]],6,1)</f>
        <v>9</v>
      </c>
      <c r="U188" s="160" t="str">
        <f>IFERROR(VLOOKUP(N188,TD!$B$50:$F$54,2,0)," ")</f>
        <v>O230117</v>
      </c>
      <c r="V188" s="160" t="str">
        <f>IFERROR(VLOOKUP(N188,TD!$B$50:$F$54,3,0)," ")</f>
        <v>4599</v>
      </c>
      <c r="W188" s="160">
        <f>IFERROR(VLOOKUP(N188,TD!$B$50:$F$54,4,0)," ")</f>
        <v>20240207</v>
      </c>
      <c r="X188" s="159" t="s">
        <v>174</v>
      </c>
      <c r="Y188" s="160" t="str">
        <f>IFERROR(VLOOKUP(X188,TD!$J$51:$K$64,2,0)," ")</f>
        <v>Infraestructura física, mantenimiento y dotación (Sedes construidas, mantenidas reforzadas)</v>
      </c>
      <c r="Z188" s="161" t="str">
        <f>CONCATENATE(X188,"-",Y188)</f>
        <v>08-Infraestructura física, mantenimiento y dotación (Sedes construidas, mantenidas reforzadas)</v>
      </c>
      <c r="AA188" s="159" t="s">
        <v>227</v>
      </c>
      <c r="AB188" s="160" t="str">
        <f>IFERROR(VLOOKUP(AA188,TD!$N$51:$O$66,2,0)," ")</f>
        <v>Sedes mantenidas</v>
      </c>
      <c r="AC188" s="161" t="str">
        <f>CONCATENATE(AA188,"_",AB188)</f>
        <v>016_Sedes mantenidas</v>
      </c>
      <c r="AD188" s="161" t="str">
        <f>CONCATENATE(Z188," ",AC188)</f>
        <v>08-Infraestructura física, mantenimiento y dotación (Sedes construidas, mantenidas reforzadas) 016_Sedes mantenidas</v>
      </c>
      <c r="AE188" s="160" t="str">
        <f>CONCATENATE(U188,V188,W188,X188,AA188)</f>
        <v>O23011745992024020708016</v>
      </c>
      <c r="AF188" s="160" t="str">
        <f>IFERROR(VLOOKUP(AD188,TD!$J$66:$K$89,2,0)," ")</f>
        <v>PM/0131/0108/45990160207</v>
      </c>
      <c r="AG188" s="118" t="s">
        <v>385</v>
      </c>
      <c r="AH188" s="159" t="s">
        <v>193</v>
      </c>
      <c r="AI188" s="162" t="str">
        <f>CONCATENATE(PAA[[#This Row],[Id Interno]],"-",PAA[[#This Row],[tipo de Contrato (TH talento humano - B/S bienes y/o servicios)]],"-",S188,"-",T188,"-",PAA[[#This Row],[Objeto de la contratación]])</f>
        <v>20260146-TH-8126-9-SGH - Prestar servicios profesionales en la Subdirección de Gestión Humana de la UAE Cuerpo Oficial de Bomberos de Bogotá, para apoyar las actividades relacionadas con la administración de personal, en el marco de la normatividad y lineamientos institucionales vigentes.</v>
      </c>
    </row>
    <row r="189" spans="2:35" ht="126" x14ac:dyDescent="0.35">
      <c r="B189" s="23">
        <v>20260147</v>
      </c>
      <c r="C189" s="99" t="s">
        <v>469</v>
      </c>
      <c r="D189" s="23" t="s">
        <v>105</v>
      </c>
      <c r="E189" s="23" t="s">
        <v>363</v>
      </c>
      <c r="F189" s="156" t="s">
        <v>144</v>
      </c>
      <c r="G189" s="157" t="s">
        <v>373</v>
      </c>
      <c r="H189" s="158">
        <v>11</v>
      </c>
      <c r="I189" s="158">
        <v>0</v>
      </c>
      <c r="J189" s="127">
        <v>67100000</v>
      </c>
      <c r="K189" s="88" t="s">
        <v>398</v>
      </c>
      <c r="L189" s="156" t="s">
        <v>154</v>
      </c>
      <c r="M189" s="159" t="s">
        <v>460</v>
      </c>
      <c r="N189" s="23" t="s">
        <v>197</v>
      </c>
      <c r="O189" s="151" t="s">
        <v>963</v>
      </c>
      <c r="P189" s="156" t="s">
        <v>348</v>
      </c>
      <c r="Q189" s="53">
        <v>80111600</v>
      </c>
      <c r="R189" s="159" t="s">
        <v>208</v>
      </c>
      <c r="S189" s="159" t="str">
        <f>MID(PAA[[#This Row],[Meta Proyecto de Inversión]],1,4)</f>
        <v>8126</v>
      </c>
      <c r="T189" s="159" t="str">
        <f>MID(PAA[[#This Row],[Meta Proyecto de Inversión]],6,1)</f>
        <v>9</v>
      </c>
      <c r="U189" s="160" t="str">
        <f>IFERROR(VLOOKUP(N189,TD!$B$50:$F$54,2,0)," ")</f>
        <v>O230117</v>
      </c>
      <c r="V189" s="160" t="str">
        <f>IFERROR(VLOOKUP(N189,TD!$B$50:$F$54,3,0)," ")</f>
        <v>4599</v>
      </c>
      <c r="W189" s="160">
        <f>IFERROR(VLOOKUP(N189,TD!$B$50:$F$54,4,0)," ")</f>
        <v>20240207</v>
      </c>
      <c r="X189" s="159" t="s">
        <v>174</v>
      </c>
      <c r="Y189" s="160" t="str">
        <f>IFERROR(VLOOKUP(X189,TD!$J$51:$K$64,2,0)," ")</f>
        <v>Infraestructura física, mantenimiento y dotación (Sedes construidas, mantenidas reforzadas)</v>
      </c>
      <c r="Z189" s="161" t="str">
        <f>CONCATENATE(X189,"-",Y189)</f>
        <v>08-Infraestructura física, mantenimiento y dotación (Sedes construidas, mantenidas reforzadas)</v>
      </c>
      <c r="AA189" s="159" t="s">
        <v>227</v>
      </c>
      <c r="AB189" s="160" t="str">
        <f>IFERROR(VLOOKUP(AA189,TD!$N$51:$O$66,2,0)," ")</f>
        <v>Sedes mantenidas</v>
      </c>
      <c r="AC189" s="161" t="str">
        <f>CONCATENATE(AA189,"_",AB189)</f>
        <v>016_Sedes mantenidas</v>
      </c>
      <c r="AD189" s="161" t="str">
        <f>CONCATENATE(Z189," ",AC189)</f>
        <v>08-Infraestructura física, mantenimiento y dotación (Sedes construidas, mantenidas reforzadas) 016_Sedes mantenidas</v>
      </c>
      <c r="AE189" s="160" t="str">
        <f>CONCATENATE(U189,V189,W189,X189,AA189)</f>
        <v>O23011745992024020708016</v>
      </c>
      <c r="AF189" s="160" t="str">
        <f>IFERROR(VLOOKUP(AD189,TD!$J$66:$K$89,2,0)," ")</f>
        <v>PM/0131/0108/45990160207</v>
      </c>
      <c r="AG189" s="118" t="s">
        <v>385</v>
      </c>
      <c r="AH189" s="159" t="s">
        <v>193</v>
      </c>
      <c r="AI189" s="162" t="str">
        <f>CONCATENATE(PAA[[#This Row],[Id Interno]],"-",PAA[[#This Row],[tipo de Contrato (TH talento humano - B/S bienes y/o servicios)]],"-",S189,"-",T189,"-",PAA[[#This Row],[Objeto de la contratación]])</f>
        <v>20260147-TH-8126-9-SGH - Prestar servicios profesionales en la Subdirección de Gestión Humana de la UAE Cuerpo Oficial de Bomberos de Bogotá, para apoyar el proceso de liquidación de demandas y conciliaciones administrativas, así como el proceso de recobro de incapacidades, en cumplimiento de la normatividad y lineamientos institucionales vigentes.</v>
      </c>
    </row>
    <row r="190" spans="2:35" ht="84" x14ac:dyDescent="0.35">
      <c r="B190" s="23">
        <v>20260148</v>
      </c>
      <c r="C190" s="99" t="s">
        <v>640</v>
      </c>
      <c r="D190" s="23" t="s">
        <v>105</v>
      </c>
      <c r="E190" s="23" t="s">
        <v>363</v>
      </c>
      <c r="F190" s="156" t="s">
        <v>145</v>
      </c>
      <c r="G190" s="157" t="s">
        <v>373</v>
      </c>
      <c r="H190" s="158">
        <v>7</v>
      </c>
      <c r="I190" s="158">
        <v>0</v>
      </c>
      <c r="J190" s="127">
        <v>28000000</v>
      </c>
      <c r="K190" s="88" t="s">
        <v>398</v>
      </c>
      <c r="L190" s="156" t="s">
        <v>154</v>
      </c>
      <c r="M190" s="159" t="s">
        <v>460</v>
      </c>
      <c r="N190" s="23" t="s">
        <v>197</v>
      </c>
      <c r="O190" s="151" t="s">
        <v>963</v>
      </c>
      <c r="P190" s="156" t="s">
        <v>348</v>
      </c>
      <c r="Q190" s="53">
        <v>80111600</v>
      </c>
      <c r="R190" s="159" t="s">
        <v>208</v>
      </c>
      <c r="S190" s="159" t="str">
        <f>MID(PAA[[#This Row],[Meta Proyecto de Inversión]],1,4)</f>
        <v>8126</v>
      </c>
      <c r="T190" s="159" t="str">
        <f>MID(PAA[[#This Row],[Meta Proyecto de Inversión]],6,1)</f>
        <v>9</v>
      </c>
      <c r="U190" s="160" t="str">
        <f>IFERROR(VLOOKUP(N190,TD!$B$50:$F$54,2,0)," ")</f>
        <v>O230117</v>
      </c>
      <c r="V190" s="160" t="str">
        <f>IFERROR(VLOOKUP(N190,TD!$B$50:$F$54,3,0)," ")</f>
        <v>4599</v>
      </c>
      <c r="W190" s="160">
        <f>IFERROR(VLOOKUP(N190,TD!$B$50:$F$54,4,0)," ")</f>
        <v>20240207</v>
      </c>
      <c r="X190" s="159" t="s">
        <v>174</v>
      </c>
      <c r="Y190" s="160" t="str">
        <f>IFERROR(VLOOKUP(X190,TD!$J$51:$K$64,2,0)," ")</f>
        <v>Infraestructura física, mantenimiento y dotación (Sedes construidas, mantenidas reforzadas)</v>
      </c>
      <c r="Z190" s="161" t="str">
        <f>CONCATENATE(X190,"-",Y190)</f>
        <v>08-Infraestructura física, mantenimiento y dotación (Sedes construidas, mantenidas reforzadas)</v>
      </c>
      <c r="AA190" s="159" t="s">
        <v>227</v>
      </c>
      <c r="AB190" s="160" t="str">
        <f>IFERROR(VLOOKUP(AA190,TD!$N$51:$O$66,2,0)," ")</f>
        <v>Sedes mantenidas</v>
      </c>
      <c r="AC190" s="161" t="str">
        <f>CONCATENATE(AA190,"_",AB190)</f>
        <v>016_Sedes mantenidas</v>
      </c>
      <c r="AD190" s="161" t="str">
        <f>CONCATENATE(Z190," ",AC190)</f>
        <v>08-Infraestructura física, mantenimiento y dotación (Sedes construidas, mantenidas reforzadas) 016_Sedes mantenidas</v>
      </c>
      <c r="AE190" s="160" t="str">
        <f>CONCATENATE(U190,V190,W190,X190,AA190)</f>
        <v>O23011745992024020708016</v>
      </c>
      <c r="AF190" s="160" t="str">
        <f>IFERROR(VLOOKUP(AD190,TD!$J$66:$K$89,2,0)," ")</f>
        <v>PM/0131/0108/45990160207</v>
      </c>
      <c r="AG190" s="118" t="s">
        <v>385</v>
      </c>
      <c r="AH190" s="159" t="s">
        <v>193</v>
      </c>
      <c r="AI190" s="162" t="str">
        <f>CONCATENATE(PAA[[#This Row],[Id Interno]],"-",PAA[[#This Row],[tipo de Contrato (TH talento humano - B/S bienes y/o servicios)]],"-",S190,"-",T190,"-",PAA[[#This Row],[Objeto de la contratación]])</f>
        <v>20260148-TH-8126-9-SGH - Prestar servicios de apoyo a la gestión en la Subdirección de Gestión Humana de la UAE Cuerpo Oficial de Bomberos de Bogotá, para apoyar en la ejecución y consolidación del Sistema de Gestión de Seguridad y Salud en el Trabajo (SG-SST), en la línea de seguridad e higiene industrial,  conforme a la normatividad vigente y los lineamientos institucionales.</v>
      </c>
    </row>
    <row r="191" spans="2:35" ht="98" x14ac:dyDescent="0.35">
      <c r="B191" s="23">
        <v>20260149</v>
      </c>
      <c r="C191" s="99" t="s">
        <v>470</v>
      </c>
      <c r="D191" s="23" t="s">
        <v>105</v>
      </c>
      <c r="E191" s="23" t="s">
        <v>363</v>
      </c>
      <c r="F191" s="156" t="s">
        <v>144</v>
      </c>
      <c r="G191" s="157" t="s">
        <v>373</v>
      </c>
      <c r="H191" s="158">
        <v>7</v>
      </c>
      <c r="I191" s="158">
        <v>0</v>
      </c>
      <c r="J191" s="127">
        <v>42700000</v>
      </c>
      <c r="K191" s="88" t="s">
        <v>398</v>
      </c>
      <c r="L191" s="156" t="s">
        <v>154</v>
      </c>
      <c r="M191" s="159" t="s">
        <v>460</v>
      </c>
      <c r="N191" s="23" t="s">
        <v>197</v>
      </c>
      <c r="O191" s="151" t="s">
        <v>963</v>
      </c>
      <c r="P191" s="156" t="s">
        <v>348</v>
      </c>
      <c r="Q191" s="53">
        <v>80111600</v>
      </c>
      <c r="R191" s="159" t="s">
        <v>208</v>
      </c>
      <c r="S191" s="159" t="str">
        <f>MID(PAA[[#This Row],[Meta Proyecto de Inversión]],1,4)</f>
        <v>8126</v>
      </c>
      <c r="T191" s="159" t="str">
        <f>MID(PAA[[#This Row],[Meta Proyecto de Inversión]],6,1)</f>
        <v>9</v>
      </c>
      <c r="U191" s="160" t="str">
        <f>IFERROR(VLOOKUP(N191,TD!$B$50:$F$54,2,0)," ")</f>
        <v>O230117</v>
      </c>
      <c r="V191" s="160" t="str">
        <f>IFERROR(VLOOKUP(N191,TD!$B$50:$F$54,3,0)," ")</f>
        <v>4599</v>
      </c>
      <c r="W191" s="160">
        <f>IFERROR(VLOOKUP(N191,TD!$B$50:$F$54,4,0)," ")</f>
        <v>20240207</v>
      </c>
      <c r="X191" s="159" t="s">
        <v>174</v>
      </c>
      <c r="Y191" s="160" t="str">
        <f>IFERROR(VLOOKUP(X191,TD!$J$51:$K$64,2,0)," ")</f>
        <v>Infraestructura física, mantenimiento y dotación (Sedes construidas, mantenidas reforzadas)</v>
      </c>
      <c r="Z191" s="161" t="str">
        <f>CONCATENATE(X191,"-",Y191)</f>
        <v>08-Infraestructura física, mantenimiento y dotación (Sedes construidas, mantenidas reforzadas)</v>
      </c>
      <c r="AA191" s="159" t="s">
        <v>227</v>
      </c>
      <c r="AB191" s="160" t="str">
        <f>IFERROR(VLOOKUP(AA191,TD!$N$51:$O$66,2,0)," ")</f>
        <v>Sedes mantenidas</v>
      </c>
      <c r="AC191" s="161" t="str">
        <f>CONCATENATE(AA191,"_",AB191)</f>
        <v>016_Sedes mantenidas</v>
      </c>
      <c r="AD191" s="161" t="str">
        <f>CONCATENATE(Z191," ",AC191)</f>
        <v>08-Infraestructura física, mantenimiento y dotación (Sedes construidas, mantenidas reforzadas) 016_Sedes mantenidas</v>
      </c>
      <c r="AE191" s="160" t="str">
        <f>CONCATENATE(U191,V191,W191,X191,AA191)</f>
        <v>O23011745992024020708016</v>
      </c>
      <c r="AF191" s="160" t="str">
        <f>IFERROR(VLOOKUP(AD191,TD!$J$66:$K$89,2,0)," ")</f>
        <v>PM/0131/0108/45990160207</v>
      </c>
      <c r="AG191" s="118" t="s">
        <v>385</v>
      </c>
      <c r="AH191" s="159" t="s">
        <v>193</v>
      </c>
      <c r="AI191" s="162" t="str">
        <f>CONCATENATE(PAA[[#This Row],[Id Interno]],"-",PAA[[#This Row],[tipo de Contrato (TH talento humano - B/S bienes y/o servicios)]],"-",S191,"-",T191,"-",PAA[[#This Row],[Objeto de la contratación]])</f>
        <v>20260149-TH-8126-9-SGH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92" spans="2:35" ht="126" x14ac:dyDescent="0.35">
      <c r="B192" s="23">
        <v>20260150</v>
      </c>
      <c r="C192" s="99" t="s">
        <v>470</v>
      </c>
      <c r="D192" s="23" t="s">
        <v>105</v>
      </c>
      <c r="E192" s="23" t="s">
        <v>363</v>
      </c>
      <c r="F192" s="156" t="s">
        <v>144</v>
      </c>
      <c r="G192" s="157" t="s">
        <v>373</v>
      </c>
      <c r="H192" s="158">
        <v>7</v>
      </c>
      <c r="I192" s="158">
        <v>0</v>
      </c>
      <c r="J192" s="127">
        <v>42700000</v>
      </c>
      <c r="K192" s="88" t="s">
        <v>398</v>
      </c>
      <c r="L192" s="156" t="s">
        <v>154</v>
      </c>
      <c r="M192" s="159" t="s">
        <v>460</v>
      </c>
      <c r="N192" s="23" t="s">
        <v>197</v>
      </c>
      <c r="O192" s="151" t="s">
        <v>963</v>
      </c>
      <c r="P192" s="156" t="s">
        <v>348</v>
      </c>
      <c r="Q192" s="53">
        <v>80111600</v>
      </c>
      <c r="R192" s="159" t="s">
        <v>208</v>
      </c>
      <c r="S192" s="159" t="str">
        <f>MID(PAA[[#This Row],[Meta Proyecto de Inversión]],1,4)</f>
        <v>8126</v>
      </c>
      <c r="T192" s="159" t="str">
        <f>MID(PAA[[#This Row],[Meta Proyecto de Inversión]],6,1)</f>
        <v>9</v>
      </c>
      <c r="U192" s="160" t="str">
        <f>IFERROR(VLOOKUP(N192,TD!$B$50:$F$54,2,0)," ")</f>
        <v>O230117</v>
      </c>
      <c r="V192" s="160" t="str">
        <f>IFERROR(VLOOKUP(N192,TD!$B$50:$F$54,3,0)," ")</f>
        <v>4599</v>
      </c>
      <c r="W192" s="160">
        <f>IFERROR(VLOOKUP(N192,TD!$B$50:$F$54,4,0)," ")</f>
        <v>20240207</v>
      </c>
      <c r="X192" s="159" t="s">
        <v>174</v>
      </c>
      <c r="Y192" s="160" t="str">
        <f>IFERROR(VLOOKUP(X192,TD!$J$51:$K$64,2,0)," ")</f>
        <v>Infraestructura física, mantenimiento y dotación (Sedes construidas, mantenidas reforzadas)</v>
      </c>
      <c r="Z192" s="161" t="str">
        <f>CONCATENATE(X192,"-",Y192)</f>
        <v>08-Infraestructura física, mantenimiento y dotación (Sedes construidas, mantenidas reforzadas)</v>
      </c>
      <c r="AA192" s="159" t="s">
        <v>227</v>
      </c>
      <c r="AB192" s="160" t="str">
        <f>IFERROR(VLOOKUP(AA192,TD!$N$51:$O$66,2,0)," ")</f>
        <v>Sedes mantenidas</v>
      </c>
      <c r="AC192" s="161" t="str">
        <f>CONCATENATE(AA192,"_",AB192)</f>
        <v>016_Sedes mantenidas</v>
      </c>
      <c r="AD192" s="161" t="str">
        <f>CONCATENATE(Z192," ",AC192)</f>
        <v>08-Infraestructura física, mantenimiento y dotación (Sedes construidas, mantenidas reforzadas) 016_Sedes mantenidas</v>
      </c>
      <c r="AE192" s="160" t="str">
        <f>CONCATENATE(U192,V192,W192,X192,AA192)</f>
        <v>O23011745992024020708016</v>
      </c>
      <c r="AF192" s="160" t="str">
        <f>IFERROR(VLOOKUP(AD192,TD!$J$66:$K$89,2,0)," ")</f>
        <v>PM/0131/0108/45990160207</v>
      </c>
      <c r="AG192" s="118" t="s">
        <v>385</v>
      </c>
      <c r="AH192" s="159" t="s">
        <v>193</v>
      </c>
      <c r="AI192" s="162" t="str">
        <f>CONCATENATE(PAA[[#This Row],[Id Interno]],"-",PAA[[#This Row],[tipo de Contrato (TH talento humano - B/S bienes y/o servicios)]],"-",S192,"-",T192,"-",PAA[[#This Row],[Objeto de la contratación]])</f>
        <v>20260150-TH-8126-9-SGH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93" spans="2:35" ht="112" x14ac:dyDescent="0.35">
      <c r="B193" s="23">
        <v>20260151</v>
      </c>
      <c r="C193" s="99" t="s">
        <v>470</v>
      </c>
      <c r="D193" s="23" t="s">
        <v>105</v>
      </c>
      <c r="E193" s="23" t="s">
        <v>363</v>
      </c>
      <c r="F193" s="156" t="s">
        <v>144</v>
      </c>
      <c r="G193" s="157" t="s">
        <v>373</v>
      </c>
      <c r="H193" s="158">
        <v>7</v>
      </c>
      <c r="I193" s="158">
        <v>0</v>
      </c>
      <c r="J193" s="127">
        <v>42700000</v>
      </c>
      <c r="K193" s="88" t="s">
        <v>398</v>
      </c>
      <c r="L193" s="156" t="s">
        <v>154</v>
      </c>
      <c r="M193" s="159" t="s">
        <v>460</v>
      </c>
      <c r="N193" s="23" t="s">
        <v>197</v>
      </c>
      <c r="O193" s="151" t="s">
        <v>963</v>
      </c>
      <c r="P193" s="156" t="s">
        <v>348</v>
      </c>
      <c r="Q193" s="53">
        <v>80111600</v>
      </c>
      <c r="R193" s="159" t="s">
        <v>208</v>
      </c>
      <c r="S193" s="159" t="str">
        <f>MID(PAA[[#This Row],[Meta Proyecto de Inversión]],1,4)</f>
        <v>8126</v>
      </c>
      <c r="T193" s="159" t="str">
        <f>MID(PAA[[#This Row],[Meta Proyecto de Inversión]],6,1)</f>
        <v>9</v>
      </c>
      <c r="U193" s="160" t="str">
        <f>IFERROR(VLOOKUP(N193,TD!$B$50:$F$54,2,0)," ")</f>
        <v>O230117</v>
      </c>
      <c r="V193" s="160" t="str">
        <f>IFERROR(VLOOKUP(N193,TD!$B$50:$F$54,3,0)," ")</f>
        <v>4599</v>
      </c>
      <c r="W193" s="160">
        <f>IFERROR(VLOOKUP(N193,TD!$B$50:$F$54,4,0)," ")</f>
        <v>20240207</v>
      </c>
      <c r="X193" s="159" t="s">
        <v>174</v>
      </c>
      <c r="Y193" s="160" t="str">
        <f>IFERROR(VLOOKUP(X193,TD!$J$51:$K$64,2,0)," ")</f>
        <v>Infraestructura física, mantenimiento y dotación (Sedes construidas, mantenidas reforzadas)</v>
      </c>
      <c r="Z193" s="161" t="str">
        <f>CONCATENATE(X193,"-",Y193)</f>
        <v>08-Infraestructura física, mantenimiento y dotación (Sedes construidas, mantenidas reforzadas)</v>
      </c>
      <c r="AA193" s="159" t="s">
        <v>227</v>
      </c>
      <c r="AB193" s="160" t="str">
        <f>IFERROR(VLOOKUP(AA193,TD!$N$51:$O$66,2,0)," ")</f>
        <v>Sedes mantenidas</v>
      </c>
      <c r="AC193" s="161" t="str">
        <f>CONCATENATE(AA193,"_",AB193)</f>
        <v>016_Sedes mantenidas</v>
      </c>
      <c r="AD193" s="161" t="str">
        <f>CONCATENATE(Z193," ",AC193)</f>
        <v>08-Infraestructura física, mantenimiento y dotación (Sedes construidas, mantenidas reforzadas) 016_Sedes mantenidas</v>
      </c>
      <c r="AE193" s="160" t="str">
        <f>CONCATENATE(U193,V193,W193,X193,AA193)</f>
        <v>O23011745992024020708016</v>
      </c>
      <c r="AF193" s="160" t="str">
        <f>IFERROR(VLOOKUP(AD193,TD!$J$66:$K$89,2,0)," ")</f>
        <v>PM/0131/0108/45990160207</v>
      </c>
      <c r="AG193" s="118" t="s">
        <v>385</v>
      </c>
      <c r="AH193" s="159" t="s">
        <v>193</v>
      </c>
      <c r="AI193" s="162" t="str">
        <f>CONCATENATE(PAA[[#This Row],[Id Interno]],"-",PAA[[#This Row],[tipo de Contrato (TH talento humano - B/S bienes y/o servicios)]],"-",S193,"-",T193,"-",PAA[[#This Row],[Objeto de la contratación]])</f>
        <v>20260151-TH-8126-9-SGH - Prestar servicios profesionales en la Subdirección de Gestión Humana de la UAE Cuerpo Oficial de Bomberos de Bogotá, para apoyar la implementación y seguimiento del programa de vigilancia epidemiológica al riesgo psicosocial, así como el desarrollo de actividades en materia de seguridad y salud en el trabajo, conforme a la normatividad y lineamientos institucionales vigentes</v>
      </c>
    </row>
    <row r="194" spans="2:35" ht="126" x14ac:dyDescent="0.35">
      <c r="B194" s="23">
        <v>20260152</v>
      </c>
      <c r="C194" s="99" t="s">
        <v>471</v>
      </c>
      <c r="D194" s="23" t="s">
        <v>105</v>
      </c>
      <c r="E194" s="23" t="s">
        <v>363</v>
      </c>
      <c r="F194" s="156" t="s">
        <v>144</v>
      </c>
      <c r="G194" s="157" t="s">
        <v>373</v>
      </c>
      <c r="H194" s="158">
        <v>7</v>
      </c>
      <c r="I194" s="158">
        <v>0</v>
      </c>
      <c r="J194" s="127">
        <v>34300000</v>
      </c>
      <c r="K194" s="88" t="s">
        <v>398</v>
      </c>
      <c r="L194" s="156" t="s">
        <v>154</v>
      </c>
      <c r="M194" s="159" t="s">
        <v>460</v>
      </c>
      <c r="N194" s="23" t="s">
        <v>197</v>
      </c>
      <c r="O194" s="151" t="s">
        <v>963</v>
      </c>
      <c r="P194" s="156" t="s">
        <v>348</v>
      </c>
      <c r="Q194" s="53">
        <v>80111600</v>
      </c>
      <c r="R194" s="159" t="s">
        <v>208</v>
      </c>
      <c r="S194" s="159" t="str">
        <f>MID(PAA[[#This Row],[Meta Proyecto de Inversión]],1,4)</f>
        <v>8126</v>
      </c>
      <c r="T194" s="159" t="str">
        <f>MID(PAA[[#This Row],[Meta Proyecto de Inversión]],6,1)</f>
        <v>9</v>
      </c>
      <c r="U194" s="160" t="str">
        <f>IFERROR(VLOOKUP(N194,TD!$B$50:$F$54,2,0)," ")</f>
        <v>O230117</v>
      </c>
      <c r="V194" s="160" t="str">
        <f>IFERROR(VLOOKUP(N194,TD!$B$50:$F$54,3,0)," ")</f>
        <v>4599</v>
      </c>
      <c r="W194" s="160">
        <f>IFERROR(VLOOKUP(N194,TD!$B$50:$F$54,4,0)," ")</f>
        <v>20240207</v>
      </c>
      <c r="X194" s="159" t="s">
        <v>174</v>
      </c>
      <c r="Y194" s="160" t="str">
        <f>IFERROR(VLOOKUP(X194,TD!$J$51:$K$64,2,0)," ")</f>
        <v>Infraestructura física, mantenimiento y dotación (Sedes construidas, mantenidas reforzadas)</v>
      </c>
      <c r="Z194" s="161" t="str">
        <f>CONCATENATE(X194,"-",Y194)</f>
        <v>08-Infraestructura física, mantenimiento y dotación (Sedes construidas, mantenidas reforzadas)</v>
      </c>
      <c r="AA194" s="159" t="s">
        <v>227</v>
      </c>
      <c r="AB194" s="160" t="str">
        <f>IFERROR(VLOOKUP(AA194,TD!$N$51:$O$66,2,0)," ")</f>
        <v>Sedes mantenidas</v>
      </c>
      <c r="AC194" s="161" t="str">
        <f>CONCATENATE(AA194,"_",AB194)</f>
        <v>016_Sedes mantenidas</v>
      </c>
      <c r="AD194" s="161" t="str">
        <f>CONCATENATE(Z194," ",AC194)</f>
        <v>08-Infraestructura física, mantenimiento y dotación (Sedes construidas, mantenidas reforzadas) 016_Sedes mantenidas</v>
      </c>
      <c r="AE194" s="160" t="str">
        <f>CONCATENATE(U194,V194,W194,X194,AA194)</f>
        <v>O23011745992024020708016</v>
      </c>
      <c r="AF194" s="160" t="str">
        <f>IFERROR(VLOOKUP(AD194,TD!$J$66:$K$89,2,0)," ")</f>
        <v>PM/0131/0108/45990160207</v>
      </c>
      <c r="AG194" s="118" t="s">
        <v>385</v>
      </c>
      <c r="AH194" s="159" t="s">
        <v>193</v>
      </c>
      <c r="AI194" s="162" t="str">
        <f>CONCATENATE(PAA[[#This Row],[Id Interno]],"-",PAA[[#This Row],[tipo de Contrato (TH talento humano - B/S bienes y/o servicios)]],"-",S194,"-",T194,"-",PAA[[#This Row],[Objeto de la contratación]])</f>
        <v>20260152-TH-8126-9-SGH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establecidos.</v>
      </c>
    </row>
    <row r="195" spans="2:35" ht="126" x14ac:dyDescent="0.35">
      <c r="B195" s="23">
        <v>20260153</v>
      </c>
      <c r="C195" s="99" t="s">
        <v>472</v>
      </c>
      <c r="D195" s="23" t="s">
        <v>105</v>
      </c>
      <c r="E195" s="23" t="s">
        <v>363</v>
      </c>
      <c r="F195" s="156" t="s">
        <v>144</v>
      </c>
      <c r="G195" s="157" t="s">
        <v>373</v>
      </c>
      <c r="H195" s="158">
        <v>7</v>
      </c>
      <c r="I195" s="158">
        <v>0</v>
      </c>
      <c r="J195" s="127">
        <v>36400000</v>
      </c>
      <c r="K195" s="88" t="s">
        <v>398</v>
      </c>
      <c r="L195" s="156" t="s">
        <v>154</v>
      </c>
      <c r="M195" s="159" t="s">
        <v>460</v>
      </c>
      <c r="N195" s="23" t="s">
        <v>197</v>
      </c>
      <c r="O195" s="151" t="s">
        <v>963</v>
      </c>
      <c r="P195" s="156" t="s">
        <v>348</v>
      </c>
      <c r="Q195" s="53">
        <v>80111600</v>
      </c>
      <c r="R195" s="159" t="s">
        <v>208</v>
      </c>
      <c r="S195" s="159" t="str">
        <f>MID(PAA[[#This Row],[Meta Proyecto de Inversión]],1,4)</f>
        <v>8126</v>
      </c>
      <c r="T195" s="159" t="str">
        <f>MID(PAA[[#This Row],[Meta Proyecto de Inversión]],6,1)</f>
        <v>9</v>
      </c>
      <c r="U195" s="160" t="str">
        <f>IFERROR(VLOOKUP(N195,TD!$B$50:$F$54,2,0)," ")</f>
        <v>O230117</v>
      </c>
      <c r="V195" s="160" t="str">
        <f>IFERROR(VLOOKUP(N195,TD!$B$50:$F$54,3,0)," ")</f>
        <v>4599</v>
      </c>
      <c r="W195" s="160">
        <f>IFERROR(VLOOKUP(N195,TD!$B$50:$F$54,4,0)," ")</f>
        <v>20240207</v>
      </c>
      <c r="X195" s="159" t="s">
        <v>174</v>
      </c>
      <c r="Y195" s="160" t="str">
        <f>IFERROR(VLOOKUP(X195,TD!$J$51:$K$64,2,0)," ")</f>
        <v>Infraestructura física, mantenimiento y dotación (Sedes construidas, mantenidas reforzadas)</v>
      </c>
      <c r="Z195" s="161" t="str">
        <f>CONCATENATE(X195,"-",Y195)</f>
        <v>08-Infraestructura física, mantenimiento y dotación (Sedes construidas, mantenidas reforzadas)</v>
      </c>
      <c r="AA195" s="163" t="s">
        <v>227</v>
      </c>
      <c r="AB195" s="160" t="str">
        <f>IFERROR(VLOOKUP(AA195,TD!$N$51:$O$66,2,0)," ")</f>
        <v>Sedes mantenidas</v>
      </c>
      <c r="AC195" s="161" t="str">
        <f>CONCATENATE(AA195,"_",AB195)</f>
        <v>016_Sedes mantenidas</v>
      </c>
      <c r="AD195" s="161" t="str">
        <f>CONCATENATE(Z195," ",AC195)</f>
        <v>08-Infraestructura física, mantenimiento y dotación (Sedes construidas, mantenidas reforzadas) 016_Sedes mantenidas</v>
      </c>
      <c r="AE195" s="160" t="str">
        <f>CONCATENATE(U195,V195,W195,X195,AA195)</f>
        <v>O23011745992024020708016</v>
      </c>
      <c r="AF195" s="160" t="str">
        <f>IFERROR(VLOOKUP(AD195,TD!$J$66:$K$89,2,0)," ")</f>
        <v>PM/0131/0108/45990160207</v>
      </c>
      <c r="AG195" s="118" t="s">
        <v>385</v>
      </c>
      <c r="AH195" s="159" t="s">
        <v>193</v>
      </c>
      <c r="AI195" s="162" t="str">
        <f>CONCATENATE(PAA[[#This Row],[Id Interno]],"-",PAA[[#This Row],[tipo de Contrato (TH talento humano - B/S bienes y/o servicios)]],"-",S195,"-",T195,"-",PAA[[#This Row],[Objeto de la contratación]])</f>
        <v>20260153-TH-8126-9-SGH -  Prestar servicios profesionales a la Subdirección de Gestión Humana de la UAE Cuerpo Oficial de Bomberos de Bogotá, para el apoyo en el cumplimiento de las actividades del Sistema de Gestión de Seguridad y Salud en el Trabajo (SG-SST) de la entidad, en la línea de seguridad e higiene industrial, mediante la actualización y ejecución de la documentación y procedimientos, conforme a la normatividad vigente.</v>
      </c>
    </row>
    <row r="196" spans="2:35" ht="84" x14ac:dyDescent="0.35">
      <c r="B196" s="23">
        <v>20260154</v>
      </c>
      <c r="C196" s="99" t="s">
        <v>473</v>
      </c>
      <c r="D196" s="23" t="s">
        <v>105</v>
      </c>
      <c r="E196" s="23" t="s">
        <v>363</v>
      </c>
      <c r="F196" s="156" t="s">
        <v>144</v>
      </c>
      <c r="G196" s="157" t="s">
        <v>373</v>
      </c>
      <c r="H196" s="158">
        <v>11</v>
      </c>
      <c r="I196" s="158">
        <v>0</v>
      </c>
      <c r="J196" s="127">
        <v>77000000</v>
      </c>
      <c r="K196" s="88" t="s">
        <v>398</v>
      </c>
      <c r="L196" s="156" t="s">
        <v>154</v>
      </c>
      <c r="M196" s="159" t="s">
        <v>460</v>
      </c>
      <c r="N196" s="23" t="s">
        <v>197</v>
      </c>
      <c r="O196" s="151" t="s">
        <v>963</v>
      </c>
      <c r="P196" s="156" t="s">
        <v>348</v>
      </c>
      <c r="Q196" s="53">
        <v>80111600</v>
      </c>
      <c r="R196" s="159" t="s">
        <v>208</v>
      </c>
      <c r="S196" s="159" t="str">
        <f>MID(PAA[[#This Row],[Meta Proyecto de Inversión]],1,4)</f>
        <v>8126</v>
      </c>
      <c r="T196" s="159" t="str">
        <f>MID(PAA[[#This Row],[Meta Proyecto de Inversión]],6,1)</f>
        <v>9</v>
      </c>
      <c r="U196" s="160" t="str">
        <f>IFERROR(VLOOKUP(N196,TD!$B$50:$F$54,2,0)," ")</f>
        <v>O230117</v>
      </c>
      <c r="V196" s="160" t="str">
        <f>IFERROR(VLOOKUP(N196,TD!$B$50:$F$54,3,0)," ")</f>
        <v>4599</v>
      </c>
      <c r="W196" s="160">
        <f>IFERROR(VLOOKUP(N196,TD!$B$50:$F$54,4,0)," ")</f>
        <v>20240207</v>
      </c>
      <c r="X196" s="159" t="s">
        <v>174</v>
      </c>
      <c r="Y196" s="160" t="str">
        <f>IFERROR(VLOOKUP(X196,TD!$J$51:$K$64,2,0)," ")</f>
        <v>Infraestructura física, mantenimiento y dotación (Sedes construidas, mantenidas reforzadas)</v>
      </c>
      <c r="Z196" s="161" t="str">
        <f>CONCATENATE(X196,"-",Y196)</f>
        <v>08-Infraestructura física, mantenimiento y dotación (Sedes construidas, mantenidas reforzadas)</v>
      </c>
      <c r="AA196" s="163" t="s">
        <v>227</v>
      </c>
      <c r="AB196" s="160" t="str">
        <f>IFERROR(VLOOKUP(AA196,TD!$N$51:$O$66,2,0)," ")</f>
        <v>Sedes mantenidas</v>
      </c>
      <c r="AC196" s="161" t="str">
        <f>CONCATENATE(AA196,"_",AB196)</f>
        <v>016_Sedes mantenidas</v>
      </c>
      <c r="AD196" s="161" t="str">
        <f>CONCATENATE(Z196," ",AC196)</f>
        <v>08-Infraestructura física, mantenimiento y dotación (Sedes construidas, mantenidas reforzadas) 016_Sedes mantenidas</v>
      </c>
      <c r="AE196" s="160" t="str">
        <f>CONCATENATE(U196,V196,W196,X196,AA196)</f>
        <v>O23011745992024020708016</v>
      </c>
      <c r="AF196" s="160" t="str">
        <f>IFERROR(VLOOKUP(AD196,TD!$J$66:$K$89,2,0)," ")</f>
        <v>PM/0131/0108/45990160207</v>
      </c>
      <c r="AG196" s="118" t="s">
        <v>385</v>
      </c>
      <c r="AH196" s="159" t="s">
        <v>193</v>
      </c>
      <c r="AI196" s="162" t="str">
        <f>CONCATENATE(PAA[[#This Row],[Id Interno]],"-",PAA[[#This Row],[tipo de Contrato (TH talento humano - B/S bienes y/o servicios)]],"-",S196,"-",T196,"-",PAA[[#This Row],[Objeto de la contratación]])</f>
        <v>20260154-TH-8126-9-SGH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en la línea de seguridad e higiene industrial, conforme a la normatividad vigente y los lineamientos institucionales.</v>
      </c>
    </row>
    <row r="197" spans="2:35" ht="70" x14ac:dyDescent="0.35">
      <c r="B197" s="23">
        <v>20260155</v>
      </c>
      <c r="C197" s="99" t="s">
        <v>474</v>
      </c>
      <c r="D197" s="23" t="s">
        <v>105</v>
      </c>
      <c r="E197" s="23" t="s">
        <v>363</v>
      </c>
      <c r="F197" s="156" t="s">
        <v>144</v>
      </c>
      <c r="G197" s="157" t="s">
        <v>373</v>
      </c>
      <c r="H197" s="158">
        <v>10</v>
      </c>
      <c r="I197" s="158">
        <v>0</v>
      </c>
      <c r="J197" s="127">
        <v>64000000</v>
      </c>
      <c r="K197" s="88" t="s">
        <v>398</v>
      </c>
      <c r="L197" s="156" t="s">
        <v>154</v>
      </c>
      <c r="M197" s="159" t="s">
        <v>460</v>
      </c>
      <c r="N197" s="23" t="s">
        <v>197</v>
      </c>
      <c r="O197" s="151" t="s">
        <v>963</v>
      </c>
      <c r="P197" s="156" t="s">
        <v>348</v>
      </c>
      <c r="Q197" s="53">
        <v>80111600</v>
      </c>
      <c r="R197" s="159" t="s">
        <v>208</v>
      </c>
      <c r="S197" s="159" t="str">
        <f>MID(PAA[[#This Row],[Meta Proyecto de Inversión]],1,4)</f>
        <v>8126</v>
      </c>
      <c r="T197" s="159" t="str">
        <f>MID(PAA[[#This Row],[Meta Proyecto de Inversión]],6,1)</f>
        <v>9</v>
      </c>
      <c r="U197" s="160" t="str">
        <f>IFERROR(VLOOKUP(N197,TD!$B$50:$F$54,2,0)," ")</f>
        <v>O230117</v>
      </c>
      <c r="V197" s="160" t="str">
        <f>IFERROR(VLOOKUP(N197,TD!$B$50:$F$54,3,0)," ")</f>
        <v>4599</v>
      </c>
      <c r="W197" s="160">
        <f>IFERROR(VLOOKUP(N197,TD!$B$50:$F$54,4,0)," ")</f>
        <v>20240207</v>
      </c>
      <c r="X197" s="159" t="s">
        <v>174</v>
      </c>
      <c r="Y197" s="160" t="str">
        <f>IFERROR(VLOOKUP(X197,TD!$J$51:$K$64,2,0)," ")</f>
        <v>Infraestructura física, mantenimiento y dotación (Sedes construidas, mantenidas reforzadas)</v>
      </c>
      <c r="Z197" s="161" t="str">
        <f>CONCATENATE(X197,"-",Y197)</f>
        <v>08-Infraestructura física, mantenimiento y dotación (Sedes construidas, mantenidas reforzadas)</v>
      </c>
      <c r="AA197" s="163" t="s">
        <v>227</v>
      </c>
      <c r="AB197" s="160" t="str">
        <f>IFERROR(VLOOKUP(AA197,TD!$N$51:$O$66,2,0)," ")</f>
        <v>Sedes mantenidas</v>
      </c>
      <c r="AC197" s="161" t="str">
        <f>CONCATENATE(AA197,"_",AB197)</f>
        <v>016_Sedes mantenidas</v>
      </c>
      <c r="AD197" s="161" t="str">
        <f>CONCATENATE(Z197," ",AC197)</f>
        <v>08-Infraestructura física, mantenimiento y dotación (Sedes construidas, mantenidas reforzadas) 016_Sedes mantenidas</v>
      </c>
      <c r="AE197" s="160" t="str">
        <f>CONCATENATE(U197,V197,W197,X197,AA197)</f>
        <v>O23011745992024020708016</v>
      </c>
      <c r="AF197" s="160" t="str">
        <f>IFERROR(VLOOKUP(AD197,TD!$J$66:$K$89,2,0)," ")</f>
        <v>PM/0131/0108/45990160207</v>
      </c>
      <c r="AG197" s="118" t="s">
        <v>385</v>
      </c>
      <c r="AH197" s="159" t="s">
        <v>193</v>
      </c>
      <c r="AI197" s="162" t="str">
        <f>CONCATENATE(PAA[[#This Row],[Id Interno]],"-",PAA[[#This Row],[tipo de Contrato (TH talento humano - B/S bienes y/o servicios)]],"-",S197,"-",T197,"-",PAA[[#This Row],[Objeto de la contratación]])</f>
        <v>20260155-TH-8126-9-SGH -  Prestar servicios profesionales a la Subdirección de Gestión Humana de la UAE Cuerpo Oficial de Bomberos de Bogotá, para el apoyo en el cumplimiento de las actividades del Sistema de Gestión de Seguridad y Salud en el Trabajo (SG-SST) de la entidad, en la línea de medicina preventiva, mediante la construcción, ejecución, seguimiento y evaluación de los diferentes programas, de conformidad con la normatividad vigente y los lineamientos institucionales.</v>
      </c>
    </row>
    <row r="198" spans="2:35" ht="70" x14ac:dyDescent="0.35">
      <c r="B198" s="23">
        <v>20260156</v>
      </c>
      <c r="C198" s="99" t="s">
        <v>475</v>
      </c>
      <c r="D198" s="23" t="s">
        <v>105</v>
      </c>
      <c r="E198" s="23" t="s">
        <v>363</v>
      </c>
      <c r="F198" s="156" t="s">
        <v>144</v>
      </c>
      <c r="G198" s="157" t="s">
        <v>373</v>
      </c>
      <c r="H198" s="158">
        <v>11</v>
      </c>
      <c r="I198" s="158">
        <v>0</v>
      </c>
      <c r="J198" s="127">
        <v>77000000</v>
      </c>
      <c r="K198" s="88" t="s">
        <v>398</v>
      </c>
      <c r="L198" s="156" t="s">
        <v>154</v>
      </c>
      <c r="M198" s="159" t="s">
        <v>460</v>
      </c>
      <c r="N198" s="23" t="s">
        <v>197</v>
      </c>
      <c r="O198" s="151" t="s">
        <v>963</v>
      </c>
      <c r="P198" s="156" t="s">
        <v>348</v>
      </c>
      <c r="Q198" s="53">
        <v>80111600</v>
      </c>
      <c r="R198" s="159" t="s">
        <v>208</v>
      </c>
      <c r="S198" s="159" t="str">
        <f>MID(PAA[[#This Row],[Meta Proyecto de Inversión]],1,4)</f>
        <v>8126</v>
      </c>
      <c r="T198" s="159" t="str">
        <f>MID(PAA[[#This Row],[Meta Proyecto de Inversión]],6,1)</f>
        <v>9</v>
      </c>
      <c r="U198" s="160" t="str">
        <f>IFERROR(VLOOKUP(N198,TD!$B$50:$F$54,2,0)," ")</f>
        <v>O230117</v>
      </c>
      <c r="V198" s="160" t="str">
        <f>IFERROR(VLOOKUP(N198,TD!$B$50:$F$54,3,0)," ")</f>
        <v>4599</v>
      </c>
      <c r="W198" s="160">
        <f>IFERROR(VLOOKUP(N198,TD!$B$50:$F$54,4,0)," ")</f>
        <v>20240207</v>
      </c>
      <c r="X198" s="159" t="s">
        <v>174</v>
      </c>
      <c r="Y198" s="160" t="str">
        <f>IFERROR(VLOOKUP(X198,TD!$J$51:$K$64,2,0)," ")</f>
        <v>Infraestructura física, mantenimiento y dotación (Sedes construidas, mantenidas reforzadas)</v>
      </c>
      <c r="Z198" s="161" t="str">
        <f>CONCATENATE(X198,"-",Y198)</f>
        <v>08-Infraestructura física, mantenimiento y dotación (Sedes construidas, mantenidas reforzadas)</v>
      </c>
      <c r="AA198" s="163" t="s">
        <v>227</v>
      </c>
      <c r="AB198" s="160" t="str">
        <f>IFERROR(VLOOKUP(AA198,TD!$N$51:$O$66,2,0)," ")</f>
        <v>Sedes mantenidas</v>
      </c>
      <c r="AC198" s="161" t="str">
        <f>CONCATENATE(AA198,"_",AB198)</f>
        <v>016_Sedes mantenidas</v>
      </c>
      <c r="AD198" s="161" t="str">
        <f>CONCATENATE(Z198," ",AC198)</f>
        <v>08-Infraestructura física, mantenimiento y dotación (Sedes construidas, mantenidas reforzadas) 016_Sedes mantenidas</v>
      </c>
      <c r="AE198" s="160" t="str">
        <f>CONCATENATE(U198,V198,W198,X198,AA198)</f>
        <v>O23011745992024020708016</v>
      </c>
      <c r="AF198" s="160" t="str">
        <f>IFERROR(VLOOKUP(AD198,TD!$J$66:$K$89,2,0)," ")</f>
        <v>PM/0131/0108/45990160207</v>
      </c>
      <c r="AG198" s="118" t="s">
        <v>385</v>
      </c>
      <c r="AH198" s="159" t="s">
        <v>193</v>
      </c>
      <c r="AI198" s="162" t="str">
        <f>CONCATENATE(PAA[[#This Row],[Id Interno]],"-",PAA[[#This Row],[tipo de Contrato (TH talento humano - B/S bienes y/o servicios)]],"-",S198,"-",T198,"-",PAA[[#This Row],[Objeto de la contratación]])</f>
        <v>20260156-TH-8126-9-SGH - Prestar servicios profesionales en la Subdirección de Gestión Humana de la UAE Cuerpo Oficial de Bomberos de Bogotá, en el apoyo en la consolidación, ejecución, administración, seguimiento y evaluación del Sistema de Gestión de Seguridad y Salud en el Trabajo (SG-SST),  conforme a la normatividad vigente y los lineamientos institucionales.</v>
      </c>
    </row>
    <row r="199" spans="2:35" ht="98" x14ac:dyDescent="0.35">
      <c r="B199" s="23">
        <v>20260157</v>
      </c>
      <c r="C199" s="99" t="s">
        <v>641</v>
      </c>
      <c r="D199" s="23" t="s">
        <v>105</v>
      </c>
      <c r="E199" s="23" t="s">
        <v>363</v>
      </c>
      <c r="F199" s="156" t="s">
        <v>144</v>
      </c>
      <c r="G199" s="157" t="s">
        <v>373</v>
      </c>
      <c r="H199" s="158">
        <v>10</v>
      </c>
      <c r="I199" s="158">
        <v>0</v>
      </c>
      <c r="J199" s="127">
        <v>65000000</v>
      </c>
      <c r="K199" s="88" t="s">
        <v>398</v>
      </c>
      <c r="L199" s="156" t="s">
        <v>154</v>
      </c>
      <c r="M199" s="159" t="s">
        <v>460</v>
      </c>
      <c r="N199" s="23" t="s">
        <v>197</v>
      </c>
      <c r="O199" s="151" t="s">
        <v>963</v>
      </c>
      <c r="P199" s="156" t="s">
        <v>348</v>
      </c>
      <c r="Q199" s="53">
        <v>80111600</v>
      </c>
      <c r="R199" s="159" t="s">
        <v>208</v>
      </c>
      <c r="S199" s="159" t="str">
        <f>MID(PAA[[#This Row],[Meta Proyecto de Inversión]],1,4)</f>
        <v>8126</v>
      </c>
      <c r="T199" s="159" t="str">
        <f>MID(PAA[[#This Row],[Meta Proyecto de Inversión]],6,1)</f>
        <v>9</v>
      </c>
      <c r="U199" s="160" t="str">
        <f>IFERROR(VLOOKUP(N199,TD!$B$50:$F$54,2,0)," ")</f>
        <v>O230117</v>
      </c>
      <c r="V199" s="160" t="str">
        <f>IFERROR(VLOOKUP(N199,TD!$B$50:$F$54,3,0)," ")</f>
        <v>4599</v>
      </c>
      <c r="W199" s="160">
        <f>IFERROR(VLOOKUP(N199,TD!$B$50:$F$54,4,0)," ")</f>
        <v>20240207</v>
      </c>
      <c r="X199" s="159" t="s">
        <v>174</v>
      </c>
      <c r="Y199" s="160" t="str">
        <f>IFERROR(VLOOKUP(X199,TD!$J$51:$K$64,2,0)," ")</f>
        <v>Infraestructura física, mantenimiento y dotación (Sedes construidas, mantenidas reforzadas)</v>
      </c>
      <c r="Z199" s="161" t="str">
        <f>CONCATENATE(X199,"-",Y199)</f>
        <v>08-Infraestructura física, mantenimiento y dotación (Sedes construidas, mantenidas reforzadas)</v>
      </c>
      <c r="AA199" s="163" t="s">
        <v>227</v>
      </c>
      <c r="AB199" s="160" t="str">
        <f>IFERROR(VLOOKUP(AA199,TD!$N$51:$O$66,2,0)," ")</f>
        <v>Sedes mantenidas</v>
      </c>
      <c r="AC199" s="161" t="str">
        <f>CONCATENATE(AA199,"_",AB199)</f>
        <v>016_Sedes mantenidas</v>
      </c>
      <c r="AD199" s="161" t="str">
        <f>CONCATENATE(Z199," ",AC199)</f>
        <v>08-Infraestructura física, mantenimiento y dotación (Sedes construidas, mantenidas reforzadas) 016_Sedes mantenidas</v>
      </c>
      <c r="AE199" s="160" t="str">
        <f>CONCATENATE(U199,V199,W199,X199,AA199)</f>
        <v>O23011745992024020708016</v>
      </c>
      <c r="AF199" s="160" t="str">
        <f>IFERROR(VLOOKUP(AD199,TD!$J$66:$K$89,2,0)," ")</f>
        <v>PM/0131/0108/45990160207</v>
      </c>
      <c r="AG199" s="118" t="s">
        <v>385</v>
      </c>
      <c r="AH199" s="159" t="s">
        <v>193</v>
      </c>
      <c r="AI199" s="162" t="str">
        <f>CONCATENATE(PAA[[#This Row],[Id Interno]],"-",PAA[[#This Row],[tipo de Contrato (TH talento humano - B/S bienes y/o servicios)]],"-",S199,"-",T199,"-",PAA[[#This Row],[Objeto de la contratación]])</f>
        <v>20260157-TH-8126-9-SGH - Prestar servicios profesionales en la Subdirección de Gestión Humana de la UAE Cuerpo Oficial de Bomberos de Bogotá, apoyando en la consolidación, ejecución, administración, seguimiento y evaluación del Sistema de Gestión de Seguridad y Salud en el Trabajo (SG-SST), con especial énfasis en el programa de vigilancia epidemiológico al riesgo psicosocial, en cumplimiento de la normatividad vigente y los lineamientos institucionales.</v>
      </c>
    </row>
    <row r="200" spans="2:35" ht="168" x14ac:dyDescent="0.35">
      <c r="B200" s="23">
        <v>20260158</v>
      </c>
      <c r="C200" s="99" t="s">
        <v>476</v>
      </c>
      <c r="D200" s="23" t="s">
        <v>105</v>
      </c>
      <c r="E200" s="23" t="s">
        <v>363</v>
      </c>
      <c r="F200" s="156" t="s">
        <v>144</v>
      </c>
      <c r="G200" s="157" t="s">
        <v>373</v>
      </c>
      <c r="H200" s="158">
        <v>7</v>
      </c>
      <c r="I200" s="158">
        <v>0</v>
      </c>
      <c r="J200" s="127">
        <v>51800000</v>
      </c>
      <c r="K200" s="88" t="s">
        <v>398</v>
      </c>
      <c r="L200" s="156" t="s">
        <v>154</v>
      </c>
      <c r="M200" s="159" t="s">
        <v>460</v>
      </c>
      <c r="N200" s="23" t="s">
        <v>197</v>
      </c>
      <c r="O200" s="151" t="s">
        <v>963</v>
      </c>
      <c r="P200" s="156" t="s">
        <v>348</v>
      </c>
      <c r="Q200" s="53">
        <v>80111600</v>
      </c>
      <c r="R200" s="159" t="s">
        <v>208</v>
      </c>
      <c r="S200" s="159" t="str">
        <f>MID(PAA[[#This Row],[Meta Proyecto de Inversión]],1,4)</f>
        <v>8126</v>
      </c>
      <c r="T200" s="159" t="str">
        <f>MID(PAA[[#This Row],[Meta Proyecto de Inversión]],6,1)</f>
        <v>9</v>
      </c>
      <c r="U200" s="160" t="str">
        <f>IFERROR(VLOOKUP(N200,TD!$B$50:$F$54,2,0)," ")</f>
        <v>O230117</v>
      </c>
      <c r="V200" s="160" t="str">
        <f>IFERROR(VLOOKUP(N200,TD!$B$50:$F$54,3,0)," ")</f>
        <v>4599</v>
      </c>
      <c r="W200" s="160">
        <f>IFERROR(VLOOKUP(N200,TD!$B$50:$F$54,4,0)," ")</f>
        <v>20240207</v>
      </c>
      <c r="X200" s="159" t="s">
        <v>174</v>
      </c>
      <c r="Y200" s="160" t="str">
        <f>IFERROR(VLOOKUP(X200,TD!$J$51:$K$64,2,0)," ")</f>
        <v>Infraestructura física, mantenimiento y dotación (Sedes construidas, mantenidas reforzadas)</v>
      </c>
      <c r="Z200" s="161" t="str">
        <f>CONCATENATE(X200,"-",Y200)</f>
        <v>08-Infraestructura física, mantenimiento y dotación (Sedes construidas, mantenidas reforzadas)</v>
      </c>
      <c r="AA200" s="163" t="s">
        <v>227</v>
      </c>
      <c r="AB200" s="160" t="str">
        <f>IFERROR(VLOOKUP(AA200,TD!$N$51:$O$66,2,0)," ")</f>
        <v>Sedes mantenidas</v>
      </c>
      <c r="AC200" s="161" t="str">
        <f>CONCATENATE(AA200,"_",AB200)</f>
        <v>016_Sedes mantenidas</v>
      </c>
      <c r="AD200" s="161" t="str">
        <f>CONCATENATE(Z200," ",AC200)</f>
        <v>08-Infraestructura física, mantenimiento y dotación (Sedes construidas, mantenidas reforzadas) 016_Sedes mantenidas</v>
      </c>
      <c r="AE200" s="160" t="str">
        <f>CONCATENATE(U200,V200,W200,X200,AA200)</f>
        <v>O23011745992024020708016</v>
      </c>
      <c r="AF200" s="160" t="str">
        <f>IFERROR(VLOOKUP(AD200,TD!$J$66:$K$89,2,0)," ")</f>
        <v>PM/0131/0108/45990160207</v>
      </c>
      <c r="AG200" s="118" t="s">
        <v>385</v>
      </c>
      <c r="AH200" s="159" t="s">
        <v>193</v>
      </c>
      <c r="AI200" s="162" t="str">
        <f>CONCATENATE(PAA[[#This Row],[Id Interno]],"-",PAA[[#This Row],[tipo de Contrato (TH talento humano - B/S bienes y/o servicios)]],"-",S200,"-",T200,"-",PAA[[#This Row],[Objeto de la contratación]])</f>
        <v>20260158-TH-8126-9-SGH – Prestar servicios profesionales en la Subdirección de Gestión Humana de la UAE Cuerpo Oficial de Bomberos de Bogotá, para apoyar la ejecución de las actividades del Sistema de Gestión de Seguridad y Salud en el Trabajo (SG-SST) y de los programas de vigilancia epidemiológica, conforme a la normatividad vigente y los lineamientos institucionales.</v>
      </c>
    </row>
    <row r="201" spans="2:35" ht="70" x14ac:dyDescent="0.35">
      <c r="B201" s="23">
        <v>20260159</v>
      </c>
      <c r="C201" s="99" t="s">
        <v>642</v>
      </c>
      <c r="D201" s="23" t="s">
        <v>105</v>
      </c>
      <c r="E201" s="23" t="s">
        <v>363</v>
      </c>
      <c r="F201" s="156" t="s">
        <v>144</v>
      </c>
      <c r="G201" s="157" t="s">
        <v>373</v>
      </c>
      <c r="H201" s="158">
        <v>7</v>
      </c>
      <c r="I201" s="158">
        <v>0</v>
      </c>
      <c r="J201" s="127">
        <v>64400000</v>
      </c>
      <c r="K201" s="88" t="s">
        <v>398</v>
      </c>
      <c r="L201" s="156" t="s">
        <v>154</v>
      </c>
      <c r="M201" s="159" t="s">
        <v>460</v>
      </c>
      <c r="N201" s="23" t="s">
        <v>197</v>
      </c>
      <c r="O201" s="151" t="s">
        <v>963</v>
      </c>
      <c r="P201" s="156" t="s">
        <v>348</v>
      </c>
      <c r="Q201" s="53">
        <v>80111600</v>
      </c>
      <c r="R201" s="159" t="s">
        <v>208</v>
      </c>
      <c r="S201" s="159" t="str">
        <f>MID(PAA[[#This Row],[Meta Proyecto de Inversión]],1,4)</f>
        <v>8126</v>
      </c>
      <c r="T201" s="159" t="str">
        <f>MID(PAA[[#This Row],[Meta Proyecto de Inversión]],6,1)</f>
        <v>9</v>
      </c>
      <c r="U201" s="160" t="str">
        <f>IFERROR(VLOOKUP(N201,TD!$B$50:$F$54,2,0)," ")</f>
        <v>O230117</v>
      </c>
      <c r="V201" s="160" t="str">
        <f>IFERROR(VLOOKUP(N201,TD!$B$50:$F$54,3,0)," ")</f>
        <v>4599</v>
      </c>
      <c r="W201" s="160">
        <f>IFERROR(VLOOKUP(N201,TD!$B$50:$F$54,4,0)," ")</f>
        <v>20240207</v>
      </c>
      <c r="X201" s="159" t="s">
        <v>174</v>
      </c>
      <c r="Y201" s="160" t="str">
        <f>IFERROR(VLOOKUP(X201,TD!$J$51:$K$64,2,0)," ")</f>
        <v>Infraestructura física, mantenimiento y dotación (Sedes construidas, mantenidas reforzadas)</v>
      </c>
      <c r="Z201" s="161" t="str">
        <f>CONCATENATE(X201,"-",Y201)</f>
        <v>08-Infraestructura física, mantenimiento y dotación (Sedes construidas, mantenidas reforzadas)</v>
      </c>
      <c r="AA201" s="163" t="s">
        <v>227</v>
      </c>
      <c r="AB201" s="160" t="str">
        <f>IFERROR(VLOOKUP(AA201,TD!$N$51:$O$66,2,0)," ")</f>
        <v>Sedes mantenidas</v>
      </c>
      <c r="AC201" s="161" t="str">
        <f>CONCATENATE(AA201,"_",AB201)</f>
        <v>016_Sedes mantenidas</v>
      </c>
      <c r="AD201" s="161" t="str">
        <f>CONCATENATE(Z201," ",AC201)</f>
        <v>08-Infraestructura física, mantenimiento y dotación (Sedes construidas, mantenidas reforzadas) 016_Sedes mantenidas</v>
      </c>
      <c r="AE201" s="160" t="str">
        <f>CONCATENATE(U201,V201,W201,X201,AA201)</f>
        <v>O23011745992024020708016</v>
      </c>
      <c r="AF201" s="160" t="str">
        <f>IFERROR(VLOOKUP(AD201,TD!$J$66:$K$89,2,0)," ")</f>
        <v>PM/0131/0108/45990160207</v>
      </c>
      <c r="AG201" s="118" t="s">
        <v>385</v>
      </c>
      <c r="AH201" s="159" t="s">
        <v>193</v>
      </c>
      <c r="AI201" s="162" t="str">
        <f>CONCATENATE(PAA[[#This Row],[Id Interno]],"-",PAA[[#This Row],[tipo de Contrato (TH talento humano - B/S bienes y/o servicios)]],"-",S201,"-",T201,"-",PAA[[#This Row],[Objeto de la contratación]])</f>
        <v>20260159-TH-8126-9-SGH - Prestar servicios profesionales en la Subdirección de Gestión Humana de la UAE Cuerpo Oficial de Bomberos de Bogotá, para apoyar juridicamente en el desarrollo de actividades relacionadas con los procesos de seguridad social y la gestión de las diferentes situaciones administrativas de los servidores públicos de la entidad, conforme a la normatividad vigente y los lineamientos institucionales.</v>
      </c>
    </row>
    <row r="202" spans="2:35" ht="84" x14ac:dyDescent="0.35">
      <c r="B202" s="23">
        <v>20260160</v>
      </c>
      <c r="C202" s="99" t="s">
        <v>643</v>
      </c>
      <c r="D202" s="23" t="s">
        <v>105</v>
      </c>
      <c r="E202" s="23" t="s">
        <v>363</v>
      </c>
      <c r="F202" s="156" t="s">
        <v>145</v>
      </c>
      <c r="G202" s="157" t="s">
        <v>373</v>
      </c>
      <c r="H202" s="158">
        <v>7</v>
      </c>
      <c r="I202" s="158">
        <v>0</v>
      </c>
      <c r="J202" s="127">
        <v>25200000</v>
      </c>
      <c r="K202" s="88" t="s">
        <v>398</v>
      </c>
      <c r="L202" s="156" t="s">
        <v>154</v>
      </c>
      <c r="M202" s="159" t="s">
        <v>460</v>
      </c>
      <c r="N202" s="23" t="s">
        <v>197</v>
      </c>
      <c r="O202" s="151" t="s">
        <v>963</v>
      </c>
      <c r="P202" s="156" t="s">
        <v>348</v>
      </c>
      <c r="Q202" s="53">
        <v>80111600</v>
      </c>
      <c r="R202" s="159" t="s">
        <v>208</v>
      </c>
      <c r="S202" s="159" t="str">
        <f>MID(PAA[[#This Row],[Meta Proyecto de Inversión]],1,4)</f>
        <v>8126</v>
      </c>
      <c r="T202" s="159" t="str">
        <f>MID(PAA[[#This Row],[Meta Proyecto de Inversión]],6,1)</f>
        <v>9</v>
      </c>
      <c r="U202" s="160" t="str">
        <f>IFERROR(VLOOKUP(N202,TD!$B$50:$F$54,2,0)," ")</f>
        <v>O230117</v>
      </c>
      <c r="V202" s="160" t="str">
        <f>IFERROR(VLOOKUP(N202,TD!$B$50:$F$54,3,0)," ")</f>
        <v>4599</v>
      </c>
      <c r="W202" s="160">
        <f>IFERROR(VLOOKUP(N202,TD!$B$50:$F$54,4,0)," ")</f>
        <v>20240207</v>
      </c>
      <c r="X202" s="159" t="s">
        <v>174</v>
      </c>
      <c r="Y202" s="160" t="str">
        <f>IFERROR(VLOOKUP(X202,TD!$J$51:$K$64,2,0)," ")</f>
        <v>Infraestructura física, mantenimiento y dotación (Sedes construidas, mantenidas reforzadas)</v>
      </c>
      <c r="Z202" s="161" t="str">
        <f>CONCATENATE(X202,"-",Y202)</f>
        <v>08-Infraestructura física, mantenimiento y dotación (Sedes construidas, mantenidas reforzadas)</v>
      </c>
      <c r="AA202" s="163" t="s">
        <v>227</v>
      </c>
      <c r="AB202" s="160" t="str">
        <f>IFERROR(VLOOKUP(AA202,TD!$N$51:$O$66,2,0)," ")</f>
        <v>Sedes mantenidas</v>
      </c>
      <c r="AC202" s="161" t="str">
        <f>CONCATENATE(AA202,"_",AB202)</f>
        <v>016_Sedes mantenidas</v>
      </c>
      <c r="AD202" s="161" t="str">
        <f>CONCATENATE(Z202," ",AC202)</f>
        <v>08-Infraestructura física, mantenimiento y dotación (Sedes construidas, mantenidas reforzadas) 016_Sedes mantenidas</v>
      </c>
      <c r="AE202" s="160" t="str">
        <f>CONCATENATE(U202,V202,W202,X202,AA202)</f>
        <v>O23011745992024020708016</v>
      </c>
      <c r="AF202" s="160" t="str">
        <f>IFERROR(VLOOKUP(AD202,TD!$J$66:$K$89,2,0)," ")</f>
        <v>PM/0131/0108/45990160207</v>
      </c>
      <c r="AG202" s="118" t="s">
        <v>385</v>
      </c>
      <c r="AH202" s="159" t="s">
        <v>193</v>
      </c>
      <c r="AI202" s="162" t="str">
        <f>CONCATENATE(PAA[[#This Row],[Id Interno]],"-",PAA[[#This Row],[tipo de Contrato (TH talento humano - B/S bienes y/o servicios)]],"-",S202,"-",T202,"-",PAA[[#This Row],[Objeto de la contratación]])</f>
        <v>20260160-TH-8126-9-SGH - Prestación de servicios de apoyo a la gestión para acompañar a la Subdirección de Gestión Humana de la UAE Cuerpo Oficial de Bomberos de Bogotá D.C., en la proyección y elaboración de actas técnicas de las sesiones llevadas a cabo, en los que la dependencia ejerza la secretaria técnica y las que se requieran en cumplimiento de las funciones a cargo de la Subdirección.</v>
      </c>
    </row>
    <row r="203" spans="2:35" ht="70" x14ac:dyDescent="0.35">
      <c r="B203" s="23">
        <v>20260161</v>
      </c>
      <c r="C203" s="99" t="s">
        <v>477</v>
      </c>
      <c r="D203" s="23" t="s">
        <v>105</v>
      </c>
      <c r="E203" s="23" t="s">
        <v>363</v>
      </c>
      <c r="F203" s="156" t="s">
        <v>144</v>
      </c>
      <c r="G203" s="157" t="s">
        <v>373</v>
      </c>
      <c r="H203" s="158">
        <v>7</v>
      </c>
      <c r="I203" s="158">
        <v>0</v>
      </c>
      <c r="J203" s="127">
        <v>41300000</v>
      </c>
      <c r="K203" s="88" t="s">
        <v>398</v>
      </c>
      <c r="L203" s="156" t="s">
        <v>154</v>
      </c>
      <c r="M203" s="159" t="s">
        <v>460</v>
      </c>
      <c r="N203" s="23" t="s">
        <v>197</v>
      </c>
      <c r="O203" s="151" t="s">
        <v>963</v>
      </c>
      <c r="P203" s="156" t="s">
        <v>348</v>
      </c>
      <c r="Q203" s="53">
        <v>80111600</v>
      </c>
      <c r="R203" s="159" t="s">
        <v>208</v>
      </c>
      <c r="S203" s="159" t="str">
        <f>MID(PAA[[#This Row],[Meta Proyecto de Inversión]],1,4)</f>
        <v>8126</v>
      </c>
      <c r="T203" s="159" t="str">
        <f>MID(PAA[[#This Row],[Meta Proyecto de Inversión]],6,1)</f>
        <v>9</v>
      </c>
      <c r="U203" s="160" t="str">
        <f>IFERROR(VLOOKUP(N203,TD!$B$50:$F$54,2,0)," ")</f>
        <v>O230117</v>
      </c>
      <c r="V203" s="160" t="str">
        <f>IFERROR(VLOOKUP(N203,TD!$B$50:$F$54,3,0)," ")</f>
        <v>4599</v>
      </c>
      <c r="W203" s="160">
        <f>IFERROR(VLOOKUP(N203,TD!$B$50:$F$54,4,0)," ")</f>
        <v>20240207</v>
      </c>
      <c r="X203" s="159" t="s">
        <v>174</v>
      </c>
      <c r="Y203" s="160" t="str">
        <f>IFERROR(VLOOKUP(X203,TD!$J$51:$K$64,2,0)," ")</f>
        <v>Infraestructura física, mantenimiento y dotación (Sedes construidas, mantenidas reforzadas)</v>
      </c>
      <c r="Z203" s="161" t="str">
        <f>CONCATENATE(X203,"-",Y203)</f>
        <v>08-Infraestructura física, mantenimiento y dotación (Sedes construidas, mantenidas reforzadas)</v>
      </c>
      <c r="AA203" s="163" t="s">
        <v>227</v>
      </c>
      <c r="AB203" s="160" t="str">
        <f>IFERROR(VLOOKUP(AA203,TD!$N$51:$O$66,2,0)," ")</f>
        <v>Sedes mantenidas</v>
      </c>
      <c r="AC203" s="161" t="str">
        <f>CONCATENATE(AA203,"_",AB203)</f>
        <v>016_Sedes mantenidas</v>
      </c>
      <c r="AD203" s="161" t="str">
        <f>CONCATENATE(Z203," ",AC203)</f>
        <v>08-Infraestructura física, mantenimiento y dotación (Sedes construidas, mantenidas reforzadas) 016_Sedes mantenidas</v>
      </c>
      <c r="AE203" s="160" t="str">
        <f>CONCATENATE(U203,V203,W203,X203,AA203)</f>
        <v>O23011745992024020708016</v>
      </c>
      <c r="AF203" s="160" t="str">
        <f>IFERROR(VLOOKUP(AD203,TD!$J$66:$K$89,2,0)," ")</f>
        <v>PM/0131/0108/45990160207</v>
      </c>
      <c r="AG203" s="118" t="s">
        <v>385</v>
      </c>
      <c r="AH203" s="159" t="s">
        <v>193</v>
      </c>
      <c r="AI203" s="162" t="str">
        <f>CONCATENATE(PAA[[#This Row],[Id Interno]],"-",PAA[[#This Row],[tipo de Contrato (TH talento humano - B/S bienes y/o servicios)]],"-",S203,"-",T203,"-",PAA[[#This Row],[Objeto de la contratación]])</f>
        <v>20260161-TH-8126-9-SGH-Prestar servicios profesionales para acompañar a la Subdirección de Gestión Humana de la UAE Cuerpo Oficial de Bomberos de Bogotá en el desarrollo de las actividades derivadas de la actuación del Comité de Mujer y Género, en el marco de la implementación de políticas institucionales de equidad, inclusión y enfoque diferencial.</v>
      </c>
    </row>
    <row r="204" spans="2:35" ht="56" x14ac:dyDescent="0.35">
      <c r="B204" s="23">
        <v>20260162</v>
      </c>
      <c r="C204" s="99" t="s">
        <v>644</v>
      </c>
      <c r="D204" s="23" t="s">
        <v>105</v>
      </c>
      <c r="E204" s="23" t="s">
        <v>363</v>
      </c>
      <c r="F204" s="156" t="s">
        <v>144</v>
      </c>
      <c r="G204" s="157" t="s">
        <v>373</v>
      </c>
      <c r="H204" s="158">
        <v>8</v>
      </c>
      <c r="I204" s="158">
        <v>0</v>
      </c>
      <c r="J204" s="127">
        <v>57600000</v>
      </c>
      <c r="K204" s="88" t="s">
        <v>398</v>
      </c>
      <c r="L204" s="156" t="s">
        <v>154</v>
      </c>
      <c r="M204" s="159" t="s">
        <v>460</v>
      </c>
      <c r="N204" s="23" t="s">
        <v>197</v>
      </c>
      <c r="O204" s="151" t="s">
        <v>963</v>
      </c>
      <c r="P204" s="156" t="s">
        <v>348</v>
      </c>
      <c r="Q204" s="53">
        <v>80111600</v>
      </c>
      <c r="R204" s="159" t="s">
        <v>208</v>
      </c>
      <c r="S204" s="159" t="str">
        <f>MID(PAA[[#This Row],[Meta Proyecto de Inversión]],1,4)</f>
        <v>8126</v>
      </c>
      <c r="T204" s="159" t="str">
        <f>MID(PAA[[#This Row],[Meta Proyecto de Inversión]],6,1)</f>
        <v>9</v>
      </c>
      <c r="U204" s="160" t="str">
        <f>IFERROR(VLOOKUP(N204,TD!$B$50:$F$54,2,0)," ")</f>
        <v>O230117</v>
      </c>
      <c r="V204" s="160" t="str">
        <f>IFERROR(VLOOKUP(N204,TD!$B$50:$F$54,3,0)," ")</f>
        <v>4599</v>
      </c>
      <c r="W204" s="160">
        <f>IFERROR(VLOOKUP(N204,TD!$B$50:$F$54,4,0)," ")</f>
        <v>20240207</v>
      </c>
      <c r="X204" s="159" t="s">
        <v>174</v>
      </c>
      <c r="Y204" s="160" t="str">
        <f>IFERROR(VLOOKUP(X204,TD!$J$51:$K$64,2,0)," ")</f>
        <v>Infraestructura física, mantenimiento y dotación (Sedes construidas, mantenidas reforzadas)</v>
      </c>
      <c r="Z204" s="161" t="str">
        <f>CONCATENATE(X204,"-",Y204)</f>
        <v>08-Infraestructura física, mantenimiento y dotación (Sedes construidas, mantenidas reforzadas)</v>
      </c>
      <c r="AA204" s="163" t="s">
        <v>227</v>
      </c>
      <c r="AB204" s="160" t="str">
        <f>IFERROR(VLOOKUP(AA204,TD!$N$51:$O$66,2,0)," ")</f>
        <v>Sedes mantenidas</v>
      </c>
      <c r="AC204" s="161" t="str">
        <f>CONCATENATE(AA204,"_",AB204)</f>
        <v>016_Sedes mantenidas</v>
      </c>
      <c r="AD204" s="161" t="str">
        <f>CONCATENATE(Z204," ",AC204)</f>
        <v>08-Infraestructura física, mantenimiento y dotación (Sedes construidas, mantenidas reforzadas) 016_Sedes mantenidas</v>
      </c>
      <c r="AE204" s="160" t="str">
        <f>CONCATENATE(U204,V204,W204,X204,AA204)</f>
        <v>O23011745992024020708016</v>
      </c>
      <c r="AF204" s="160" t="str">
        <f>IFERROR(VLOOKUP(AD204,TD!$J$66:$K$89,2,0)," ")</f>
        <v>PM/0131/0108/45990160207</v>
      </c>
      <c r="AG204" s="118" t="s">
        <v>385</v>
      </c>
      <c r="AH204" s="159" t="s">
        <v>193</v>
      </c>
      <c r="AI204" s="162" t="str">
        <f>CONCATENATE(PAA[[#This Row],[Id Interno]],"-",PAA[[#This Row],[tipo de Contrato (TH talento humano - B/S bienes y/o servicios)]],"-",S204,"-",T204,"-",PAA[[#This Row],[Objeto de la contratación]])</f>
        <v>20260162-TH-8126-9-SGH - Prestar servicios profesionales jurídicos en la Subdirección de Gestión Humana de la UAE Cuerpo Oficial de Bomberos de Bogotá, con el fin de apoyar el desarrollo de actividades relacionadas con los procesos de nómina, el recobro de incapacidades y los demás procedimientos administrativos a cargo de la dependencia, garantizando el cumplimiento de la normatividad vigente y los lineamientos institucionales</v>
      </c>
    </row>
    <row r="205" spans="2:35" ht="42" x14ac:dyDescent="0.35">
      <c r="B205" s="23">
        <v>20260163</v>
      </c>
      <c r="C205" s="99" t="s">
        <v>645</v>
      </c>
      <c r="D205" s="23" t="s">
        <v>105</v>
      </c>
      <c r="E205" s="23" t="s">
        <v>363</v>
      </c>
      <c r="F205" s="156" t="s">
        <v>144</v>
      </c>
      <c r="G205" s="157" t="s">
        <v>373</v>
      </c>
      <c r="H205" s="158">
        <v>5</v>
      </c>
      <c r="I205" s="158">
        <v>0</v>
      </c>
      <c r="J205" s="127">
        <v>46000000</v>
      </c>
      <c r="K205" s="88" t="s">
        <v>398</v>
      </c>
      <c r="L205" s="156" t="s">
        <v>154</v>
      </c>
      <c r="M205" s="159" t="s">
        <v>460</v>
      </c>
      <c r="N205" s="23" t="s">
        <v>197</v>
      </c>
      <c r="O205" s="151" t="s">
        <v>963</v>
      </c>
      <c r="P205" s="156" t="s">
        <v>348</v>
      </c>
      <c r="Q205" s="53">
        <v>80111600</v>
      </c>
      <c r="R205" s="159" t="s">
        <v>208</v>
      </c>
      <c r="S205" s="159" t="str">
        <f>MID(PAA[[#This Row],[Meta Proyecto de Inversión]],1,4)</f>
        <v>8126</v>
      </c>
      <c r="T205" s="159" t="str">
        <f>MID(PAA[[#This Row],[Meta Proyecto de Inversión]],6,1)</f>
        <v>9</v>
      </c>
      <c r="U205" s="160" t="str">
        <f>IFERROR(VLOOKUP(N205,TD!$B$50:$F$54,2,0)," ")</f>
        <v>O230117</v>
      </c>
      <c r="V205" s="160" t="str">
        <f>IFERROR(VLOOKUP(N205,TD!$B$50:$F$54,3,0)," ")</f>
        <v>4599</v>
      </c>
      <c r="W205" s="160">
        <f>IFERROR(VLOOKUP(N205,TD!$B$50:$F$54,4,0)," ")</f>
        <v>20240207</v>
      </c>
      <c r="X205" s="159" t="s">
        <v>174</v>
      </c>
      <c r="Y205" s="160" t="str">
        <f>IFERROR(VLOOKUP(X205,TD!$J$51:$K$64,2,0)," ")</f>
        <v>Infraestructura física, mantenimiento y dotación (Sedes construidas, mantenidas reforzadas)</v>
      </c>
      <c r="Z205" s="161" t="str">
        <f>CONCATENATE(X205,"-",Y205)</f>
        <v>08-Infraestructura física, mantenimiento y dotación (Sedes construidas, mantenidas reforzadas)</v>
      </c>
      <c r="AA205" s="163" t="s">
        <v>227</v>
      </c>
      <c r="AB205" s="160" t="str">
        <f>IFERROR(VLOOKUP(AA205,TD!$N$51:$O$66,2,0)," ")</f>
        <v>Sedes mantenidas</v>
      </c>
      <c r="AC205" s="161" t="str">
        <f>CONCATENATE(AA205,"_",AB205)</f>
        <v>016_Sedes mantenidas</v>
      </c>
      <c r="AD205" s="161" t="str">
        <f>CONCATENATE(Z205," ",AC205)</f>
        <v>08-Infraestructura física, mantenimiento y dotación (Sedes construidas, mantenidas reforzadas) 016_Sedes mantenidas</v>
      </c>
      <c r="AE205" s="160" t="str">
        <f>CONCATENATE(U205,V205,W205,X205,AA205)</f>
        <v>O23011745992024020708016</v>
      </c>
      <c r="AF205" s="160" t="str">
        <f>IFERROR(VLOOKUP(AD205,TD!$J$66:$K$89,2,0)," ")</f>
        <v>PM/0131/0108/45990160207</v>
      </c>
      <c r="AG205" s="118" t="s">
        <v>385</v>
      </c>
      <c r="AH205" s="159" t="s">
        <v>193</v>
      </c>
      <c r="AI205" s="162" t="str">
        <f>CONCATENATE(PAA[[#This Row],[Id Interno]],"-",PAA[[#This Row],[tipo de Contrato (TH talento humano - B/S bienes y/o servicios)]],"-",S205,"-",T205,"-",PAA[[#This Row],[Objeto de la contratación]])</f>
        <v>20260163-TH-8126-9-SGH -Prestar servicios profesionales, en el marco de la estrategia de fortalecimiento institucional, apoyando en la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v>
      </c>
    </row>
    <row r="206" spans="2:35" ht="56" x14ac:dyDescent="0.35">
      <c r="B206" s="23">
        <v>20260164</v>
      </c>
      <c r="C206" s="99" t="s">
        <v>478</v>
      </c>
      <c r="D206" s="23" t="s">
        <v>105</v>
      </c>
      <c r="E206" s="23" t="s">
        <v>363</v>
      </c>
      <c r="F206" s="156" t="s">
        <v>144</v>
      </c>
      <c r="G206" s="157" t="s">
        <v>373</v>
      </c>
      <c r="H206" s="158">
        <v>7</v>
      </c>
      <c r="I206" s="158">
        <v>0</v>
      </c>
      <c r="J206" s="127">
        <v>50400000</v>
      </c>
      <c r="K206" s="88" t="s">
        <v>398</v>
      </c>
      <c r="L206" s="156" t="s">
        <v>154</v>
      </c>
      <c r="M206" s="159" t="s">
        <v>460</v>
      </c>
      <c r="N206" s="23" t="s">
        <v>197</v>
      </c>
      <c r="O206" s="151" t="s">
        <v>963</v>
      </c>
      <c r="P206" s="156" t="s">
        <v>348</v>
      </c>
      <c r="Q206" s="53">
        <v>80111600</v>
      </c>
      <c r="R206" s="159" t="s">
        <v>208</v>
      </c>
      <c r="S206" s="159" t="str">
        <f>MID(PAA[[#This Row],[Meta Proyecto de Inversión]],1,4)</f>
        <v>8126</v>
      </c>
      <c r="T206" s="159" t="str">
        <f>MID(PAA[[#This Row],[Meta Proyecto de Inversión]],6,1)</f>
        <v>9</v>
      </c>
      <c r="U206" s="160" t="str">
        <f>IFERROR(VLOOKUP(N206,TD!$B$50:$F$54,2,0)," ")</f>
        <v>O230117</v>
      </c>
      <c r="V206" s="160" t="str">
        <f>IFERROR(VLOOKUP(N206,TD!$B$50:$F$54,3,0)," ")</f>
        <v>4599</v>
      </c>
      <c r="W206" s="160">
        <f>IFERROR(VLOOKUP(N206,TD!$B$50:$F$54,4,0)," ")</f>
        <v>20240207</v>
      </c>
      <c r="X206" s="159" t="s">
        <v>174</v>
      </c>
      <c r="Y206" s="160" t="str">
        <f>IFERROR(VLOOKUP(X206,TD!$J$51:$K$64,2,0)," ")</f>
        <v>Infraestructura física, mantenimiento y dotación (Sedes construidas, mantenidas reforzadas)</v>
      </c>
      <c r="Z206" s="161" t="str">
        <f>CONCATENATE(X206,"-",Y206)</f>
        <v>08-Infraestructura física, mantenimiento y dotación (Sedes construidas, mantenidas reforzadas)</v>
      </c>
      <c r="AA206" s="163" t="s">
        <v>227</v>
      </c>
      <c r="AB206" s="160" t="str">
        <f>IFERROR(VLOOKUP(AA206,TD!$N$51:$O$66,2,0)," ")</f>
        <v>Sedes mantenidas</v>
      </c>
      <c r="AC206" s="161" t="str">
        <f>CONCATENATE(AA206,"_",AB206)</f>
        <v>016_Sedes mantenidas</v>
      </c>
      <c r="AD206" s="161" t="str">
        <f>CONCATENATE(Z206," ",AC206)</f>
        <v>08-Infraestructura física, mantenimiento y dotación (Sedes construidas, mantenidas reforzadas) 016_Sedes mantenidas</v>
      </c>
      <c r="AE206" s="160" t="str">
        <f>CONCATENATE(U206,V206,W206,X206,AA206)</f>
        <v>O23011745992024020708016</v>
      </c>
      <c r="AF206" s="160" t="str">
        <f>IFERROR(VLOOKUP(AD206,TD!$J$66:$K$89,2,0)," ")</f>
        <v>PM/0131/0108/45990160207</v>
      </c>
      <c r="AG206" s="118" t="s">
        <v>385</v>
      </c>
      <c r="AH206" s="159" t="s">
        <v>193</v>
      </c>
      <c r="AI206" s="162" t="str">
        <f>CONCATENATE(PAA[[#This Row],[Id Interno]],"-",PAA[[#This Row],[tipo de Contrato (TH talento humano - B/S bienes y/o servicios)]],"-",S206,"-",T206,"-",PAA[[#This Row],[Objeto de la contratación]])</f>
        <v>20260164-TH-8126-9-SGH - Prestar servicios profesionales en la Subdirección de Gestión Humana de la UAE Cuerpo Oficial de Bomberos de Bogotá, para apoyar la gestión de la comunicación interna y externa, mediante el desarrollo de estrategias, contenidos y acciones orientadas al fortalecimiento de la cultura organizacional y la divulgación institucional, conforme a los lineamientos vigentes.</v>
      </c>
    </row>
    <row r="207" spans="2:35" ht="84" x14ac:dyDescent="0.35">
      <c r="B207" s="23">
        <v>20260165</v>
      </c>
      <c r="C207" s="99" t="s">
        <v>646</v>
      </c>
      <c r="D207" s="23" t="s">
        <v>105</v>
      </c>
      <c r="E207" s="23" t="s">
        <v>363</v>
      </c>
      <c r="F207" s="156" t="s">
        <v>144</v>
      </c>
      <c r="G207" s="157" t="s">
        <v>373</v>
      </c>
      <c r="H207" s="158">
        <v>7</v>
      </c>
      <c r="I207" s="158">
        <v>0</v>
      </c>
      <c r="J207" s="127">
        <v>60900000</v>
      </c>
      <c r="K207" s="88" t="s">
        <v>398</v>
      </c>
      <c r="L207" s="156" t="s">
        <v>154</v>
      </c>
      <c r="M207" s="159" t="s">
        <v>460</v>
      </c>
      <c r="N207" s="23" t="s">
        <v>197</v>
      </c>
      <c r="O207" s="151" t="s">
        <v>963</v>
      </c>
      <c r="P207" s="156" t="s">
        <v>348</v>
      </c>
      <c r="Q207" s="53">
        <v>80111600</v>
      </c>
      <c r="R207" s="159" t="s">
        <v>208</v>
      </c>
      <c r="S207" s="159" t="str">
        <f>MID(PAA[[#This Row],[Meta Proyecto de Inversión]],1,4)</f>
        <v>8126</v>
      </c>
      <c r="T207" s="159" t="str">
        <f>MID(PAA[[#This Row],[Meta Proyecto de Inversión]],6,1)</f>
        <v>9</v>
      </c>
      <c r="U207" s="160" t="str">
        <f>IFERROR(VLOOKUP(N207,TD!$B$50:$F$54,2,0)," ")</f>
        <v>O230117</v>
      </c>
      <c r="V207" s="160" t="str">
        <f>IFERROR(VLOOKUP(N207,TD!$B$50:$F$54,3,0)," ")</f>
        <v>4599</v>
      </c>
      <c r="W207" s="160">
        <f>IFERROR(VLOOKUP(N207,TD!$B$50:$F$54,4,0)," ")</f>
        <v>20240207</v>
      </c>
      <c r="X207" s="159" t="s">
        <v>174</v>
      </c>
      <c r="Y207" s="160" t="str">
        <f>IFERROR(VLOOKUP(X207,TD!$J$51:$K$64,2,0)," ")</f>
        <v>Infraestructura física, mantenimiento y dotación (Sedes construidas, mantenidas reforzadas)</v>
      </c>
      <c r="Z207" s="161" t="str">
        <f>CONCATENATE(X207,"-",Y207)</f>
        <v>08-Infraestructura física, mantenimiento y dotación (Sedes construidas, mantenidas reforzadas)</v>
      </c>
      <c r="AA207" s="163" t="s">
        <v>227</v>
      </c>
      <c r="AB207" s="160" t="str">
        <f>IFERROR(VLOOKUP(AA207,TD!$N$51:$O$66,2,0)," ")</f>
        <v>Sedes mantenidas</v>
      </c>
      <c r="AC207" s="161" t="str">
        <f>CONCATENATE(AA207,"_",AB207)</f>
        <v>016_Sedes mantenidas</v>
      </c>
      <c r="AD207" s="161" t="str">
        <f>CONCATENATE(Z207," ",AC207)</f>
        <v>08-Infraestructura física, mantenimiento y dotación (Sedes construidas, mantenidas reforzadas) 016_Sedes mantenidas</v>
      </c>
      <c r="AE207" s="160" t="str">
        <f>CONCATENATE(U207,V207,W207,X207,AA207)</f>
        <v>O23011745992024020708016</v>
      </c>
      <c r="AF207" s="160" t="str">
        <f>IFERROR(VLOOKUP(AD207,TD!$J$66:$K$89,2,0)," ")</f>
        <v>PM/0131/0108/45990160207</v>
      </c>
      <c r="AG207" s="118" t="s">
        <v>385</v>
      </c>
      <c r="AH207" s="159" t="s">
        <v>193</v>
      </c>
      <c r="AI207" s="162" t="str">
        <f>CONCATENATE(PAA[[#This Row],[Id Interno]],"-",PAA[[#This Row],[tipo de Contrato (TH talento humano - B/S bienes y/o servicios)]],"-",S207,"-",T207,"-",PAA[[#This Row],[Objeto de la contratación]])</f>
        <v>20260165-TH-8126-9-SGH - Prestar servicios profesionales en la Subdirección de Gestión Humana de la UAE Cuerpo Oficial de Bomberos de Bogotá D.C., en el marco de la estrategia de fortalecimiento institucional, apoyando la verificación, análisis y mejora de los documentos técnicos relacionados con las necesidades y el diagnóstico organizacional de la Entidad, de conformidad con la normatividad vigente y los lineamientos institucionales.</v>
      </c>
    </row>
    <row r="208" spans="2:35" ht="84" x14ac:dyDescent="0.35">
      <c r="B208" s="23">
        <v>20260166</v>
      </c>
      <c r="C208" s="99" t="s">
        <v>479</v>
      </c>
      <c r="D208" s="23" t="s">
        <v>105</v>
      </c>
      <c r="E208" s="23" t="s">
        <v>363</v>
      </c>
      <c r="F208" s="156" t="s">
        <v>144</v>
      </c>
      <c r="G208" s="157" t="s">
        <v>373</v>
      </c>
      <c r="H208" s="158">
        <v>7</v>
      </c>
      <c r="I208" s="158">
        <v>0</v>
      </c>
      <c r="J208" s="127">
        <v>62300000</v>
      </c>
      <c r="K208" s="88" t="s">
        <v>398</v>
      </c>
      <c r="L208" s="156" t="s">
        <v>154</v>
      </c>
      <c r="M208" s="159" t="s">
        <v>460</v>
      </c>
      <c r="N208" s="23" t="s">
        <v>197</v>
      </c>
      <c r="O208" s="151" t="s">
        <v>963</v>
      </c>
      <c r="P208" s="156" t="s">
        <v>348</v>
      </c>
      <c r="Q208" s="53">
        <v>80111600</v>
      </c>
      <c r="R208" s="159" t="s">
        <v>208</v>
      </c>
      <c r="S208" s="159" t="str">
        <f>MID(PAA[[#This Row],[Meta Proyecto de Inversión]],1,4)</f>
        <v>8126</v>
      </c>
      <c r="T208" s="159" t="str">
        <f>MID(PAA[[#This Row],[Meta Proyecto de Inversión]],6,1)</f>
        <v>9</v>
      </c>
      <c r="U208" s="160" t="str">
        <f>IFERROR(VLOOKUP(N208,TD!$B$50:$F$54,2,0)," ")</f>
        <v>O230117</v>
      </c>
      <c r="V208" s="160" t="str">
        <f>IFERROR(VLOOKUP(N208,TD!$B$50:$F$54,3,0)," ")</f>
        <v>4599</v>
      </c>
      <c r="W208" s="160">
        <f>IFERROR(VLOOKUP(N208,TD!$B$50:$F$54,4,0)," ")</f>
        <v>20240207</v>
      </c>
      <c r="X208" s="159" t="s">
        <v>174</v>
      </c>
      <c r="Y208" s="160" t="str">
        <f>IFERROR(VLOOKUP(X208,TD!$J$51:$K$64,2,0)," ")</f>
        <v>Infraestructura física, mantenimiento y dotación (Sedes construidas, mantenidas reforzadas)</v>
      </c>
      <c r="Z208" s="161" t="str">
        <f>CONCATENATE(X208,"-",Y208)</f>
        <v>08-Infraestructura física, mantenimiento y dotación (Sedes construidas, mantenidas reforzadas)</v>
      </c>
      <c r="AA208" s="163" t="s">
        <v>227</v>
      </c>
      <c r="AB208" s="160" t="str">
        <f>IFERROR(VLOOKUP(AA208,TD!$N$51:$O$66,2,0)," ")</f>
        <v>Sedes mantenidas</v>
      </c>
      <c r="AC208" s="161" t="str">
        <f>CONCATENATE(AA208,"_",AB208)</f>
        <v>016_Sedes mantenidas</v>
      </c>
      <c r="AD208" s="161" t="str">
        <f>CONCATENATE(Z208," ",AC208)</f>
        <v>08-Infraestructura física, mantenimiento y dotación (Sedes construidas, mantenidas reforzadas) 016_Sedes mantenidas</v>
      </c>
      <c r="AE208" s="160" t="str">
        <f>CONCATENATE(U208,V208,W208,X208,AA208)</f>
        <v>O23011745992024020708016</v>
      </c>
      <c r="AF208" s="160" t="str">
        <f>IFERROR(VLOOKUP(AD208,TD!$J$66:$K$89,2,0)," ")</f>
        <v>PM/0131/0108/45990160207</v>
      </c>
      <c r="AG208" s="118" t="s">
        <v>385</v>
      </c>
      <c r="AH208" s="159" t="s">
        <v>193</v>
      </c>
      <c r="AI208" s="162" t="str">
        <f>CONCATENATE(PAA[[#This Row],[Id Interno]],"-",PAA[[#This Row],[tipo de Contrato (TH talento humano - B/S bienes y/o servicios)]],"-",S208,"-",T208,"-",PAA[[#This Row],[Objeto de la contratación]])</f>
        <v>20260166-TH-8126-9-SGH - Prestar servicios profesionales en la Subdirección de Gestión Humana de la UAE Cuerpo Oficial de Bomberos de Bogotá, para apoyar la construcción, revisión y actualización de las políticas, protocolos y procedimientos asociados al desarrollo del Talento Humano, con el fin de evaluar su eficiencia, eficacia y cumplimiento de la normatividad vigente.</v>
      </c>
    </row>
    <row r="209" spans="2:35" ht="56" x14ac:dyDescent="0.35">
      <c r="B209" s="23">
        <v>20260167</v>
      </c>
      <c r="C209" s="99" t="s">
        <v>647</v>
      </c>
      <c r="D209" s="23" t="s">
        <v>105</v>
      </c>
      <c r="E209" s="23" t="s">
        <v>363</v>
      </c>
      <c r="F209" s="156" t="s">
        <v>144</v>
      </c>
      <c r="G209" s="157" t="s">
        <v>373</v>
      </c>
      <c r="H209" s="158">
        <v>10</v>
      </c>
      <c r="I209" s="158">
        <v>0</v>
      </c>
      <c r="J209" s="127">
        <v>83000000</v>
      </c>
      <c r="K209" s="88" t="s">
        <v>398</v>
      </c>
      <c r="L209" s="156" t="s">
        <v>154</v>
      </c>
      <c r="M209" s="159" t="s">
        <v>460</v>
      </c>
      <c r="N209" s="23" t="s">
        <v>197</v>
      </c>
      <c r="O209" s="151" t="s">
        <v>963</v>
      </c>
      <c r="P209" s="156" t="s">
        <v>348</v>
      </c>
      <c r="Q209" s="53">
        <v>80111600</v>
      </c>
      <c r="R209" s="159" t="s">
        <v>208</v>
      </c>
      <c r="S209" s="159" t="str">
        <f>MID(PAA[[#This Row],[Meta Proyecto de Inversión]],1,4)</f>
        <v>8126</v>
      </c>
      <c r="T209" s="159" t="str">
        <f>MID(PAA[[#This Row],[Meta Proyecto de Inversión]],6,1)</f>
        <v>9</v>
      </c>
      <c r="U209" s="160" t="str">
        <f>IFERROR(VLOOKUP(N209,TD!$B$50:$F$54,2,0)," ")</f>
        <v>O230117</v>
      </c>
      <c r="V209" s="160" t="str">
        <f>IFERROR(VLOOKUP(N209,TD!$B$50:$F$54,3,0)," ")</f>
        <v>4599</v>
      </c>
      <c r="W209" s="160">
        <f>IFERROR(VLOOKUP(N209,TD!$B$50:$F$54,4,0)," ")</f>
        <v>20240207</v>
      </c>
      <c r="X209" s="159" t="s">
        <v>174</v>
      </c>
      <c r="Y209" s="160" t="str">
        <f>IFERROR(VLOOKUP(X209,TD!$J$51:$K$64,2,0)," ")</f>
        <v>Infraestructura física, mantenimiento y dotación (Sedes construidas, mantenidas reforzadas)</v>
      </c>
      <c r="Z209" s="161" t="str">
        <f>CONCATENATE(X209,"-",Y209)</f>
        <v>08-Infraestructura física, mantenimiento y dotación (Sedes construidas, mantenidas reforzadas)</v>
      </c>
      <c r="AA209" s="163" t="s">
        <v>227</v>
      </c>
      <c r="AB209" s="160" t="str">
        <f>IFERROR(VLOOKUP(AA209,TD!$N$51:$O$66,2,0)," ")</f>
        <v>Sedes mantenidas</v>
      </c>
      <c r="AC209" s="161" t="str">
        <f>CONCATENATE(AA209,"_",AB209)</f>
        <v>016_Sedes mantenidas</v>
      </c>
      <c r="AD209" s="161" t="str">
        <f>CONCATENATE(Z209," ",AC209)</f>
        <v>08-Infraestructura física, mantenimiento y dotación (Sedes construidas, mantenidas reforzadas) 016_Sedes mantenidas</v>
      </c>
      <c r="AE209" s="160" t="str">
        <f>CONCATENATE(U209,V209,W209,X209,AA209)</f>
        <v>O23011745992024020708016</v>
      </c>
      <c r="AF209" s="160" t="str">
        <f>IFERROR(VLOOKUP(AD209,TD!$J$66:$K$89,2,0)," ")</f>
        <v>PM/0131/0108/45990160207</v>
      </c>
      <c r="AG209" s="118" t="s">
        <v>385</v>
      </c>
      <c r="AH209" s="159" t="s">
        <v>193</v>
      </c>
      <c r="AI209" s="162" t="str">
        <f>CONCATENATE(PAA[[#This Row],[Id Interno]],"-",PAA[[#This Row],[tipo de Contrato (TH talento humano - B/S bienes y/o servicios)]],"-",S209,"-",T209,"-",PAA[[#This Row],[Objeto de la contratación]])</f>
        <v>20260167-TH-8126-9-SGH - Prestar servicios profesionales especializados de carácter jurídico en la Subdirección de Gestión Humana de la UAE Cuerpo Oficial de Bomberos de Bogotá D.C., para atender los requerimientos relacionados con los comités institucionales, la Comisión de Personal y las mesas sindicales en los cuales la Subdirección funge como secretaría técnica y/o integrante; así como para brindar apoyo en la atención de solicitudes formuladas por los órganos de control, autoridades administrativas y judiciales, y en la gestión administrativa asociada a los procesos disciplinarios, en cumplimiento de la normatividad vigente y en el marco del fortalecimiento institucional.</v>
      </c>
    </row>
    <row r="210" spans="2:35" ht="56" x14ac:dyDescent="0.35">
      <c r="B210" s="23">
        <v>20260168</v>
      </c>
      <c r="C210" s="99" t="s">
        <v>480</v>
      </c>
      <c r="D210" s="23" t="s">
        <v>105</v>
      </c>
      <c r="E210" s="23" t="s">
        <v>363</v>
      </c>
      <c r="F210" s="156" t="s">
        <v>144</v>
      </c>
      <c r="G210" s="157" t="s">
        <v>373</v>
      </c>
      <c r="H210" s="158">
        <v>11</v>
      </c>
      <c r="I210" s="158">
        <v>0</v>
      </c>
      <c r="J210" s="127">
        <v>92400000</v>
      </c>
      <c r="K210" s="88" t="s">
        <v>398</v>
      </c>
      <c r="L210" s="156" t="s">
        <v>154</v>
      </c>
      <c r="M210" s="159" t="s">
        <v>460</v>
      </c>
      <c r="N210" s="23" t="s">
        <v>197</v>
      </c>
      <c r="O210" s="151" t="s">
        <v>963</v>
      </c>
      <c r="P210" s="156" t="s">
        <v>348</v>
      </c>
      <c r="Q210" s="53">
        <v>80111600</v>
      </c>
      <c r="R210" s="159" t="s">
        <v>208</v>
      </c>
      <c r="S210" s="159" t="str">
        <f>MID(PAA[[#This Row],[Meta Proyecto de Inversión]],1,4)</f>
        <v>8126</v>
      </c>
      <c r="T210" s="159" t="str">
        <f>MID(PAA[[#This Row],[Meta Proyecto de Inversión]],6,1)</f>
        <v>9</v>
      </c>
      <c r="U210" s="160" t="str">
        <f>IFERROR(VLOOKUP(N210,TD!$B$50:$F$54,2,0)," ")</f>
        <v>O230117</v>
      </c>
      <c r="V210" s="160" t="str">
        <f>IFERROR(VLOOKUP(N210,TD!$B$50:$F$54,3,0)," ")</f>
        <v>4599</v>
      </c>
      <c r="W210" s="160">
        <f>IFERROR(VLOOKUP(N210,TD!$B$50:$F$54,4,0)," ")</f>
        <v>20240207</v>
      </c>
      <c r="X210" s="159" t="s">
        <v>174</v>
      </c>
      <c r="Y210" s="160" t="str">
        <f>IFERROR(VLOOKUP(X210,TD!$J$51:$K$64,2,0)," ")</f>
        <v>Infraestructura física, mantenimiento y dotación (Sedes construidas, mantenidas reforzadas)</v>
      </c>
      <c r="Z210" s="161" t="str">
        <f>CONCATENATE(X210,"-",Y210)</f>
        <v>08-Infraestructura física, mantenimiento y dotación (Sedes construidas, mantenidas reforzadas)</v>
      </c>
      <c r="AA210" s="163" t="s">
        <v>227</v>
      </c>
      <c r="AB210" s="160" t="str">
        <f>IFERROR(VLOOKUP(AA210,TD!$N$51:$O$66,2,0)," ")</f>
        <v>Sedes mantenidas</v>
      </c>
      <c r="AC210" s="161" t="str">
        <f>CONCATENATE(AA210,"_",AB210)</f>
        <v>016_Sedes mantenidas</v>
      </c>
      <c r="AD210" s="161" t="str">
        <f>CONCATENATE(Z210," ",AC210)</f>
        <v>08-Infraestructura física, mantenimiento y dotación (Sedes construidas, mantenidas reforzadas) 016_Sedes mantenidas</v>
      </c>
      <c r="AE210" s="160" t="str">
        <f>CONCATENATE(U210,V210,W210,X210,AA210)</f>
        <v>O23011745992024020708016</v>
      </c>
      <c r="AF210" s="160" t="str">
        <f>IFERROR(VLOOKUP(AD210,TD!$J$66:$K$89,2,0)," ")</f>
        <v>PM/0131/0108/45990160207</v>
      </c>
      <c r="AG210" s="118" t="s">
        <v>385</v>
      </c>
      <c r="AH210" s="159" t="s">
        <v>193</v>
      </c>
      <c r="AI210" s="162" t="str">
        <f>CONCATENATE(PAA[[#This Row],[Id Interno]],"-",PAA[[#This Row],[tipo de Contrato (TH talento humano - B/S bienes y/o servicios)]],"-",S210,"-",T210,"-",PAA[[#This Row],[Objeto de la contratación]])</f>
        <v>20260168-TH-8126-9-SGH - Prestar servicios profesionales en la Subdirección de Gestión Humana de la UAE Cuerpo Oficial de Bomberos de Bogotá, para acompañar la planeación, trámite y seguimiento de los aspectos presupuestales, financieros y contractuales a cargo de la dependencia, conforme a la normatividad vigente y los lineamientos institucionales.</v>
      </c>
    </row>
    <row r="211" spans="2:35" ht="70" x14ac:dyDescent="0.35">
      <c r="B211" s="23">
        <v>20260169</v>
      </c>
      <c r="C211" s="99" t="s">
        <v>481</v>
      </c>
      <c r="D211" s="23" t="s">
        <v>105</v>
      </c>
      <c r="E211" s="23" t="s">
        <v>363</v>
      </c>
      <c r="F211" s="156" t="s">
        <v>144</v>
      </c>
      <c r="G211" s="157" t="s">
        <v>373</v>
      </c>
      <c r="H211" s="158">
        <v>8</v>
      </c>
      <c r="I211" s="158">
        <v>0</v>
      </c>
      <c r="J211" s="127">
        <v>66400000</v>
      </c>
      <c r="K211" s="88" t="s">
        <v>398</v>
      </c>
      <c r="L211" s="156" t="s">
        <v>154</v>
      </c>
      <c r="M211" s="159" t="s">
        <v>460</v>
      </c>
      <c r="N211" s="23" t="s">
        <v>197</v>
      </c>
      <c r="O211" s="151" t="s">
        <v>963</v>
      </c>
      <c r="P211" s="156" t="s">
        <v>348</v>
      </c>
      <c r="Q211" s="53">
        <v>80111600</v>
      </c>
      <c r="R211" s="159" t="s">
        <v>208</v>
      </c>
      <c r="S211" s="159" t="str">
        <f>MID(PAA[[#This Row],[Meta Proyecto de Inversión]],1,4)</f>
        <v>8126</v>
      </c>
      <c r="T211" s="159" t="str">
        <f>MID(PAA[[#This Row],[Meta Proyecto de Inversión]],6,1)</f>
        <v>9</v>
      </c>
      <c r="U211" s="160" t="str">
        <f>IFERROR(VLOOKUP(N211,TD!$B$50:$F$54,2,0)," ")</f>
        <v>O230117</v>
      </c>
      <c r="V211" s="160" t="str">
        <f>IFERROR(VLOOKUP(N211,TD!$B$50:$F$54,3,0)," ")</f>
        <v>4599</v>
      </c>
      <c r="W211" s="160">
        <f>IFERROR(VLOOKUP(N211,TD!$B$50:$F$54,4,0)," ")</f>
        <v>20240207</v>
      </c>
      <c r="X211" s="159" t="s">
        <v>174</v>
      </c>
      <c r="Y211" s="160" t="str">
        <f>IFERROR(VLOOKUP(X211,TD!$J$51:$K$64,2,0)," ")</f>
        <v>Infraestructura física, mantenimiento y dotación (Sedes construidas, mantenidas reforzadas)</v>
      </c>
      <c r="Z211" s="161" t="str">
        <f>CONCATENATE(X211,"-",Y211)</f>
        <v>08-Infraestructura física, mantenimiento y dotación (Sedes construidas, mantenidas reforzadas)</v>
      </c>
      <c r="AA211" s="163" t="s">
        <v>227</v>
      </c>
      <c r="AB211" s="160" t="str">
        <f>IFERROR(VLOOKUP(AA211,TD!$N$51:$O$66,2,0)," ")</f>
        <v>Sedes mantenidas</v>
      </c>
      <c r="AC211" s="161" t="str">
        <f>CONCATENATE(AA211,"_",AB211)</f>
        <v>016_Sedes mantenidas</v>
      </c>
      <c r="AD211" s="161" t="str">
        <f>CONCATENATE(Z211," ",AC211)</f>
        <v>08-Infraestructura física, mantenimiento y dotación (Sedes construidas, mantenidas reforzadas) 016_Sedes mantenidas</v>
      </c>
      <c r="AE211" s="160" t="str">
        <f>CONCATENATE(U211,V211,W211,X211,AA211)</f>
        <v>O23011745992024020708016</v>
      </c>
      <c r="AF211" s="160" t="str">
        <f>IFERROR(VLOOKUP(AD211,TD!$J$66:$K$89,2,0)," ")</f>
        <v>PM/0131/0108/45990160207</v>
      </c>
      <c r="AG211" s="118" t="s">
        <v>385</v>
      </c>
      <c r="AH211" s="159" t="s">
        <v>193</v>
      </c>
      <c r="AI211" s="162" t="str">
        <f>CONCATENATE(PAA[[#This Row],[Id Interno]],"-",PAA[[#This Row],[tipo de Contrato (TH talento humano - B/S bienes y/o servicios)]],"-",S211,"-",T211,"-",PAA[[#This Row],[Objeto de la contratación]])</f>
        <v>20260169-TH-8126-9-SGH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v>
      </c>
    </row>
    <row r="212" spans="2:35" ht="56" x14ac:dyDescent="0.35">
      <c r="B212" s="23">
        <v>20260170</v>
      </c>
      <c r="C212" s="99" t="s">
        <v>482</v>
      </c>
      <c r="D212" s="23" t="s">
        <v>105</v>
      </c>
      <c r="E212" s="23" t="s">
        <v>363</v>
      </c>
      <c r="F212" s="156" t="s">
        <v>144</v>
      </c>
      <c r="G212" s="157" t="s">
        <v>373</v>
      </c>
      <c r="H212" s="158">
        <v>11</v>
      </c>
      <c r="I212" s="158">
        <v>0</v>
      </c>
      <c r="J212" s="127">
        <v>60500000</v>
      </c>
      <c r="K212" s="88" t="s">
        <v>398</v>
      </c>
      <c r="L212" s="156" t="s">
        <v>154</v>
      </c>
      <c r="M212" s="159" t="s">
        <v>460</v>
      </c>
      <c r="N212" s="23" t="s">
        <v>197</v>
      </c>
      <c r="O212" s="151" t="s">
        <v>963</v>
      </c>
      <c r="P212" s="156" t="s">
        <v>348</v>
      </c>
      <c r="Q212" s="53">
        <v>80111600</v>
      </c>
      <c r="R212" s="159" t="s">
        <v>208</v>
      </c>
      <c r="S212" s="159" t="str">
        <f>MID(PAA[[#This Row],[Meta Proyecto de Inversión]],1,4)</f>
        <v>8126</v>
      </c>
      <c r="T212" s="159" t="str">
        <f>MID(PAA[[#This Row],[Meta Proyecto de Inversión]],6,1)</f>
        <v>9</v>
      </c>
      <c r="U212" s="160" t="str">
        <f>IFERROR(VLOOKUP(N212,TD!$B$50:$F$54,2,0)," ")</f>
        <v>O230117</v>
      </c>
      <c r="V212" s="160" t="str">
        <f>IFERROR(VLOOKUP(N212,TD!$B$50:$F$54,3,0)," ")</f>
        <v>4599</v>
      </c>
      <c r="W212" s="160">
        <f>IFERROR(VLOOKUP(N212,TD!$B$50:$F$54,4,0)," ")</f>
        <v>20240207</v>
      </c>
      <c r="X212" s="159" t="s">
        <v>174</v>
      </c>
      <c r="Y212" s="160" t="str">
        <f>IFERROR(VLOOKUP(X212,TD!$J$51:$K$64,2,0)," ")</f>
        <v>Infraestructura física, mantenimiento y dotación (Sedes construidas, mantenidas reforzadas)</v>
      </c>
      <c r="Z212" s="161" t="str">
        <f>CONCATENATE(X212,"-",Y212)</f>
        <v>08-Infraestructura física, mantenimiento y dotación (Sedes construidas, mantenidas reforzadas)</v>
      </c>
      <c r="AA212" s="163" t="s">
        <v>227</v>
      </c>
      <c r="AB212" s="160" t="str">
        <f>IFERROR(VLOOKUP(AA212,TD!$N$51:$O$66,2,0)," ")</f>
        <v>Sedes mantenidas</v>
      </c>
      <c r="AC212" s="161" t="str">
        <f>CONCATENATE(AA212,"_",AB212)</f>
        <v>016_Sedes mantenidas</v>
      </c>
      <c r="AD212" s="161" t="str">
        <f>CONCATENATE(Z212," ",AC212)</f>
        <v>08-Infraestructura física, mantenimiento y dotación (Sedes construidas, mantenidas reforzadas) 016_Sedes mantenidas</v>
      </c>
      <c r="AE212" s="160" t="str">
        <f>CONCATENATE(U212,V212,W212,X212,AA212)</f>
        <v>O23011745992024020708016</v>
      </c>
      <c r="AF212" s="160" t="str">
        <f>IFERROR(VLOOKUP(AD212,TD!$J$66:$K$89,2,0)," ")</f>
        <v>PM/0131/0108/45990160207</v>
      </c>
      <c r="AG212" s="118" t="s">
        <v>385</v>
      </c>
      <c r="AH212" s="159" t="s">
        <v>193</v>
      </c>
      <c r="AI212" s="162" t="str">
        <f>CONCATENATE(PAA[[#This Row],[Id Interno]],"-",PAA[[#This Row],[tipo de Contrato (TH talento humano - B/S bienes y/o servicios)]],"-",S212,"-",T212,"-",PAA[[#This Row],[Objeto de la contratación]])</f>
        <v>20260170-TH-8126-9-SGH - Prestar sus servicios profesionales a la Subdirección de Gestión Humana de la UAE Cuerpo Oficial de Bomberos de Bogotá D.C.,mediante la gestión contractual y presupuestal, asegurando el cumplimiento de la normatividad vigente y la adecuada planeación, ejecución y control de los recursos asignados.</v>
      </c>
    </row>
    <row r="213" spans="2:35" ht="70" x14ac:dyDescent="0.35">
      <c r="B213" s="23">
        <v>20260171</v>
      </c>
      <c r="C213" s="99" t="s">
        <v>648</v>
      </c>
      <c r="D213" s="23" t="s">
        <v>105</v>
      </c>
      <c r="E213" s="23" t="s">
        <v>363</v>
      </c>
      <c r="F213" s="156" t="s">
        <v>144</v>
      </c>
      <c r="G213" s="157" t="s">
        <v>373</v>
      </c>
      <c r="H213" s="158">
        <v>7</v>
      </c>
      <c r="I213" s="158">
        <v>0</v>
      </c>
      <c r="J213" s="127">
        <v>37800000</v>
      </c>
      <c r="K213" s="88" t="s">
        <v>398</v>
      </c>
      <c r="L213" s="156" t="s">
        <v>154</v>
      </c>
      <c r="M213" s="159" t="s">
        <v>460</v>
      </c>
      <c r="N213" s="23" t="s">
        <v>197</v>
      </c>
      <c r="O213" s="151" t="s">
        <v>963</v>
      </c>
      <c r="P213" s="156" t="s">
        <v>348</v>
      </c>
      <c r="Q213" s="53">
        <v>80111600</v>
      </c>
      <c r="R213" s="159" t="s">
        <v>208</v>
      </c>
      <c r="S213" s="159" t="str">
        <f>MID(PAA[[#This Row],[Meta Proyecto de Inversión]],1,4)</f>
        <v>8126</v>
      </c>
      <c r="T213" s="159" t="str">
        <f>MID(PAA[[#This Row],[Meta Proyecto de Inversión]],6,1)</f>
        <v>9</v>
      </c>
      <c r="U213" s="160" t="str">
        <f>IFERROR(VLOOKUP(N213,TD!$B$50:$F$54,2,0)," ")</f>
        <v>O230117</v>
      </c>
      <c r="V213" s="160" t="str">
        <f>IFERROR(VLOOKUP(N213,TD!$B$50:$F$54,3,0)," ")</f>
        <v>4599</v>
      </c>
      <c r="W213" s="160">
        <f>IFERROR(VLOOKUP(N213,TD!$B$50:$F$54,4,0)," ")</f>
        <v>20240207</v>
      </c>
      <c r="X213" s="159" t="s">
        <v>174</v>
      </c>
      <c r="Y213" s="160" t="str">
        <f>IFERROR(VLOOKUP(X213,TD!$J$51:$K$64,2,0)," ")</f>
        <v>Infraestructura física, mantenimiento y dotación (Sedes construidas, mantenidas reforzadas)</v>
      </c>
      <c r="Z213" s="161" t="str">
        <f>CONCATENATE(X213,"-",Y213)</f>
        <v>08-Infraestructura física, mantenimiento y dotación (Sedes construidas, mantenidas reforzadas)</v>
      </c>
      <c r="AA213" s="163" t="s">
        <v>227</v>
      </c>
      <c r="AB213" s="160" t="str">
        <f>IFERROR(VLOOKUP(AA213,TD!$N$51:$O$66,2,0)," ")</f>
        <v>Sedes mantenidas</v>
      </c>
      <c r="AC213" s="161" t="str">
        <f>CONCATENATE(AA213,"_",AB213)</f>
        <v>016_Sedes mantenidas</v>
      </c>
      <c r="AD213" s="161" t="str">
        <f>CONCATENATE(Z213," ",AC213)</f>
        <v>08-Infraestructura física, mantenimiento y dotación (Sedes construidas, mantenidas reforzadas) 016_Sedes mantenidas</v>
      </c>
      <c r="AE213" s="160" t="str">
        <f>CONCATENATE(U213,V213,W213,X213,AA213)</f>
        <v>O23011745992024020708016</v>
      </c>
      <c r="AF213" s="160" t="str">
        <f>IFERROR(VLOOKUP(AD213,TD!$J$66:$K$89,2,0)," ")</f>
        <v>PM/0131/0108/45990160207</v>
      </c>
      <c r="AG213" s="118" t="s">
        <v>385</v>
      </c>
      <c r="AH213" s="159" t="s">
        <v>193</v>
      </c>
      <c r="AI213" s="162" t="str">
        <f>CONCATENATE(PAA[[#This Row],[Id Interno]],"-",PAA[[#This Row],[tipo de Contrato (TH talento humano - B/S bienes y/o servicios)]],"-",S213,"-",T213,"-",PAA[[#This Row],[Objeto de la contratación]])</f>
        <v>20260171-TH-8126-9-SGH - Prestar servicios profesionales para acompañar a la Subdirección de Gestión Humana de la UAE Cuerpo Oficial de Bomberos de Bogotá D.C. en el desarrollo de actividades orientadas a la elaboración y adaptación de piezas comunicativas requeridas en el marco de los procesos y procedimientos a cargo de la dependencia, conforme a los lineamientos institucionales.</v>
      </c>
    </row>
    <row r="214" spans="2:35" ht="56" x14ac:dyDescent="0.35">
      <c r="B214" s="23">
        <v>20260172</v>
      </c>
      <c r="C214" s="99" t="s">
        <v>483</v>
      </c>
      <c r="D214" s="23" t="s">
        <v>105</v>
      </c>
      <c r="E214" s="23" t="s">
        <v>363</v>
      </c>
      <c r="F214" s="156" t="s">
        <v>144</v>
      </c>
      <c r="G214" s="157" t="s">
        <v>373</v>
      </c>
      <c r="H214" s="158">
        <v>7</v>
      </c>
      <c r="I214" s="158">
        <v>0</v>
      </c>
      <c r="J214" s="127">
        <v>37800000</v>
      </c>
      <c r="K214" s="88" t="s">
        <v>398</v>
      </c>
      <c r="L214" s="156" t="s">
        <v>154</v>
      </c>
      <c r="M214" s="159" t="s">
        <v>460</v>
      </c>
      <c r="N214" s="23" t="s">
        <v>197</v>
      </c>
      <c r="O214" s="151" t="s">
        <v>963</v>
      </c>
      <c r="P214" s="156" t="s">
        <v>348</v>
      </c>
      <c r="Q214" s="53">
        <v>80111600</v>
      </c>
      <c r="R214" s="159" t="s">
        <v>208</v>
      </c>
      <c r="S214" s="159" t="str">
        <f>MID(PAA[[#This Row],[Meta Proyecto de Inversión]],1,4)</f>
        <v>8126</v>
      </c>
      <c r="T214" s="159" t="str">
        <f>MID(PAA[[#This Row],[Meta Proyecto de Inversión]],6,1)</f>
        <v>9</v>
      </c>
      <c r="U214" s="160" t="str">
        <f>IFERROR(VLOOKUP(N214,TD!$B$50:$F$54,2,0)," ")</f>
        <v>O230117</v>
      </c>
      <c r="V214" s="160" t="str">
        <f>IFERROR(VLOOKUP(N214,TD!$B$50:$F$54,3,0)," ")</f>
        <v>4599</v>
      </c>
      <c r="W214" s="160">
        <f>IFERROR(VLOOKUP(N214,TD!$B$50:$F$54,4,0)," ")</f>
        <v>20240207</v>
      </c>
      <c r="X214" s="159" t="s">
        <v>174</v>
      </c>
      <c r="Y214" s="160" t="str">
        <f>IFERROR(VLOOKUP(X214,TD!$J$51:$K$64,2,0)," ")</f>
        <v>Infraestructura física, mantenimiento y dotación (Sedes construidas, mantenidas reforzadas)</v>
      </c>
      <c r="Z214" s="161" t="str">
        <f>CONCATENATE(X214,"-",Y214)</f>
        <v>08-Infraestructura física, mantenimiento y dotación (Sedes construidas, mantenidas reforzadas)</v>
      </c>
      <c r="AA214" s="163" t="s">
        <v>227</v>
      </c>
      <c r="AB214" s="160" t="str">
        <f>IFERROR(VLOOKUP(AA214,TD!$N$51:$O$66,2,0)," ")</f>
        <v>Sedes mantenidas</v>
      </c>
      <c r="AC214" s="161" t="str">
        <f>CONCATENATE(AA214,"_",AB214)</f>
        <v>016_Sedes mantenidas</v>
      </c>
      <c r="AD214" s="161" t="str">
        <f>CONCATENATE(Z214," ",AC214)</f>
        <v>08-Infraestructura física, mantenimiento y dotación (Sedes construidas, mantenidas reforzadas) 016_Sedes mantenidas</v>
      </c>
      <c r="AE214" s="160" t="str">
        <f>CONCATENATE(U214,V214,W214,X214,AA214)</f>
        <v>O23011745992024020708016</v>
      </c>
      <c r="AF214" s="160" t="str">
        <f>IFERROR(VLOOKUP(AD214,TD!$J$66:$K$89,2,0)," ")</f>
        <v>PM/0131/0108/45990160207</v>
      </c>
      <c r="AG214" s="118" t="s">
        <v>385</v>
      </c>
      <c r="AH214" s="159" t="s">
        <v>193</v>
      </c>
      <c r="AI214" s="162" t="str">
        <f>CONCATENATE(PAA[[#This Row],[Id Interno]],"-",PAA[[#This Row],[tipo de Contrato (TH talento humano - B/S bienes y/o servicios)]],"-",S214,"-",T214,"-",PAA[[#This Row],[Objeto de la contratación]])</f>
        <v>20260172-TH-8126-9-SGH- Prestar servicios profesionales para apoyar a la Subdirección de Gestión Humana de la UAE Cuerpo Oficial de Bomberos de Bogotá D.C., en los trámites y gestiones relacionados con la información financiera, contable y presupuestal que sirvan de base de las etapas precontractuales, contractuales y poscontractuales de los procesos a cargo de la dependencia.</v>
      </c>
    </row>
    <row r="215" spans="2:35" ht="70" x14ac:dyDescent="0.35">
      <c r="B215" s="23">
        <v>20260173</v>
      </c>
      <c r="C215" s="99" t="s">
        <v>649</v>
      </c>
      <c r="D215" s="23" t="s">
        <v>105</v>
      </c>
      <c r="E215" s="23" t="s">
        <v>363</v>
      </c>
      <c r="F215" s="156" t="s">
        <v>144</v>
      </c>
      <c r="G215" s="157" t="s">
        <v>373</v>
      </c>
      <c r="H215" s="158">
        <v>10</v>
      </c>
      <c r="I215" s="158">
        <v>0</v>
      </c>
      <c r="J215" s="127">
        <v>82000000</v>
      </c>
      <c r="K215" s="88" t="s">
        <v>398</v>
      </c>
      <c r="L215" s="156" t="s">
        <v>154</v>
      </c>
      <c r="M215" s="159" t="s">
        <v>460</v>
      </c>
      <c r="N215" s="23" t="s">
        <v>198</v>
      </c>
      <c r="O215" s="151" t="s">
        <v>964</v>
      </c>
      <c r="P215" s="156" t="s">
        <v>348</v>
      </c>
      <c r="Q215" s="53">
        <v>80111600</v>
      </c>
      <c r="R215" s="159" t="s">
        <v>218</v>
      </c>
      <c r="S215" s="159" t="str">
        <f>MID(PAA[[#This Row],[Meta Proyecto de Inversión]],1,4)</f>
        <v>8173</v>
      </c>
      <c r="T215" s="159" t="str">
        <f>MID(PAA[[#This Row],[Meta Proyecto de Inversión]],6,1)</f>
        <v>9</v>
      </c>
      <c r="U215" s="160" t="str">
        <f>IFERROR(VLOOKUP(N215,TD!$B$50:$F$54,2,0)," ")</f>
        <v>O230117</v>
      </c>
      <c r="V215" s="160" t="str">
        <f>IFERROR(VLOOKUP(N215,TD!$B$50:$F$54,3,0)," ")</f>
        <v>4503</v>
      </c>
      <c r="W215" s="160">
        <f>IFERROR(VLOOKUP(N215,TD!$B$50:$F$54,4,0)," ")</f>
        <v>20240255</v>
      </c>
      <c r="X215" s="159" t="s">
        <v>172</v>
      </c>
      <c r="Y215" s="160" t="str">
        <f>IFERROR(VLOOKUP(X215,TD!$J$51:$K$64,2,0)," ")</f>
        <v>Servicio de formación en gestión del riesgo de incendios para el personal UAECOB</v>
      </c>
      <c r="Z215" s="161" t="str">
        <f>CONCATENATE(X215,"-",Y215)</f>
        <v>07-Servicio de formación en gestión del riesgo de incendios para el personal UAECOB</v>
      </c>
      <c r="AA215" s="163" t="s">
        <v>222</v>
      </c>
      <c r="AB215" s="160" t="str">
        <f>IFERROR(VLOOKUP(AA215,TD!$N$51:$O$66,2,0)," ")</f>
        <v>Servicio de educación informal</v>
      </c>
      <c r="AC215" s="161" t="str">
        <f>CONCATENATE(AA215,"_",AB215)</f>
        <v>002_Servicio de educación informal</v>
      </c>
      <c r="AD215" s="161" t="str">
        <f>CONCATENATE(Z215," ",AC215)</f>
        <v>07-Servicio de formación en gestión del riesgo de incendios para el personal UAECOB 002_Servicio de educación informal</v>
      </c>
      <c r="AE215" s="160" t="str">
        <f>CONCATENATE(U215,V215,W215,X215,AA215)</f>
        <v>O23011745032024025507002</v>
      </c>
      <c r="AF215" s="160" t="str">
        <f>IFERROR(VLOOKUP(AD215,TD!$J$66:$K$89,2,0)," ")</f>
        <v>PM/0131/0107/45030020255</v>
      </c>
      <c r="AG215" s="118" t="s">
        <v>385</v>
      </c>
      <c r="AH215" s="159" t="s">
        <v>193</v>
      </c>
      <c r="AI215" s="162" t="str">
        <f>CONCATENATE(PAA[[#This Row],[Id Interno]],"-",PAA[[#This Row],[tipo de Contrato (TH talento humano - B/S bienes y/o servicios)]],"-",S215,"-",T215,"-",PAA[[#This Row],[Objeto de la contratación]])</f>
        <v>20260173-TH-8173-9-SGH - Prestar servicios profesionales de apoyo al equipo líder de la  Academia de la UAE Cuerpo Oficial de Bomberos de Bogotá, en el desarrollo de los procesos y procedimientos administrativos, operativos y pedagógicos que le sean asignados, con el fin de fortalecer los programas de formación.</v>
      </c>
    </row>
    <row r="216" spans="2:35" ht="56" x14ac:dyDescent="0.35">
      <c r="B216" s="23">
        <v>20260174</v>
      </c>
      <c r="C216" s="99" t="s">
        <v>650</v>
      </c>
      <c r="D216" s="23" t="s">
        <v>105</v>
      </c>
      <c r="E216" s="23" t="s">
        <v>363</v>
      </c>
      <c r="F216" s="156" t="s">
        <v>144</v>
      </c>
      <c r="G216" s="157" t="s">
        <v>373</v>
      </c>
      <c r="H216" s="158">
        <v>11</v>
      </c>
      <c r="I216" s="158">
        <v>0</v>
      </c>
      <c r="J216" s="127">
        <v>57200000</v>
      </c>
      <c r="K216" s="88" t="s">
        <v>398</v>
      </c>
      <c r="L216" s="156" t="s">
        <v>154</v>
      </c>
      <c r="M216" s="159" t="s">
        <v>460</v>
      </c>
      <c r="N216" s="23" t="s">
        <v>198</v>
      </c>
      <c r="O216" s="151" t="s">
        <v>964</v>
      </c>
      <c r="P216" s="156" t="s">
        <v>348</v>
      </c>
      <c r="Q216" s="53">
        <v>80111600</v>
      </c>
      <c r="R216" s="159" t="s">
        <v>218</v>
      </c>
      <c r="S216" s="159" t="str">
        <f>MID(PAA[[#This Row],[Meta Proyecto de Inversión]],1,4)</f>
        <v>8173</v>
      </c>
      <c r="T216" s="159" t="str">
        <f>MID(PAA[[#This Row],[Meta Proyecto de Inversión]],6,1)</f>
        <v>9</v>
      </c>
      <c r="U216" s="160" t="str">
        <f>IFERROR(VLOOKUP(N216,TD!$B$50:$F$54,2,0)," ")</f>
        <v>O230117</v>
      </c>
      <c r="V216" s="160" t="str">
        <f>IFERROR(VLOOKUP(N216,TD!$B$50:$F$54,3,0)," ")</f>
        <v>4503</v>
      </c>
      <c r="W216" s="160">
        <f>IFERROR(VLOOKUP(N216,TD!$B$50:$F$54,4,0)," ")</f>
        <v>20240255</v>
      </c>
      <c r="X216" s="159" t="s">
        <v>172</v>
      </c>
      <c r="Y216" s="160" t="str">
        <f>IFERROR(VLOOKUP(X216,TD!$J$51:$K$64,2,0)," ")</f>
        <v>Servicio de formación en gestión del riesgo de incendios para el personal UAECOB</v>
      </c>
      <c r="Z216" s="161" t="str">
        <f>CONCATENATE(X216,"-",Y216)</f>
        <v>07-Servicio de formación en gestión del riesgo de incendios para el personal UAECOB</v>
      </c>
      <c r="AA216" s="163" t="s">
        <v>222</v>
      </c>
      <c r="AB216" s="160" t="str">
        <f>IFERROR(VLOOKUP(AA216,TD!$N$51:$O$66,2,0)," ")</f>
        <v>Servicio de educación informal</v>
      </c>
      <c r="AC216" s="161" t="str">
        <f>CONCATENATE(AA216,"_",AB216)</f>
        <v>002_Servicio de educación informal</v>
      </c>
      <c r="AD216" s="161" t="str">
        <f>CONCATENATE(Z216," ",AC216)</f>
        <v>07-Servicio de formación en gestión del riesgo de incendios para el personal UAECOB 002_Servicio de educación informal</v>
      </c>
      <c r="AE216" s="160" t="str">
        <f>CONCATENATE(U216,V216,W216,X216,AA216)</f>
        <v>O23011745032024025507002</v>
      </c>
      <c r="AF216" s="160" t="str">
        <f>IFERROR(VLOOKUP(AD216,TD!$J$66:$K$89,2,0)," ")</f>
        <v>PM/0131/0107/45030020255</v>
      </c>
      <c r="AG216" s="118" t="s">
        <v>385</v>
      </c>
      <c r="AH216" s="159" t="s">
        <v>193</v>
      </c>
      <c r="AI216" s="162" t="str">
        <f>CONCATENATE(PAA[[#This Row],[Id Interno]],"-",PAA[[#This Row],[tipo de Contrato (TH talento humano - B/S bienes y/o servicios)]],"-",S216,"-",T216,"-",PAA[[#This Row],[Objeto de la contratación]])</f>
        <v>20260174-TH-8173-9-SGH - Prestar servicios profesionales a la Academia de la UAE Cuerpo Oficial de Bomberos de Bogotá D.C., orientados al apoyo del fortalecimiento transversal del proceso académico y formativo, mediante la consolidación, seguimiento y optimización de las actividades que contribuyan al adecuado desarrollo de los procesos de capacitación y formación.</v>
      </c>
    </row>
    <row r="217" spans="2:35" ht="56.15" customHeight="1" x14ac:dyDescent="0.35">
      <c r="B217" s="23">
        <v>20260175</v>
      </c>
      <c r="C217" s="99" t="s">
        <v>651</v>
      </c>
      <c r="D217" s="23" t="s">
        <v>105</v>
      </c>
      <c r="E217" s="23" t="s">
        <v>363</v>
      </c>
      <c r="F217" s="156" t="s">
        <v>144</v>
      </c>
      <c r="G217" s="157" t="s">
        <v>373</v>
      </c>
      <c r="H217" s="158">
        <v>10</v>
      </c>
      <c r="I217" s="158">
        <v>0</v>
      </c>
      <c r="J217" s="127">
        <v>72000000</v>
      </c>
      <c r="K217" s="88" t="s">
        <v>398</v>
      </c>
      <c r="L217" s="156" t="s">
        <v>154</v>
      </c>
      <c r="M217" s="159" t="s">
        <v>460</v>
      </c>
      <c r="N217" s="23" t="s">
        <v>198</v>
      </c>
      <c r="O217" s="151" t="s">
        <v>964</v>
      </c>
      <c r="P217" s="156" t="s">
        <v>348</v>
      </c>
      <c r="Q217" s="53">
        <v>80111600</v>
      </c>
      <c r="R217" s="159" t="s">
        <v>218</v>
      </c>
      <c r="S217" s="159" t="str">
        <f>MID(PAA[[#This Row],[Meta Proyecto de Inversión]],1,4)</f>
        <v>8173</v>
      </c>
      <c r="T217" s="159" t="str">
        <f>MID(PAA[[#This Row],[Meta Proyecto de Inversión]],6,1)</f>
        <v>9</v>
      </c>
      <c r="U217" s="160" t="str">
        <f>IFERROR(VLOOKUP(N217,TD!$B$50:$F$54,2,0)," ")</f>
        <v>O230117</v>
      </c>
      <c r="V217" s="160" t="str">
        <f>IFERROR(VLOOKUP(N217,TD!$B$50:$F$54,3,0)," ")</f>
        <v>4503</v>
      </c>
      <c r="W217" s="160">
        <f>IFERROR(VLOOKUP(N217,TD!$B$50:$F$54,4,0)," ")</f>
        <v>20240255</v>
      </c>
      <c r="X217" s="159" t="s">
        <v>172</v>
      </c>
      <c r="Y217" s="160" t="str">
        <f>IFERROR(VLOOKUP(X217,TD!$J$51:$K$64,2,0)," ")</f>
        <v>Servicio de formación en gestión del riesgo de incendios para el personal UAECOB</v>
      </c>
      <c r="Z217" s="161" t="str">
        <f>CONCATENATE(X217,"-",Y217)</f>
        <v>07-Servicio de formación en gestión del riesgo de incendios para el personal UAECOB</v>
      </c>
      <c r="AA217" s="163" t="s">
        <v>222</v>
      </c>
      <c r="AB217" s="160" t="str">
        <f>IFERROR(VLOOKUP(AA217,TD!$N$51:$O$66,2,0)," ")</f>
        <v>Servicio de educación informal</v>
      </c>
      <c r="AC217" s="161" t="str">
        <f>CONCATENATE(AA217,"_",AB217)</f>
        <v>002_Servicio de educación informal</v>
      </c>
      <c r="AD217" s="161" t="str">
        <f>CONCATENATE(Z217," ",AC217)</f>
        <v>07-Servicio de formación en gestión del riesgo de incendios para el personal UAECOB 002_Servicio de educación informal</v>
      </c>
      <c r="AE217" s="160" t="str">
        <f>CONCATENATE(U217,V217,W217,X217,AA217)</f>
        <v>O23011745032024025507002</v>
      </c>
      <c r="AF217" s="160" t="str">
        <f>IFERROR(VLOOKUP(AD217,TD!$J$66:$K$89,2,0)," ")</f>
        <v>PM/0131/0107/45030020255</v>
      </c>
      <c r="AG217" s="118" t="s">
        <v>385</v>
      </c>
      <c r="AH217" s="159" t="s">
        <v>193</v>
      </c>
      <c r="AI217" s="162" t="str">
        <f>CONCATENATE(PAA[[#This Row],[Id Interno]],"-",PAA[[#This Row],[tipo de Contrato (TH talento humano - B/S bienes y/o servicios)]],"-",S217,"-",T217,"-",PAA[[#This Row],[Objeto de la contratación]])</f>
        <v>20260175-TH-8173-9-SGH - Prestar sus servicios profesionales jurídicos para apoyar a la Academia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v>
      </c>
    </row>
    <row r="218" spans="2:35" ht="56" x14ac:dyDescent="0.35">
      <c r="B218" s="23">
        <v>20260176</v>
      </c>
      <c r="C218" s="99" t="s">
        <v>652</v>
      </c>
      <c r="D218" s="23" t="s">
        <v>105</v>
      </c>
      <c r="E218" s="23" t="s">
        <v>363</v>
      </c>
      <c r="F218" s="156" t="s">
        <v>145</v>
      </c>
      <c r="G218" s="157" t="s">
        <v>373</v>
      </c>
      <c r="H218" s="158">
        <v>11</v>
      </c>
      <c r="I218" s="158">
        <v>0</v>
      </c>
      <c r="J218" s="127">
        <v>40700000</v>
      </c>
      <c r="K218" s="88" t="s">
        <v>398</v>
      </c>
      <c r="L218" s="156" t="s">
        <v>154</v>
      </c>
      <c r="M218" s="159" t="s">
        <v>460</v>
      </c>
      <c r="N218" s="23" t="s">
        <v>198</v>
      </c>
      <c r="O218" s="151" t="s">
        <v>964</v>
      </c>
      <c r="P218" s="156" t="s">
        <v>348</v>
      </c>
      <c r="Q218" s="53">
        <v>80111600</v>
      </c>
      <c r="R218" s="159" t="s">
        <v>218</v>
      </c>
      <c r="S218" s="159" t="str">
        <f>MID(PAA[[#This Row],[Meta Proyecto de Inversión]],1,4)</f>
        <v>8173</v>
      </c>
      <c r="T218" s="159" t="str">
        <f>MID(PAA[[#This Row],[Meta Proyecto de Inversión]],6,1)</f>
        <v>9</v>
      </c>
      <c r="U218" s="160" t="str">
        <f>IFERROR(VLOOKUP(N218,TD!$B$50:$F$54,2,0)," ")</f>
        <v>O230117</v>
      </c>
      <c r="V218" s="160" t="str">
        <f>IFERROR(VLOOKUP(N218,TD!$B$50:$F$54,3,0)," ")</f>
        <v>4503</v>
      </c>
      <c r="W218" s="160">
        <f>IFERROR(VLOOKUP(N218,TD!$B$50:$F$54,4,0)," ")</f>
        <v>20240255</v>
      </c>
      <c r="X218" s="159" t="s">
        <v>172</v>
      </c>
      <c r="Y218" s="160" t="str">
        <f>IFERROR(VLOOKUP(X218,TD!$J$51:$K$64,2,0)," ")</f>
        <v>Servicio de formación en gestión del riesgo de incendios para el personal UAECOB</v>
      </c>
      <c r="Z218" s="161" t="str">
        <f>CONCATENATE(X218,"-",Y218)</f>
        <v>07-Servicio de formación en gestión del riesgo de incendios para el personal UAECOB</v>
      </c>
      <c r="AA218" s="163" t="s">
        <v>222</v>
      </c>
      <c r="AB218" s="160" t="str">
        <f>IFERROR(VLOOKUP(AA218,TD!$N$51:$O$66,2,0)," ")</f>
        <v>Servicio de educación informal</v>
      </c>
      <c r="AC218" s="161" t="str">
        <f>CONCATENATE(AA218,"_",AB218)</f>
        <v>002_Servicio de educación informal</v>
      </c>
      <c r="AD218" s="161" t="str">
        <f>CONCATENATE(Z218," ",AC218)</f>
        <v>07-Servicio de formación en gestión del riesgo de incendios para el personal UAECOB 002_Servicio de educación informal</v>
      </c>
      <c r="AE218" s="160" t="str">
        <f>CONCATENATE(U218,V218,W218,X218,AA218)</f>
        <v>O23011745032024025507002</v>
      </c>
      <c r="AF218" s="160" t="str">
        <f>IFERROR(VLOOKUP(AD218,TD!$J$66:$K$89,2,0)," ")</f>
        <v>PM/0131/0107/45030020255</v>
      </c>
      <c r="AG218" s="118" t="s">
        <v>385</v>
      </c>
      <c r="AH218" s="159" t="s">
        <v>193</v>
      </c>
      <c r="AI218" s="162" t="str">
        <f>CONCATENATE(PAA[[#This Row],[Id Interno]],"-",PAA[[#This Row],[tipo de Contrato (TH talento humano - B/S bienes y/o servicios)]],"-",S218,"-",T218,"-",PAA[[#This Row],[Objeto de la contratación]])</f>
        <v>20260176-TH-8173-9-SGH - Prestar servicios de apoyo a la Academia de la UAE Cuerpo Oficial de Bomberos de Bogotá D.C., para el desarrollo logístico y administrativo, contribuyendo al fortalecimiento de la formación, capacitación y gestión institucional.</v>
      </c>
    </row>
    <row r="219" spans="2:35" ht="56" x14ac:dyDescent="0.35">
      <c r="B219" s="23">
        <v>20260177</v>
      </c>
      <c r="C219" s="99" t="s">
        <v>653</v>
      </c>
      <c r="D219" s="23" t="s">
        <v>105</v>
      </c>
      <c r="E219" s="23" t="s">
        <v>363</v>
      </c>
      <c r="F219" s="156" t="s">
        <v>144</v>
      </c>
      <c r="G219" s="157" t="s">
        <v>373</v>
      </c>
      <c r="H219" s="158">
        <v>11</v>
      </c>
      <c r="I219" s="158">
        <v>0</v>
      </c>
      <c r="J219" s="127">
        <v>81400000</v>
      </c>
      <c r="K219" s="88" t="s">
        <v>398</v>
      </c>
      <c r="L219" s="156" t="s">
        <v>154</v>
      </c>
      <c r="M219" s="159" t="s">
        <v>460</v>
      </c>
      <c r="N219" s="23" t="s">
        <v>198</v>
      </c>
      <c r="O219" s="151" t="s">
        <v>964</v>
      </c>
      <c r="P219" s="156" t="s">
        <v>348</v>
      </c>
      <c r="Q219" s="53">
        <v>80111600</v>
      </c>
      <c r="R219" s="159" t="s">
        <v>218</v>
      </c>
      <c r="S219" s="159" t="str">
        <f>MID(PAA[[#This Row],[Meta Proyecto de Inversión]],1,4)</f>
        <v>8173</v>
      </c>
      <c r="T219" s="159" t="str">
        <f>MID(PAA[[#This Row],[Meta Proyecto de Inversión]],6,1)</f>
        <v>9</v>
      </c>
      <c r="U219" s="160" t="str">
        <f>IFERROR(VLOOKUP(N219,TD!$B$50:$F$54,2,0)," ")</f>
        <v>O230117</v>
      </c>
      <c r="V219" s="160" t="str">
        <f>IFERROR(VLOOKUP(N219,TD!$B$50:$F$54,3,0)," ")</f>
        <v>4503</v>
      </c>
      <c r="W219" s="160">
        <f>IFERROR(VLOOKUP(N219,TD!$B$50:$F$54,4,0)," ")</f>
        <v>20240255</v>
      </c>
      <c r="X219" s="159" t="s">
        <v>172</v>
      </c>
      <c r="Y219" s="160" t="str">
        <f>IFERROR(VLOOKUP(X219,TD!$J$51:$K$64,2,0)," ")</f>
        <v>Servicio de formación en gestión del riesgo de incendios para el personal UAECOB</v>
      </c>
      <c r="Z219" s="161" t="str">
        <f>CONCATENATE(X219,"-",Y219)</f>
        <v>07-Servicio de formación en gestión del riesgo de incendios para el personal UAECOB</v>
      </c>
      <c r="AA219" s="163" t="s">
        <v>222</v>
      </c>
      <c r="AB219" s="160" t="str">
        <f>IFERROR(VLOOKUP(AA219,TD!$N$51:$O$66,2,0)," ")</f>
        <v>Servicio de educación informal</v>
      </c>
      <c r="AC219" s="161" t="str">
        <f>CONCATENATE(AA219,"_",AB219)</f>
        <v>002_Servicio de educación informal</v>
      </c>
      <c r="AD219" s="161" t="str">
        <f>CONCATENATE(Z219," ",AC219)</f>
        <v>07-Servicio de formación en gestión del riesgo de incendios para el personal UAECOB 002_Servicio de educación informal</v>
      </c>
      <c r="AE219" s="160" t="str">
        <f>CONCATENATE(U219,V219,W219,X219,AA219)</f>
        <v>O23011745032024025507002</v>
      </c>
      <c r="AF219" s="160" t="str">
        <f>IFERROR(VLOOKUP(AD219,TD!$J$66:$K$89,2,0)," ")</f>
        <v>PM/0131/0107/45030020255</v>
      </c>
      <c r="AG219" s="118" t="s">
        <v>385</v>
      </c>
      <c r="AH219" s="159" t="s">
        <v>193</v>
      </c>
      <c r="AI219" s="162" t="str">
        <f>CONCATENATE(PAA[[#This Row],[Id Interno]],"-",PAA[[#This Row],[tipo de Contrato (TH talento humano - B/S bienes y/o servicios)]],"-",S219,"-",T219,"-",PAA[[#This Row],[Objeto de la contratación]])</f>
        <v>20260177-TH-8173-9-SGH - Prestar servicios profesionales para apoyar a la Subdirección de Gestión Humana de la UAE Cuerpo Oficial de Bomberos de Bogotá D.C., mediante el acompañamiento en la construcción del Plan Educativo Institucional y en el desarrollo de los procesos y procedimientos de la Academia, orientados al fortalecimiento de la formación y la capacitación institucional.</v>
      </c>
    </row>
    <row r="220" spans="2:35" ht="84" x14ac:dyDescent="0.35">
      <c r="B220" s="23">
        <v>20260178</v>
      </c>
      <c r="C220" s="99" t="s">
        <v>654</v>
      </c>
      <c r="D220" s="23" t="s">
        <v>105</v>
      </c>
      <c r="E220" s="23" t="s">
        <v>363</v>
      </c>
      <c r="F220" s="156" t="s">
        <v>144</v>
      </c>
      <c r="G220" s="157" t="s">
        <v>373</v>
      </c>
      <c r="H220" s="158">
        <v>11</v>
      </c>
      <c r="I220" s="158">
        <v>0</v>
      </c>
      <c r="J220" s="127">
        <v>84700000</v>
      </c>
      <c r="K220" s="88" t="s">
        <v>398</v>
      </c>
      <c r="L220" s="156" t="s">
        <v>154</v>
      </c>
      <c r="M220" s="159" t="s">
        <v>460</v>
      </c>
      <c r="N220" s="23" t="s">
        <v>198</v>
      </c>
      <c r="O220" s="151" t="s">
        <v>964</v>
      </c>
      <c r="P220" s="156" t="s">
        <v>348</v>
      </c>
      <c r="Q220" s="53">
        <v>80111600</v>
      </c>
      <c r="R220" s="159" t="s">
        <v>218</v>
      </c>
      <c r="S220" s="159" t="str">
        <f>MID(PAA[[#This Row],[Meta Proyecto de Inversión]],1,4)</f>
        <v>8173</v>
      </c>
      <c r="T220" s="159" t="str">
        <f>MID(PAA[[#This Row],[Meta Proyecto de Inversión]],6,1)</f>
        <v>9</v>
      </c>
      <c r="U220" s="160" t="str">
        <f>IFERROR(VLOOKUP(N220,TD!$B$50:$F$54,2,0)," ")</f>
        <v>O230117</v>
      </c>
      <c r="V220" s="160" t="str">
        <f>IFERROR(VLOOKUP(N220,TD!$B$50:$F$54,3,0)," ")</f>
        <v>4503</v>
      </c>
      <c r="W220" s="160">
        <f>IFERROR(VLOOKUP(N220,TD!$B$50:$F$54,4,0)," ")</f>
        <v>20240255</v>
      </c>
      <c r="X220" s="159" t="s">
        <v>172</v>
      </c>
      <c r="Y220" s="160" t="str">
        <f>IFERROR(VLOOKUP(X220,TD!$J$51:$K$64,2,0)," ")</f>
        <v>Servicio de formación en gestión del riesgo de incendios para el personal UAECOB</v>
      </c>
      <c r="Z220" s="161" t="str">
        <f>CONCATENATE(X220,"-",Y220)</f>
        <v>07-Servicio de formación en gestión del riesgo de incendios para el personal UAECOB</v>
      </c>
      <c r="AA220" s="163" t="s">
        <v>222</v>
      </c>
      <c r="AB220" s="160" t="str">
        <f>IFERROR(VLOOKUP(AA220,TD!$N$51:$O$66,2,0)," ")</f>
        <v>Servicio de educación informal</v>
      </c>
      <c r="AC220" s="161" t="str">
        <f>CONCATENATE(AA220,"_",AB220)</f>
        <v>002_Servicio de educación informal</v>
      </c>
      <c r="AD220" s="161" t="str">
        <f>CONCATENATE(Z220," ",AC220)</f>
        <v>07-Servicio de formación en gestión del riesgo de incendios para el personal UAECOB 002_Servicio de educación informal</v>
      </c>
      <c r="AE220" s="160" t="str">
        <f>CONCATENATE(U220,V220,W220,X220,AA220)</f>
        <v>O23011745032024025507002</v>
      </c>
      <c r="AF220" s="160" t="str">
        <f>IFERROR(VLOOKUP(AD220,TD!$J$66:$K$89,2,0)," ")</f>
        <v>PM/0131/0107/45030020255</v>
      </c>
      <c r="AG220" s="118" t="s">
        <v>385</v>
      </c>
      <c r="AH220" s="159" t="s">
        <v>193</v>
      </c>
      <c r="AI220" s="162" t="str">
        <f>CONCATENATE(PAA[[#This Row],[Id Interno]],"-",PAA[[#This Row],[tipo de Contrato (TH talento humano - B/S bienes y/o servicios)]],"-",S220,"-",T220,"-",PAA[[#This Row],[Objeto de la contratación]])</f>
        <v>20260178-TH-8173-9-SGH - Prestar servicios profesionales a la Subdirección de la UAE Cuerpo Oficial de Bomberos de Bogotá D.C., orientados al fortalecimiento y seguimiento del proceso académico y formativo, mediante la estructuración de fichas técnicas y el acompañamiento en las etapas contractuales correspondientes, con especial énfasis en la integración del Sistema de Gestión de Seguridad y Salud en el Trabajo (SG-SST), de conformidad con la normatividad vigente y los lineamientos institucionales.</v>
      </c>
    </row>
    <row r="221" spans="2:35" ht="84" x14ac:dyDescent="0.35">
      <c r="B221" s="23">
        <v>20260179</v>
      </c>
      <c r="C221" s="99" t="s">
        <v>655</v>
      </c>
      <c r="D221" s="23" t="s">
        <v>105</v>
      </c>
      <c r="E221" s="23" t="s">
        <v>363</v>
      </c>
      <c r="F221" s="156" t="s">
        <v>144</v>
      </c>
      <c r="G221" s="157" t="s">
        <v>373</v>
      </c>
      <c r="H221" s="158">
        <v>10</v>
      </c>
      <c r="I221" s="158">
        <v>0</v>
      </c>
      <c r="J221" s="127">
        <v>55000000</v>
      </c>
      <c r="K221" s="88" t="s">
        <v>398</v>
      </c>
      <c r="L221" s="156" t="s">
        <v>154</v>
      </c>
      <c r="M221" s="159" t="s">
        <v>460</v>
      </c>
      <c r="N221" s="23" t="s">
        <v>198</v>
      </c>
      <c r="O221" s="151" t="s">
        <v>964</v>
      </c>
      <c r="P221" s="156" t="s">
        <v>348</v>
      </c>
      <c r="Q221" s="53">
        <v>80111600</v>
      </c>
      <c r="R221" s="159" t="s">
        <v>218</v>
      </c>
      <c r="S221" s="159" t="str">
        <f>MID(PAA[[#This Row],[Meta Proyecto de Inversión]],1,4)</f>
        <v>8173</v>
      </c>
      <c r="T221" s="159" t="str">
        <f>MID(PAA[[#This Row],[Meta Proyecto de Inversión]],6,1)</f>
        <v>9</v>
      </c>
      <c r="U221" s="160" t="str">
        <f>IFERROR(VLOOKUP(N221,TD!$B$50:$F$54,2,0)," ")</f>
        <v>O230117</v>
      </c>
      <c r="V221" s="160" t="str">
        <f>IFERROR(VLOOKUP(N221,TD!$B$50:$F$54,3,0)," ")</f>
        <v>4503</v>
      </c>
      <c r="W221" s="160">
        <f>IFERROR(VLOOKUP(N221,TD!$B$50:$F$54,4,0)," ")</f>
        <v>20240255</v>
      </c>
      <c r="X221" s="159" t="s">
        <v>172</v>
      </c>
      <c r="Y221" s="160" t="str">
        <f>IFERROR(VLOOKUP(X221,TD!$J$51:$K$64,2,0)," ")</f>
        <v>Servicio de formación en gestión del riesgo de incendios para el personal UAECOB</v>
      </c>
      <c r="Z221" s="161" t="str">
        <f>CONCATENATE(X221,"-",Y221)</f>
        <v>07-Servicio de formación en gestión del riesgo de incendios para el personal UAECOB</v>
      </c>
      <c r="AA221" s="163" t="s">
        <v>222</v>
      </c>
      <c r="AB221" s="160" t="str">
        <f>IFERROR(VLOOKUP(AA221,TD!$N$51:$O$66,2,0)," ")</f>
        <v>Servicio de educación informal</v>
      </c>
      <c r="AC221" s="161" t="str">
        <f>CONCATENATE(AA221,"_",AB221)</f>
        <v>002_Servicio de educación informal</v>
      </c>
      <c r="AD221" s="161" t="str">
        <f>CONCATENATE(Z221," ",AC221)</f>
        <v>07-Servicio de formación en gestión del riesgo de incendios para el personal UAECOB 002_Servicio de educación informal</v>
      </c>
      <c r="AE221" s="160" t="str">
        <f>CONCATENATE(U221,V221,W221,X221,AA221)</f>
        <v>O23011745032024025507002</v>
      </c>
      <c r="AF221" s="160" t="str">
        <f>IFERROR(VLOOKUP(AD221,TD!$J$66:$K$89,2,0)," ")</f>
        <v>PM/0131/0107/45030020255</v>
      </c>
      <c r="AG221" s="118" t="s">
        <v>385</v>
      </c>
      <c r="AH221" s="159" t="s">
        <v>193</v>
      </c>
      <c r="AI221" s="162" t="str">
        <f>CONCATENATE(PAA[[#This Row],[Id Interno]],"-",PAA[[#This Row],[tipo de Contrato (TH talento humano - B/S bienes y/o servicios)]],"-",S221,"-",T221,"-",PAA[[#This Row],[Objeto de la contratación]])</f>
        <v>20260179-TH-8173-9-SGH - Prestar servicios profesionales para apoyar a la Academia de la UAE Cuerpo Oficial de Bomberos de Bogotá D.C., mediante la gestión y seguimiento de procesos contractuales, la atención de requerimientos de los entes de control u otras entidades, orientadas al fortalecimiento de la formación y la capacitación institucional.</v>
      </c>
    </row>
    <row r="222" spans="2:35" ht="84" x14ac:dyDescent="0.35">
      <c r="B222" s="23">
        <v>20260180</v>
      </c>
      <c r="C222" s="99" t="s">
        <v>656</v>
      </c>
      <c r="D222" s="23" t="s">
        <v>105</v>
      </c>
      <c r="E222" s="23" t="s">
        <v>363</v>
      </c>
      <c r="F222" s="156" t="s">
        <v>145</v>
      </c>
      <c r="G222" s="157" t="s">
        <v>373</v>
      </c>
      <c r="H222" s="158">
        <v>8</v>
      </c>
      <c r="I222" s="158">
        <v>0</v>
      </c>
      <c r="J222" s="127">
        <v>26000000</v>
      </c>
      <c r="K222" s="88" t="s">
        <v>398</v>
      </c>
      <c r="L222" s="156" t="s">
        <v>154</v>
      </c>
      <c r="M222" s="159" t="s">
        <v>460</v>
      </c>
      <c r="N222" s="23" t="s">
        <v>198</v>
      </c>
      <c r="O222" s="151" t="s">
        <v>964</v>
      </c>
      <c r="P222" s="156" t="s">
        <v>348</v>
      </c>
      <c r="Q222" s="53">
        <v>80111600</v>
      </c>
      <c r="R222" s="159" t="s">
        <v>218</v>
      </c>
      <c r="S222" s="159" t="str">
        <f>MID(PAA[[#This Row],[Meta Proyecto de Inversión]],1,4)</f>
        <v>8173</v>
      </c>
      <c r="T222" s="159" t="str">
        <f>MID(PAA[[#This Row],[Meta Proyecto de Inversión]],6,1)</f>
        <v>9</v>
      </c>
      <c r="U222" s="160" t="str">
        <f>IFERROR(VLOOKUP(N222,TD!$B$50:$F$54,2,0)," ")</f>
        <v>O230117</v>
      </c>
      <c r="V222" s="160" t="str">
        <f>IFERROR(VLOOKUP(N222,TD!$B$50:$F$54,3,0)," ")</f>
        <v>4503</v>
      </c>
      <c r="W222" s="160">
        <f>IFERROR(VLOOKUP(N222,TD!$B$50:$F$54,4,0)," ")</f>
        <v>20240255</v>
      </c>
      <c r="X222" s="159" t="s">
        <v>172</v>
      </c>
      <c r="Y222" s="160" t="str">
        <f>IFERROR(VLOOKUP(X222,TD!$J$51:$K$64,2,0)," ")</f>
        <v>Servicio de formación en gestión del riesgo de incendios para el personal UAECOB</v>
      </c>
      <c r="Z222" s="161" t="str">
        <f>CONCATENATE(X222,"-",Y222)</f>
        <v>07-Servicio de formación en gestión del riesgo de incendios para el personal UAECOB</v>
      </c>
      <c r="AA222" s="163" t="s">
        <v>222</v>
      </c>
      <c r="AB222" s="160" t="str">
        <f>IFERROR(VLOOKUP(AA222,TD!$N$51:$O$66,2,0)," ")</f>
        <v>Servicio de educación informal</v>
      </c>
      <c r="AC222" s="161" t="str">
        <f>CONCATENATE(AA222,"_",AB222)</f>
        <v>002_Servicio de educación informal</v>
      </c>
      <c r="AD222" s="161" t="str">
        <f>CONCATENATE(Z222," ",AC222)</f>
        <v>07-Servicio de formación en gestión del riesgo de incendios para el personal UAECOB 002_Servicio de educación informal</v>
      </c>
      <c r="AE222" s="160" t="str">
        <f>CONCATENATE(U222,V222,W222,X222,AA222)</f>
        <v>O23011745032024025507002</v>
      </c>
      <c r="AF222" s="160" t="str">
        <f>IFERROR(VLOOKUP(AD222,TD!$J$66:$K$89,2,0)," ")</f>
        <v>PM/0131/0107/45030020255</v>
      </c>
      <c r="AG222" s="118" t="s">
        <v>385</v>
      </c>
      <c r="AH222" s="159" t="s">
        <v>193</v>
      </c>
      <c r="AI222" s="162" t="str">
        <f>CONCATENATE(PAA[[#This Row],[Id Interno]],"-",PAA[[#This Row],[tipo de Contrato (TH talento humano - B/S bienes y/o servicios)]],"-",S222,"-",T222,"-",PAA[[#This Row],[Objeto de la contratación]])</f>
        <v>20260180-TH-8173-9-SGH - Prestar servicios de apoyo a la Academia de la UAE Cuerpo Oficial de Bomberos de Bogotá D.C., para el desarrollo de actividades logisticas, en especial las relacionadas con el seguimiento y control de los elementos y herramientas requeridos en el marco de los procesos de formación y capacitación, conforme a los lineamientos institucionales y la normatividad vigente.</v>
      </c>
    </row>
    <row r="223" spans="2:35" ht="84" x14ac:dyDescent="0.35">
      <c r="B223" s="23">
        <v>20260181</v>
      </c>
      <c r="C223" s="99" t="s">
        <v>657</v>
      </c>
      <c r="D223" s="23" t="s">
        <v>105</v>
      </c>
      <c r="E223" s="23" t="s">
        <v>363</v>
      </c>
      <c r="F223" s="156" t="s">
        <v>144</v>
      </c>
      <c r="G223" s="157" t="s">
        <v>373</v>
      </c>
      <c r="H223" s="158">
        <v>11</v>
      </c>
      <c r="I223" s="158">
        <v>0</v>
      </c>
      <c r="J223" s="127">
        <v>100100000</v>
      </c>
      <c r="K223" s="88" t="s">
        <v>398</v>
      </c>
      <c r="L223" s="156" t="s">
        <v>154</v>
      </c>
      <c r="M223" s="159" t="s">
        <v>460</v>
      </c>
      <c r="N223" s="23" t="s">
        <v>198</v>
      </c>
      <c r="O223" s="151" t="s">
        <v>964</v>
      </c>
      <c r="P223" s="156" t="s">
        <v>348</v>
      </c>
      <c r="Q223" s="53">
        <v>80111600</v>
      </c>
      <c r="R223" s="159" t="s">
        <v>218</v>
      </c>
      <c r="S223" s="159" t="str">
        <f>MID(PAA[[#This Row],[Meta Proyecto de Inversión]],1,4)</f>
        <v>8173</v>
      </c>
      <c r="T223" s="159" t="str">
        <f>MID(PAA[[#This Row],[Meta Proyecto de Inversión]],6,1)</f>
        <v>9</v>
      </c>
      <c r="U223" s="160" t="str">
        <f>IFERROR(VLOOKUP(N223,TD!$B$50:$F$54,2,0)," ")</f>
        <v>O230117</v>
      </c>
      <c r="V223" s="160" t="str">
        <f>IFERROR(VLOOKUP(N223,TD!$B$50:$F$54,3,0)," ")</f>
        <v>4503</v>
      </c>
      <c r="W223" s="160">
        <f>IFERROR(VLOOKUP(N223,TD!$B$50:$F$54,4,0)," ")</f>
        <v>20240255</v>
      </c>
      <c r="X223" s="159" t="s">
        <v>172</v>
      </c>
      <c r="Y223" s="160" t="str">
        <f>IFERROR(VLOOKUP(X223,TD!$J$51:$K$64,2,0)," ")</f>
        <v>Servicio de formación en gestión del riesgo de incendios para el personal UAECOB</v>
      </c>
      <c r="Z223" s="161" t="str">
        <f>CONCATENATE(X223,"-",Y223)</f>
        <v>07-Servicio de formación en gestión del riesgo de incendios para el personal UAECOB</v>
      </c>
      <c r="AA223" s="163" t="s">
        <v>222</v>
      </c>
      <c r="AB223" s="160" t="str">
        <f>IFERROR(VLOOKUP(AA223,TD!$N$51:$O$66,2,0)," ")</f>
        <v>Servicio de educación informal</v>
      </c>
      <c r="AC223" s="161" t="str">
        <f>CONCATENATE(AA223,"_",AB223)</f>
        <v>002_Servicio de educación informal</v>
      </c>
      <c r="AD223" s="161" t="str">
        <f>CONCATENATE(Z223," ",AC223)</f>
        <v>07-Servicio de formación en gestión del riesgo de incendios para el personal UAECOB 002_Servicio de educación informal</v>
      </c>
      <c r="AE223" s="160" t="str">
        <f>CONCATENATE(U223,V223,W223,X223,AA223)</f>
        <v>O23011745032024025507002</v>
      </c>
      <c r="AF223" s="160" t="str">
        <f>IFERROR(VLOOKUP(AD223,TD!$J$66:$K$89,2,0)," ")</f>
        <v>PM/0131/0107/45030020255</v>
      </c>
      <c r="AG223" s="118" t="s">
        <v>385</v>
      </c>
      <c r="AH223" s="159" t="s">
        <v>193</v>
      </c>
      <c r="AI223" s="162" t="str">
        <f>CONCATENATE(PAA[[#This Row],[Id Interno]],"-",PAA[[#This Row],[tipo de Contrato (TH talento humano - B/S bienes y/o servicios)]],"-",S223,"-",T223,"-",PAA[[#This Row],[Objeto de la contratación]])</f>
        <v>20260181-TH-8173-9-SGH - Prestar sus servicios profesionales especializados para apoyar a la Subdirección de Gestión Humana de la UAE Cuerpo Oficial de Bomberos de Bogotá D.C., como Enlace Financiero mediante el acompañamiento en el seguimiento a la ejecución presupuestal, en coherencia con los procesos, procedimientos y contratos a cargo de la dependencia,  en especial, los de la Academia de la entidad, que contribuyan  al fortalecimiento de los programas de formación y capacitación, garantizando el cumplimiento de la normatividad vigente.</v>
      </c>
    </row>
    <row r="224" spans="2:35" ht="84" x14ac:dyDescent="0.35">
      <c r="B224" s="23">
        <v>20260182</v>
      </c>
      <c r="C224" s="99" t="s">
        <v>658</v>
      </c>
      <c r="D224" s="23" t="s">
        <v>105</v>
      </c>
      <c r="E224" s="23" t="s">
        <v>363</v>
      </c>
      <c r="F224" s="156" t="s">
        <v>144</v>
      </c>
      <c r="G224" s="157" t="s">
        <v>373</v>
      </c>
      <c r="H224" s="158">
        <v>11</v>
      </c>
      <c r="I224" s="158">
        <v>0</v>
      </c>
      <c r="J224" s="127">
        <v>93500000</v>
      </c>
      <c r="K224" s="88" t="s">
        <v>398</v>
      </c>
      <c r="L224" s="156" t="s">
        <v>154</v>
      </c>
      <c r="M224" s="159" t="s">
        <v>460</v>
      </c>
      <c r="N224" s="23" t="s">
        <v>198</v>
      </c>
      <c r="O224" s="151" t="s">
        <v>964</v>
      </c>
      <c r="P224" s="156" t="s">
        <v>348</v>
      </c>
      <c r="Q224" s="53">
        <v>80111600</v>
      </c>
      <c r="R224" s="159" t="s">
        <v>218</v>
      </c>
      <c r="S224" s="159" t="str">
        <f>MID(PAA[[#This Row],[Meta Proyecto de Inversión]],1,4)</f>
        <v>8173</v>
      </c>
      <c r="T224" s="159" t="str">
        <f>MID(PAA[[#This Row],[Meta Proyecto de Inversión]],6,1)</f>
        <v>9</v>
      </c>
      <c r="U224" s="160" t="str">
        <f>IFERROR(VLOOKUP(N224,TD!$B$50:$F$54,2,0)," ")</f>
        <v>O230117</v>
      </c>
      <c r="V224" s="160" t="str">
        <f>IFERROR(VLOOKUP(N224,TD!$B$50:$F$54,3,0)," ")</f>
        <v>4503</v>
      </c>
      <c r="W224" s="160">
        <f>IFERROR(VLOOKUP(N224,TD!$B$50:$F$54,4,0)," ")</f>
        <v>20240255</v>
      </c>
      <c r="X224" s="159" t="s">
        <v>172</v>
      </c>
      <c r="Y224" s="160" t="str">
        <f>IFERROR(VLOOKUP(X224,TD!$J$51:$K$64,2,0)," ")</f>
        <v>Servicio de formación en gestión del riesgo de incendios para el personal UAECOB</v>
      </c>
      <c r="Z224" s="161" t="str">
        <f>CONCATENATE(X224,"-",Y224)</f>
        <v>07-Servicio de formación en gestión del riesgo de incendios para el personal UAECOB</v>
      </c>
      <c r="AA224" s="163" t="s">
        <v>222</v>
      </c>
      <c r="AB224" s="160" t="str">
        <f>IFERROR(VLOOKUP(AA224,TD!$N$51:$O$66,2,0)," ")</f>
        <v>Servicio de educación informal</v>
      </c>
      <c r="AC224" s="161" t="str">
        <f>CONCATENATE(AA224,"_",AB224)</f>
        <v>002_Servicio de educación informal</v>
      </c>
      <c r="AD224" s="161" t="str">
        <f>CONCATENATE(Z224," ",AC224)</f>
        <v>07-Servicio de formación en gestión del riesgo de incendios para el personal UAECOB 002_Servicio de educación informal</v>
      </c>
      <c r="AE224" s="160" t="str">
        <f>CONCATENATE(U224,V224,W224,X224,AA224)</f>
        <v>O23011745032024025507002</v>
      </c>
      <c r="AF224" s="160" t="str">
        <f>IFERROR(VLOOKUP(AD224,TD!$J$66:$K$89,2,0)," ")</f>
        <v>PM/0131/0107/45030020255</v>
      </c>
      <c r="AG224" s="118" t="s">
        <v>385</v>
      </c>
      <c r="AH224" s="159" t="s">
        <v>193</v>
      </c>
      <c r="AI224" s="162" t="str">
        <f>CONCATENATE(PAA[[#This Row],[Id Interno]],"-",PAA[[#This Row],[tipo de Contrato (TH talento humano - B/S bienes y/o servicios)]],"-",S224,"-",T224,"-",PAA[[#This Row],[Objeto de la contratación]])</f>
        <v>20260182-TH-8173-9-SGH- Prestar servicios profesionales especializados para apoyar a la Subdirección de Gestión Humana de la UAE Cuerpo Oficial de Bomberos de Bogotá D.C., en calidad de enlace con la Oficina Asesora de Planeación y las áreas internas de la Subdirección, con el propósito de consolidar, coordinar y hacer seguimiento a la información y acciones relacionadas con la planeación, gestión y reporte institucional, orientados al fortalecimiento de los programas de formación y capacitación.</v>
      </c>
    </row>
    <row r="225" spans="2:35" ht="84" x14ac:dyDescent="0.35">
      <c r="B225" s="23">
        <v>20260183</v>
      </c>
      <c r="C225" s="99" t="s">
        <v>484</v>
      </c>
      <c r="D225" s="23" t="s">
        <v>105</v>
      </c>
      <c r="E225" s="23" t="s">
        <v>363</v>
      </c>
      <c r="F225" s="156" t="s">
        <v>144</v>
      </c>
      <c r="G225" s="157" t="s">
        <v>373</v>
      </c>
      <c r="H225" s="158">
        <v>11</v>
      </c>
      <c r="I225" s="158">
        <v>0</v>
      </c>
      <c r="J225" s="127">
        <v>91520000</v>
      </c>
      <c r="K225" s="88" t="s">
        <v>398</v>
      </c>
      <c r="L225" s="156" t="s">
        <v>154</v>
      </c>
      <c r="M225" s="159" t="s">
        <v>460</v>
      </c>
      <c r="N225" s="23" t="s">
        <v>197</v>
      </c>
      <c r="O225" s="151" t="s">
        <v>963</v>
      </c>
      <c r="P225" s="156" t="s">
        <v>348</v>
      </c>
      <c r="Q225" s="53">
        <v>80111600</v>
      </c>
      <c r="R225" s="159" t="s">
        <v>208</v>
      </c>
      <c r="S225" s="159" t="str">
        <f>MID(PAA[[#This Row],[Meta Proyecto de Inversión]],1,4)</f>
        <v>8126</v>
      </c>
      <c r="T225" s="159" t="str">
        <f>MID(PAA[[#This Row],[Meta Proyecto de Inversión]],6,1)</f>
        <v>9</v>
      </c>
      <c r="U225" s="160" t="str">
        <f>IFERROR(VLOOKUP(N225,TD!$B$50:$F$54,2,0)," ")</f>
        <v>O230117</v>
      </c>
      <c r="V225" s="160" t="str">
        <f>IFERROR(VLOOKUP(N225,TD!$B$50:$F$54,3,0)," ")</f>
        <v>4599</v>
      </c>
      <c r="W225" s="160">
        <f>IFERROR(VLOOKUP(N225,TD!$B$50:$F$54,4,0)," ")</f>
        <v>20240207</v>
      </c>
      <c r="X225" s="159" t="s">
        <v>174</v>
      </c>
      <c r="Y225" s="160" t="str">
        <f>IFERROR(VLOOKUP(X225,TD!$J$51:$K$64,2,0)," ")</f>
        <v>Infraestructura física, mantenimiento y dotación (Sedes construidas, mantenidas reforzadas)</v>
      </c>
      <c r="Z225" s="161" t="str">
        <f>CONCATENATE(X225,"-",Y225)</f>
        <v>08-Infraestructura física, mantenimiento y dotación (Sedes construidas, mantenidas reforzadas)</v>
      </c>
      <c r="AA225" s="163" t="s">
        <v>227</v>
      </c>
      <c r="AB225" s="160" t="str">
        <f>IFERROR(VLOOKUP(AA225,TD!$N$51:$O$66,2,0)," ")</f>
        <v>Sedes mantenidas</v>
      </c>
      <c r="AC225" s="161" t="str">
        <f>CONCATENATE(AA225,"_",AB225)</f>
        <v>016_Sedes mantenidas</v>
      </c>
      <c r="AD225" s="161" t="str">
        <f>CONCATENATE(Z225," ",AC225)</f>
        <v>08-Infraestructura física, mantenimiento y dotación (Sedes construidas, mantenidas reforzadas) 016_Sedes mantenidas</v>
      </c>
      <c r="AE225" s="160" t="str">
        <f>CONCATENATE(U225,V225,W225,X225,AA225)</f>
        <v>O23011745992024020708016</v>
      </c>
      <c r="AF225" s="160" t="str">
        <f>IFERROR(VLOOKUP(AD225,TD!$J$66:$K$89,2,0)," ")</f>
        <v>PM/0131/0108/45990160207</v>
      </c>
      <c r="AG225" s="118" t="s">
        <v>385</v>
      </c>
      <c r="AH225" s="159" t="s">
        <v>193</v>
      </c>
      <c r="AI225" s="162" t="str">
        <f>CONCATENATE(PAA[[#This Row],[Id Interno]],"-",PAA[[#This Row],[tipo de Contrato (TH talento humano - B/S bienes y/o servicios)]],"-",S225,"-",T225,"-",PAA[[#This Row],[Objeto de la contratación]])</f>
        <v>20260183-TH-8126-9-SGH - Prestar sus servicios profesionales especializados para apoyar a la Subdirección de Gestión Humana de la UAE Cuerpo Oficial de Bomberos de Bogotá D.C., mediante el seguimiento y apoyo a la coordinación, control del desarrollo de actividades de carácter transversal en los procesos a cargo de la dependencia, en especial aquellos relacionados con el fortalecimiento de los procesos de formación, con el fin de contribuir a la eficiencia, calidad y mejora continua de la gestión institucional.</v>
      </c>
    </row>
    <row r="226" spans="2:35" ht="84" x14ac:dyDescent="0.35">
      <c r="B226" s="23">
        <v>20260184</v>
      </c>
      <c r="C226" s="99" t="s">
        <v>659</v>
      </c>
      <c r="D226" s="23" t="s">
        <v>105</v>
      </c>
      <c r="E226" s="23" t="s">
        <v>363</v>
      </c>
      <c r="F226" s="156" t="s">
        <v>144</v>
      </c>
      <c r="G226" s="157" t="s">
        <v>373</v>
      </c>
      <c r="H226" s="158">
        <v>11</v>
      </c>
      <c r="I226" s="158">
        <v>0</v>
      </c>
      <c r="J226" s="127">
        <v>114400000</v>
      </c>
      <c r="K226" s="88" t="s">
        <v>398</v>
      </c>
      <c r="L226" s="156" t="s">
        <v>154</v>
      </c>
      <c r="M226" s="159" t="s">
        <v>460</v>
      </c>
      <c r="N226" s="23" t="s">
        <v>198</v>
      </c>
      <c r="O226" s="151" t="s">
        <v>964</v>
      </c>
      <c r="P226" s="156" t="s">
        <v>348</v>
      </c>
      <c r="Q226" s="53">
        <v>80111600</v>
      </c>
      <c r="R226" s="159" t="s">
        <v>218</v>
      </c>
      <c r="S226" s="159" t="str">
        <f>MID(PAA[[#This Row],[Meta Proyecto de Inversión]],1,4)</f>
        <v>8173</v>
      </c>
      <c r="T226" s="159" t="str">
        <f>MID(PAA[[#This Row],[Meta Proyecto de Inversión]],6,1)</f>
        <v>9</v>
      </c>
      <c r="U226" s="160" t="str">
        <f>IFERROR(VLOOKUP(N226,TD!$B$50:$F$54,2,0)," ")</f>
        <v>O230117</v>
      </c>
      <c r="V226" s="160" t="str">
        <f>IFERROR(VLOOKUP(N226,TD!$B$50:$F$54,3,0)," ")</f>
        <v>4503</v>
      </c>
      <c r="W226" s="160">
        <f>IFERROR(VLOOKUP(N226,TD!$B$50:$F$54,4,0)," ")</f>
        <v>20240255</v>
      </c>
      <c r="X226" s="159" t="s">
        <v>172</v>
      </c>
      <c r="Y226" s="160" t="str">
        <f>IFERROR(VLOOKUP(X226,TD!$J$51:$K$64,2,0)," ")</f>
        <v>Servicio de formación en gestión del riesgo de incendios para el personal UAECOB</v>
      </c>
      <c r="Z226" s="161" t="str">
        <f>CONCATENATE(X226,"-",Y226)</f>
        <v>07-Servicio de formación en gestión del riesgo de incendios para el personal UAECOB</v>
      </c>
      <c r="AA226" s="163" t="s">
        <v>222</v>
      </c>
      <c r="AB226" s="160" t="str">
        <f>IFERROR(VLOOKUP(AA226,TD!$N$51:$O$66,2,0)," ")</f>
        <v>Servicio de educación informal</v>
      </c>
      <c r="AC226" s="161" t="str">
        <f>CONCATENATE(AA226,"_",AB226)</f>
        <v>002_Servicio de educación informal</v>
      </c>
      <c r="AD226" s="161" t="str">
        <f>CONCATENATE(Z226," ",AC226)</f>
        <v>07-Servicio de formación en gestión del riesgo de incendios para el personal UAECOB 002_Servicio de educación informal</v>
      </c>
      <c r="AE226" s="160" t="str">
        <f>CONCATENATE(U226,V226,W226,X226,AA226)</f>
        <v>O23011745032024025507002</v>
      </c>
      <c r="AF226" s="160" t="str">
        <f>IFERROR(VLOOKUP(AD226,TD!$J$66:$K$89,2,0)," ")</f>
        <v>PM/0131/0107/45030020255</v>
      </c>
      <c r="AG226" s="118" t="s">
        <v>385</v>
      </c>
      <c r="AH226" s="159" t="s">
        <v>193</v>
      </c>
      <c r="AI226" s="162" t="str">
        <f>CONCATENATE(PAA[[#This Row],[Id Interno]],"-",PAA[[#This Row],[tipo de Contrato (TH talento humano - B/S bienes y/o servicios)]],"-",S226,"-",T226,"-",PAA[[#This Row],[Objeto de la contratación]])</f>
        <v xml:space="preserve">20260184-TH-8173-9-SGH - Prestar sus servicios profesionales con plena autonomia tecnica y administrativa para acompañar a la Subdireccion de Gestion Humana de la UAE Cuerpo Oficial de Bomberos de Bogotá D.C.,  mediante la estructuración y definición de aspectos jurídicos en las etapas precontractuales, contractuales y poscontractuales de los procesos y procedimientos a cargo de la dependencia, en especial de aquellos orientados al fortalecimiento de los programas y procesos de formación. </v>
      </c>
    </row>
    <row r="227" spans="2:35" ht="84" x14ac:dyDescent="0.35">
      <c r="B227" s="23">
        <v>20260185</v>
      </c>
      <c r="C227" s="99" t="s">
        <v>485</v>
      </c>
      <c r="D227" s="23" t="s">
        <v>105</v>
      </c>
      <c r="E227" s="23" t="s">
        <v>402</v>
      </c>
      <c r="F227" s="156" t="s">
        <v>106</v>
      </c>
      <c r="G227" s="157" t="s">
        <v>374</v>
      </c>
      <c r="H227" s="158">
        <v>11</v>
      </c>
      <c r="I227" s="158">
        <v>0</v>
      </c>
      <c r="J227" s="127">
        <v>0</v>
      </c>
      <c r="K227" s="88" t="s">
        <v>398</v>
      </c>
      <c r="L227" s="156" t="s">
        <v>154</v>
      </c>
      <c r="M227" s="159" t="s">
        <v>460</v>
      </c>
      <c r="N227" s="23" t="s">
        <v>198</v>
      </c>
      <c r="O227" s="151" t="s">
        <v>964</v>
      </c>
      <c r="P227" s="156" t="s">
        <v>348</v>
      </c>
      <c r="Q227" s="53" t="s">
        <v>493</v>
      </c>
      <c r="R227" s="159" t="s">
        <v>218</v>
      </c>
      <c r="S227" s="159" t="str">
        <f>MID(PAA[[#This Row],[Meta Proyecto de Inversión]],1,4)</f>
        <v>8173</v>
      </c>
      <c r="T227" s="159" t="str">
        <f>MID(PAA[[#This Row],[Meta Proyecto de Inversión]],6,1)</f>
        <v>9</v>
      </c>
      <c r="U227" s="160" t="str">
        <f>IFERROR(VLOOKUP(N227,TD!$B$50:$F$54,2,0)," ")</f>
        <v>O230117</v>
      </c>
      <c r="V227" s="160" t="str">
        <f>IFERROR(VLOOKUP(N227,TD!$B$50:$F$54,3,0)," ")</f>
        <v>4503</v>
      </c>
      <c r="W227" s="160">
        <f>IFERROR(VLOOKUP(N227,TD!$B$50:$F$54,4,0)," ")</f>
        <v>20240255</v>
      </c>
      <c r="X227" s="159" t="s">
        <v>172</v>
      </c>
      <c r="Y227" s="160" t="str">
        <f>IFERROR(VLOOKUP(X227,TD!$J$51:$K$64,2,0)," ")</f>
        <v>Servicio de formación en gestión del riesgo de incendios para el personal UAECOB</v>
      </c>
      <c r="Z227" s="161" t="str">
        <f>CONCATENATE(X227,"-",Y227)</f>
        <v>07-Servicio de formación en gestión del riesgo de incendios para el personal UAECOB</v>
      </c>
      <c r="AA227" s="163" t="s">
        <v>222</v>
      </c>
      <c r="AB227" s="160" t="str">
        <f>IFERROR(VLOOKUP(AA227,TD!$N$51:$O$66,2,0)," ")</f>
        <v>Servicio de educación informal</v>
      </c>
      <c r="AC227" s="161" t="str">
        <f>CONCATENATE(AA227,"_",AB227)</f>
        <v>002_Servicio de educación informal</v>
      </c>
      <c r="AD227" s="161" t="str">
        <f>CONCATENATE(Z227," ",AC227)</f>
        <v>07-Servicio de formación en gestión del riesgo de incendios para el personal UAECOB 002_Servicio de educación informal</v>
      </c>
      <c r="AE227" s="160" t="str">
        <f>CONCATENATE(U227,V227,W227,X227,AA227)</f>
        <v>O23011745032024025507002</v>
      </c>
      <c r="AF227" s="160" t="str">
        <f>IFERROR(VLOOKUP(AD227,TD!$J$66:$K$89,2,0)," ")</f>
        <v>PM/0131/0107/45030020255</v>
      </c>
      <c r="AG227" s="118" t="s">
        <v>578</v>
      </c>
      <c r="AH227" s="159" t="s">
        <v>193</v>
      </c>
      <c r="AI227" s="162" t="str">
        <f>CONCATENATE(PAA[[#This Row],[Id Interno]],"-",PAA[[#This Row],[tipo de Contrato (TH talento humano - B/S bienes y/o servicios)]],"-",S227,"-",T227,"-",PAA[[#This Row],[Objeto de la contratación]])</f>
        <v>20260185-BS-8173-9-SGH - Arrendamiento de un bien inmueble que garantice contar con las instalaciones adecuadas para la realización de capacitaciones del personal operativo, en cumplimiento de los objetivos de los programas de capacitación, formación y entrenamiento de la academia de la UAE Cuerpo Oficial de Bomberos de Bogotá</v>
      </c>
    </row>
    <row r="228" spans="2:35" ht="56" x14ac:dyDescent="0.35">
      <c r="B228" s="23">
        <v>20260186</v>
      </c>
      <c r="C228" s="99" t="s">
        <v>486</v>
      </c>
      <c r="D228" s="23" t="s">
        <v>119</v>
      </c>
      <c r="E228" s="23" t="s">
        <v>402</v>
      </c>
      <c r="F228" s="156" t="s">
        <v>89</v>
      </c>
      <c r="G228" s="157" t="s">
        <v>374</v>
      </c>
      <c r="H228" s="158">
        <v>11</v>
      </c>
      <c r="I228" s="158">
        <v>0</v>
      </c>
      <c r="J228" s="127">
        <v>80000000</v>
      </c>
      <c r="K228" s="88" t="s">
        <v>398</v>
      </c>
      <c r="L228" s="156" t="s">
        <v>154</v>
      </c>
      <c r="M228" s="159" t="s">
        <v>460</v>
      </c>
      <c r="N228" s="23" t="s">
        <v>198</v>
      </c>
      <c r="O228" s="151" t="s">
        <v>964</v>
      </c>
      <c r="P228" s="156" t="s">
        <v>348</v>
      </c>
      <c r="Q228" s="53">
        <v>90121800</v>
      </c>
      <c r="R228" s="159" t="s">
        <v>218</v>
      </c>
      <c r="S228" s="159" t="str">
        <f>MID(PAA[[#This Row],[Meta Proyecto de Inversión]],1,4)</f>
        <v>8173</v>
      </c>
      <c r="T228" s="159" t="str">
        <f>MID(PAA[[#This Row],[Meta Proyecto de Inversión]],6,1)</f>
        <v>9</v>
      </c>
      <c r="U228" s="160" t="str">
        <f>IFERROR(VLOOKUP(N228,TD!$B$50:$F$54,2,0)," ")</f>
        <v>O230117</v>
      </c>
      <c r="V228" s="160" t="str">
        <f>IFERROR(VLOOKUP(N228,TD!$B$50:$F$54,3,0)," ")</f>
        <v>4503</v>
      </c>
      <c r="W228" s="160">
        <f>IFERROR(VLOOKUP(N228,TD!$B$50:$F$54,4,0)," ")</f>
        <v>20240255</v>
      </c>
      <c r="X228" s="159" t="s">
        <v>172</v>
      </c>
      <c r="Y228" s="160" t="str">
        <f>IFERROR(VLOOKUP(X228,TD!$J$51:$K$64,2,0)," ")</f>
        <v>Servicio de formación en gestión del riesgo de incendios para el personal UAECOB</v>
      </c>
      <c r="Z228" s="161" t="str">
        <f>CONCATENATE(X228,"-",Y228)</f>
        <v>07-Servicio de formación en gestión del riesgo de incendios para el personal UAECOB</v>
      </c>
      <c r="AA228" s="163" t="s">
        <v>222</v>
      </c>
      <c r="AB228" s="160" t="str">
        <f>IFERROR(VLOOKUP(AA228,TD!$N$51:$O$66,2,0)," ")</f>
        <v>Servicio de educación informal</v>
      </c>
      <c r="AC228" s="161" t="str">
        <f>CONCATENATE(AA228,"_",AB228)</f>
        <v>002_Servicio de educación informal</v>
      </c>
      <c r="AD228" s="161" t="str">
        <f>CONCATENATE(Z228," ",AC228)</f>
        <v>07-Servicio de formación en gestión del riesgo de incendios para el personal UAECOB 002_Servicio de educación informal</v>
      </c>
      <c r="AE228" s="160" t="str">
        <f>CONCATENATE(U228,V228,W228,X228,AA228)</f>
        <v>O23011745032024025507002</v>
      </c>
      <c r="AF228" s="160" t="str">
        <f>IFERROR(VLOOKUP(AD228,TD!$J$66:$K$89,2,0)," ")</f>
        <v>PM/0131/0107/45030020255</v>
      </c>
      <c r="AG228" s="118" t="s">
        <v>584</v>
      </c>
      <c r="AH228" s="159" t="s">
        <v>193</v>
      </c>
      <c r="AI228" s="162" t="str">
        <f>CONCATENATE(PAA[[#This Row],[Id Interno]],"-",PAA[[#This Row],[tipo de Contrato (TH talento humano - B/S bienes y/o servicios)]],"-",S228,"-",T228,"-",PAA[[#This Row],[Objeto de la contratación]])</f>
        <v>20260186-BS-8173-9-SGH - Garantizar los recursos para movilización efectiva del personal operativo en la atención de emergencias</v>
      </c>
    </row>
    <row r="229" spans="2:35" ht="56" customHeight="1" x14ac:dyDescent="0.35">
      <c r="B229" s="23">
        <v>20260187</v>
      </c>
      <c r="C229" s="99" t="s">
        <v>487</v>
      </c>
      <c r="D229" s="23" t="s">
        <v>119</v>
      </c>
      <c r="E229" s="23" t="s">
        <v>402</v>
      </c>
      <c r="F229" s="156" t="s">
        <v>89</v>
      </c>
      <c r="G229" s="157" t="s">
        <v>374</v>
      </c>
      <c r="H229" s="158">
        <v>11</v>
      </c>
      <c r="I229" s="158">
        <v>0</v>
      </c>
      <c r="J229" s="127">
        <v>180000000</v>
      </c>
      <c r="K229" s="88" t="s">
        <v>398</v>
      </c>
      <c r="L229" s="156" t="s">
        <v>154</v>
      </c>
      <c r="M229" s="159" t="s">
        <v>460</v>
      </c>
      <c r="N229" s="23" t="s">
        <v>198</v>
      </c>
      <c r="O229" s="151" t="s">
        <v>964</v>
      </c>
      <c r="P229" s="156" t="s">
        <v>348</v>
      </c>
      <c r="Q229" s="53">
        <v>90121800</v>
      </c>
      <c r="R229" s="159" t="s">
        <v>218</v>
      </c>
      <c r="S229" s="159" t="str">
        <f>MID(PAA[[#This Row],[Meta Proyecto de Inversión]],1,4)</f>
        <v>8173</v>
      </c>
      <c r="T229" s="159" t="str">
        <f>MID(PAA[[#This Row],[Meta Proyecto de Inversión]],6,1)</f>
        <v>9</v>
      </c>
      <c r="U229" s="160" t="str">
        <f>IFERROR(VLOOKUP(N229,TD!$B$50:$F$54,2,0)," ")</f>
        <v>O230117</v>
      </c>
      <c r="V229" s="160" t="str">
        <f>IFERROR(VLOOKUP(N229,TD!$B$50:$F$54,3,0)," ")</f>
        <v>4503</v>
      </c>
      <c r="W229" s="160">
        <f>IFERROR(VLOOKUP(N229,TD!$B$50:$F$54,4,0)," ")</f>
        <v>20240255</v>
      </c>
      <c r="X229" s="159" t="s">
        <v>172</v>
      </c>
      <c r="Y229" s="160" t="str">
        <f>IFERROR(VLOOKUP(X229,TD!$J$51:$K$64,2,0)," ")</f>
        <v>Servicio de formación en gestión del riesgo de incendios para el personal UAECOB</v>
      </c>
      <c r="Z229" s="161" t="str">
        <f>CONCATENATE(X229,"-",Y229)</f>
        <v>07-Servicio de formación en gestión del riesgo de incendios para el personal UAECOB</v>
      </c>
      <c r="AA229" s="163" t="s">
        <v>222</v>
      </c>
      <c r="AB229" s="160" t="str">
        <f>IFERROR(VLOOKUP(AA229,TD!$N$51:$O$66,2,0)," ")</f>
        <v>Servicio de educación informal</v>
      </c>
      <c r="AC229" s="161" t="str">
        <f>CONCATENATE(AA229,"_",AB229)</f>
        <v>002_Servicio de educación informal</v>
      </c>
      <c r="AD229" s="161" t="str">
        <f>CONCATENATE(Z229," ",AC229)</f>
        <v>07-Servicio de formación en gestión del riesgo de incendios para el personal UAECOB 002_Servicio de educación informal</v>
      </c>
      <c r="AE229" s="160" t="str">
        <f>CONCATENATE(U229,V229,W229,X229,AA229)</f>
        <v>O23011745032024025507002</v>
      </c>
      <c r="AF229" s="160" t="str">
        <f>IFERROR(VLOOKUP(AD229,TD!$J$66:$K$89,2,0)," ")</f>
        <v>PM/0131/0107/45030020255</v>
      </c>
      <c r="AG229" s="118" t="s">
        <v>584</v>
      </c>
      <c r="AH229" s="159" t="s">
        <v>193</v>
      </c>
      <c r="AI229" s="162" t="str">
        <f>CONCATENATE(PAA[[#This Row],[Id Interno]],"-",PAA[[#This Row],[tipo de Contrato (TH talento humano - B/S bienes y/o servicios)]],"-",S229,"-",T229,"-",PAA[[#This Row],[Objeto de la contratación]])</f>
        <v xml:space="preserve">20260187-BS-8173-9-SGH - Garantizar los recursos para viáticos y adquisición de tiquetes, con el fin de permitir el desplazamiento del personal en desarrollo de actividades misionales, operativas o de capacitación  </v>
      </c>
    </row>
    <row r="230" spans="2:35" ht="56" x14ac:dyDescent="0.35">
      <c r="B230" s="23">
        <v>20260188</v>
      </c>
      <c r="C230" s="99" t="s">
        <v>660</v>
      </c>
      <c r="D230" s="23" t="s">
        <v>83</v>
      </c>
      <c r="E230" s="23" t="s">
        <v>402</v>
      </c>
      <c r="F230" s="156" t="s">
        <v>101</v>
      </c>
      <c r="G230" s="157" t="s">
        <v>375</v>
      </c>
      <c r="H230" s="158">
        <v>4</v>
      </c>
      <c r="I230" s="158">
        <v>0</v>
      </c>
      <c r="J230" s="127">
        <v>300000000</v>
      </c>
      <c r="K230" s="88" t="s">
        <v>398</v>
      </c>
      <c r="L230" s="156" t="s">
        <v>154</v>
      </c>
      <c r="M230" s="159" t="s">
        <v>460</v>
      </c>
      <c r="N230" s="23" t="s">
        <v>198</v>
      </c>
      <c r="O230" s="151" t="s">
        <v>964</v>
      </c>
      <c r="P230" s="156" t="s">
        <v>348</v>
      </c>
      <c r="Q230" s="53" t="s">
        <v>491</v>
      </c>
      <c r="R230" s="159" t="s">
        <v>218</v>
      </c>
      <c r="S230" s="159" t="str">
        <f>MID(PAA[[#This Row],[Meta Proyecto de Inversión]],1,4)</f>
        <v>8173</v>
      </c>
      <c r="T230" s="159" t="str">
        <f>MID(PAA[[#This Row],[Meta Proyecto de Inversión]],6,1)</f>
        <v>9</v>
      </c>
      <c r="U230" s="160" t="str">
        <f>IFERROR(VLOOKUP(N230,TD!$B$50:$F$54,2,0)," ")</f>
        <v>O230117</v>
      </c>
      <c r="V230" s="160" t="str">
        <f>IFERROR(VLOOKUP(N230,TD!$B$50:$F$54,3,0)," ")</f>
        <v>4503</v>
      </c>
      <c r="W230" s="160">
        <f>IFERROR(VLOOKUP(N230,TD!$B$50:$F$54,4,0)," ")</f>
        <v>20240255</v>
      </c>
      <c r="X230" s="159" t="s">
        <v>172</v>
      </c>
      <c r="Y230" s="160" t="str">
        <f>IFERROR(VLOOKUP(X230,TD!$J$51:$K$64,2,0)," ")</f>
        <v>Servicio de formación en gestión del riesgo de incendios para el personal UAECOB</v>
      </c>
      <c r="Z230" s="161" t="str">
        <f>CONCATENATE(X230,"-",Y230)</f>
        <v>07-Servicio de formación en gestión del riesgo de incendios para el personal UAECOB</v>
      </c>
      <c r="AA230" s="163" t="s">
        <v>222</v>
      </c>
      <c r="AB230" s="160" t="str">
        <f>IFERROR(VLOOKUP(AA230,TD!$N$51:$O$66,2,0)," ")</f>
        <v>Servicio de educación informal</v>
      </c>
      <c r="AC230" s="161" t="str">
        <f>CONCATENATE(AA230,"_",AB230)</f>
        <v>002_Servicio de educación informal</v>
      </c>
      <c r="AD230" s="161" t="str">
        <f>CONCATENATE(Z230," ",AC230)</f>
        <v>07-Servicio de formación en gestión del riesgo de incendios para el personal UAECOB 002_Servicio de educación informal</v>
      </c>
      <c r="AE230" s="160" t="str">
        <f>CONCATENATE(U230,V230,W230,X230,AA230)</f>
        <v>O23011745032024025507002</v>
      </c>
      <c r="AF230" s="160" t="str">
        <f>IFERROR(VLOOKUP(AD230,TD!$J$66:$K$89,2,0)," ")</f>
        <v>PM/0131/0107/45030020255</v>
      </c>
      <c r="AG230" s="118" t="s">
        <v>94</v>
      </c>
      <c r="AH230" s="159" t="s">
        <v>193</v>
      </c>
      <c r="AI230" s="162" t="str">
        <f>CONCATENATE(PAA[[#This Row],[Id Interno]],"-",PAA[[#This Row],[tipo de Contrato (TH talento humano - B/S bienes y/o servicios)]],"-",S230,"-",T230,"-",PAA[[#This Row],[Objeto de la contratación]])</f>
        <v>20260188-BS-8173-9-SGH - Adecuación de escenarios necesarios para el desarrollo de procesos de formación, capacitación y entrenamiento del personal operativo de la UAE Cuerpo Oficial de Bomberos de Bogotá.</v>
      </c>
    </row>
    <row r="231" spans="2:35" ht="56" x14ac:dyDescent="0.35">
      <c r="B231" s="23">
        <v>20260189</v>
      </c>
      <c r="C231" s="99" t="s">
        <v>661</v>
      </c>
      <c r="D231" s="23" t="s">
        <v>83</v>
      </c>
      <c r="E231" s="23" t="s">
        <v>402</v>
      </c>
      <c r="F231" s="156" t="s">
        <v>101</v>
      </c>
      <c r="G231" s="157" t="s">
        <v>375</v>
      </c>
      <c r="H231" s="158">
        <v>6</v>
      </c>
      <c r="I231" s="158">
        <v>0</v>
      </c>
      <c r="J231" s="127">
        <v>200000000</v>
      </c>
      <c r="K231" s="88" t="s">
        <v>398</v>
      </c>
      <c r="L231" s="156" t="s">
        <v>154</v>
      </c>
      <c r="M231" s="159" t="s">
        <v>460</v>
      </c>
      <c r="N231" s="23" t="s">
        <v>198</v>
      </c>
      <c r="O231" s="151" t="s">
        <v>964</v>
      </c>
      <c r="P231" s="156" t="s">
        <v>348</v>
      </c>
      <c r="Q231" s="53" t="s">
        <v>492</v>
      </c>
      <c r="R231" s="159" t="s">
        <v>218</v>
      </c>
      <c r="S231" s="159" t="str">
        <f>MID(PAA[[#This Row],[Meta Proyecto de Inversión]],1,4)</f>
        <v>8173</v>
      </c>
      <c r="T231" s="159" t="str">
        <f>MID(PAA[[#This Row],[Meta Proyecto de Inversión]],6,1)</f>
        <v>9</v>
      </c>
      <c r="U231" s="160" t="str">
        <f>IFERROR(VLOOKUP(N231,TD!$B$50:$F$54,2,0)," ")</f>
        <v>O230117</v>
      </c>
      <c r="V231" s="160" t="str">
        <f>IFERROR(VLOOKUP(N231,TD!$B$50:$F$54,3,0)," ")</f>
        <v>4503</v>
      </c>
      <c r="W231" s="160">
        <f>IFERROR(VLOOKUP(N231,TD!$B$50:$F$54,4,0)," ")</f>
        <v>20240255</v>
      </c>
      <c r="X231" s="159" t="s">
        <v>172</v>
      </c>
      <c r="Y231" s="160" t="str">
        <f>IFERROR(VLOOKUP(X231,TD!$J$51:$K$64,2,0)," ")</f>
        <v>Servicio de formación en gestión del riesgo de incendios para el personal UAECOB</v>
      </c>
      <c r="Z231" s="161" t="str">
        <f>CONCATENATE(X231,"-",Y231)</f>
        <v>07-Servicio de formación en gestión del riesgo de incendios para el personal UAECOB</v>
      </c>
      <c r="AA231" s="163" t="s">
        <v>222</v>
      </c>
      <c r="AB231" s="160" t="str">
        <f>IFERROR(VLOOKUP(AA231,TD!$N$51:$O$66,2,0)," ")</f>
        <v>Servicio de educación informal</v>
      </c>
      <c r="AC231" s="161" t="str">
        <f>CONCATENATE(AA231,"_",AB231)</f>
        <v>002_Servicio de educación informal</v>
      </c>
      <c r="AD231" s="161" t="str">
        <f>CONCATENATE(Z231," ",AC231)</f>
        <v>07-Servicio de formación en gestión del riesgo de incendios para el personal UAECOB 002_Servicio de educación informal</v>
      </c>
      <c r="AE231" s="160" t="str">
        <f>CONCATENATE(U231,V231,W231,X231,AA231)</f>
        <v>O23011745032024025507002</v>
      </c>
      <c r="AF231" s="160" t="str">
        <f>IFERROR(VLOOKUP(AD231,TD!$J$66:$K$89,2,0)," ")</f>
        <v>PM/0131/0107/45030020255</v>
      </c>
      <c r="AG231" s="118" t="s">
        <v>941</v>
      </c>
      <c r="AH231" s="159" t="s">
        <v>193</v>
      </c>
      <c r="AI231" s="162" t="str">
        <f>CONCATENATE(PAA[[#This Row],[Id Interno]],"-",PAA[[#This Row],[tipo de Contrato (TH talento humano - B/S bienes y/o servicios)]],"-",S231,"-",T231,"-",PAA[[#This Row],[Objeto de la contratación]])</f>
        <v>20260189-BS-8173-9-SGH - Adquisición de Equipos y Herramientas para los procesos de Capacitación a cargo de la Academia de la UAE Cuerpo Oficial de Bomberos de Bogotá</v>
      </c>
    </row>
    <row r="232" spans="2:35" ht="56" x14ac:dyDescent="0.35">
      <c r="B232" s="23">
        <v>20260190</v>
      </c>
      <c r="C232" s="99" t="s">
        <v>488</v>
      </c>
      <c r="D232" s="23" t="s">
        <v>83</v>
      </c>
      <c r="E232" s="23" t="s">
        <v>402</v>
      </c>
      <c r="F232" s="156" t="s">
        <v>89</v>
      </c>
      <c r="G232" s="157" t="s">
        <v>375</v>
      </c>
      <c r="H232" s="158">
        <v>6</v>
      </c>
      <c r="I232" s="158">
        <v>0</v>
      </c>
      <c r="J232" s="127">
        <v>200000000</v>
      </c>
      <c r="K232" s="88" t="s">
        <v>398</v>
      </c>
      <c r="L232" s="156" t="s">
        <v>154</v>
      </c>
      <c r="M232" s="159" t="s">
        <v>460</v>
      </c>
      <c r="N232" s="23" t="s">
        <v>198</v>
      </c>
      <c r="O232" s="151" t="s">
        <v>964</v>
      </c>
      <c r="P232" s="156" t="s">
        <v>348</v>
      </c>
      <c r="Q232" s="53" t="s">
        <v>494</v>
      </c>
      <c r="R232" s="159" t="s">
        <v>218</v>
      </c>
      <c r="S232" s="159" t="str">
        <f>MID(PAA[[#This Row],[Meta Proyecto de Inversión]],1,4)</f>
        <v>8173</v>
      </c>
      <c r="T232" s="159" t="str">
        <f>MID(PAA[[#This Row],[Meta Proyecto de Inversión]],6,1)</f>
        <v>9</v>
      </c>
      <c r="U232" s="160" t="str">
        <f>IFERROR(VLOOKUP(N232,TD!$B$50:$F$54,2,0)," ")</f>
        <v>O230117</v>
      </c>
      <c r="V232" s="160" t="str">
        <f>IFERROR(VLOOKUP(N232,TD!$B$50:$F$54,3,0)," ")</f>
        <v>4503</v>
      </c>
      <c r="W232" s="160">
        <f>IFERROR(VLOOKUP(N232,TD!$B$50:$F$54,4,0)," ")</f>
        <v>20240255</v>
      </c>
      <c r="X232" s="159" t="s">
        <v>172</v>
      </c>
      <c r="Y232" s="160" t="str">
        <f>IFERROR(VLOOKUP(X232,TD!$J$51:$K$64,2,0)," ")</f>
        <v>Servicio de formación en gestión del riesgo de incendios para el personal UAECOB</v>
      </c>
      <c r="Z232" s="161" t="str">
        <f>CONCATENATE(X232,"-",Y232)</f>
        <v>07-Servicio de formación en gestión del riesgo de incendios para el personal UAECOB</v>
      </c>
      <c r="AA232" s="163" t="s">
        <v>222</v>
      </c>
      <c r="AB232" s="160" t="str">
        <f>IFERROR(VLOOKUP(AA232,TD!$N$51:$O$66,2,0)," ")</f>
        <v>Servicio de educación informal</v>
      </c>
      <c r="AC232" s="161" t="str">
        <f>CONCATENATE(AA232,"_",AB232)</f>
        <v>002_Servicio de educación informal</v>
      </c>
      <c r="AD232" s="161" t="str">
        <f>CONCATENATE(Z232," ",AC232)</f>
        <v>07-Servicio de formación en gestión del riesgo de incendios para el personal UAECOB 002_Servicio de educación informal</v>
      </c>
      <c r="AE232" s="160" t="str">
        <f>CONCATENATE(U232,V232,W232,X232,AA232)</f>
        <v>O23011745032024025507002</v>
      </c>
      <c r="AF232" s="160" t="str">
        <f>IFERROR(VLOOKUP(AD232,TD!$J$66:$K$89,2,0)," ")</f>
        <v>PM/0131/0107/45030020255</v>
      </c>
      <c r="AG232" s="118" t="s">
        <v>940</v>
      </c>
      <c r="AH232" s="159" t="s">
        <v>193</v>
      </c>
      <c r="AI232" s="162" t="str">
        <f>CONCATENATE(PAA[[#This Row],[Id Interno]],"-",PAA[[#This Row],[tipo de Contrato (TH talento humano - B/S bienes y/o servicios)]],"-",S232,"-",T232,"-",PAA[[#This Row],[Objeto de la contratación]])</f>
        <v>20260190-BS-8173-9-SGH - Prestar los servicios  de capacitación y entrenamiento para el fortalecimiento de las capacidades de los instructores, que hacen parte de la academia de la UAE Cuerpo Oficial de Bomberos de Bogotá</v>
      </c>
    </row>
    <row r="233" spans="2:35" ht="70" x14ac:dyDescent="0.35">
      <c r="B233" s="23">
        <v>20260191</v>
      </c>
      <c r="C233" s="99" t="s">
        <v>489</v>
      </c>
      <c r="D233" s="23" t="s">
        <v>78</v>
      </c>
      <c r="E233" s="23" t="s">
        <v>402</v>
      </c>
      <c r="F233" s="156" t="s">
        <v>89</v>
      </c>
      <c r="G233" s="157" t="s">
        <v>375</v>
      </c>
      <c r="H233" s="158">
        <v>6</v>
      </c>
      <c r="I233" s="158">
        <v>0</v>
      </c>
      <c r="J233" s="127">
        <v>1219570000</v>
      </c>
      <c r="K233" s="88" t="s">
        <v>398</v>
      </c>
      <c r="L233" s="156" t="s">
        <v>154</v>
      </c>
      <c r="M233" s="159" t="s">
        <v>460</v>
      </c>
      <c r="N233" s="23" t="s">
        <v>198</v>
      </c>
      <c r="O233" s="151" t="s">
        <v>964</v>
      </c>
      <c r="P233" s="156" t="s">
        <v>348</v>
      </c>
      <c r="Q233" s="53" t="s">
        <v>494</v>
      </c>
      <c r="R233" s="159" t="s">
        <v>218</v>
      </c>
      <c r="S233" s="159" t="str">
        <f>MID(PAA[[#This Row],[Meta Proyecto de Inversión]],1,4)</f>
        <v>8173</v>
      </c>
      <c r="T233" s="159" t="str">
        <f>MID(PAA[[#This Row],[Meta Proyecto de Inversión]],6,1)</f>
        <v>9</v>
      </c>
      <c r="U233" s="160" t="str">
        <f>IFERROR(VLOOKUP(N233,TD!$B$50:$F$54,2,0)," ")</f>
        <v>O230117</v>
      </c>
      <c r="V233" s="160" t="str">
        <f>IFERROR(VLOOKUP(N233,TD!$B$50:$F$54,3,0)," ")</f>
        <v>4503</v>
      </c>
      <c r="W233" s="160">
        <f>IFERROR(VLOOKUP(N233,TD!$B$50:$F$54,4,0)," ")</f>
        <v>20240255</v>
      </c>
      <c r="X233" s="159" t="s">
        <v>172</v>
      </c>
      <c r="Y233" s="160" t="str">
        <f>IFERROR(VLOOKUP(X233,TD!$J$51:$K$64,2,0)," ")</f>
        <v>Servicio de formación en gestión del riesgo de incendios para el personal UAECOB</v>
      </c>
      <c r="Z233" s="161" t="str">
        <f>CONCATENATE(X233,"-",Y233)</f>
        <v>07-Servicio de formación en gestión del riesgo de incendios para el personal UAECOB</v>
      </c>
      <c r="AA233" s="163" t="s">
        <v>222</v>
      </c>
      <c r="AB233" s="160" t="str">
        <f>IFERROR(VLOOKUP(AA233,TD!$N$51:$O$66,2,0)," ")</f>
        <v>Servicio de educación informal</v>
      </c>
      <c r="AC233" s="161" t="str">
        <f>CONCATENATE(AA233,"_",AB233)</f>
        <v>002_Servicio de educación informal</v>
      </c>
      <c r="AD233" s="161" t="str">
        <f>CONCATENATE(Z233," ",AC233)</f>
        <v>07-Servicio de formación en gestión del riesgo de incendios para el personal UAECOB 002_Servicio de educación informal</v>
      </c>
      <c r="AE233" s="160" t="str">
        <f>CONCATENATE(U233,V233,W233,X233,AA233)</f>
        <v>O23011745032024025507002</v>
      </c>
      <c r="AF233" s="160" t="str">
        <f>IFERROR(VLOOKUP(AD233,TD!$J$66:$K$89,2,0)," ")</f>
        <v>PM/0131/0107/45030020255</v>
      </c>
      <c r="AG233" s="118" t="s">
        <v>940</v>
      </c>
      <c r="AH233" s="159" t="s">
        <v>193</v>
      </c>
      <c r="AI233" s="162" t="str">
        <f>CONCATENATE(PAA[[#This Row],[Id Interno]],"-",PAA[[#This Row],[tipo de Contrato (TH talento humano - B/S bienes y/o servicios)]],"-",S233,"-",T233,"-",PAA[[#This Row],[Objeto de la contratación]])</f>
        <v>20260191-BS-8173-9-SGH - Prestar los servicios de capacitación, formación y entrenamiento al personal en  diferentes cursos especializados y misionales,  incluyendo el fortalecimiento de competencias de investigación cientifica aplicada a los ámbitos operativos, técnicos y estratégicos  de la UAE del Cuerpo Oficial de Bomberos Bogotá</v>
      </c>
    </row>
    <row r="234" spans="2:35" ht="56" x14ac:dyDescent="0.35">
      <c r="B234" s="23">
        <v>20260192</v>
      </c>
      <c r="C234" s="99" t="s">
        <v>490</v>
      </c>
      <c r="D234" s="23" t="s">
        <v>92</v>
      </c>
      <c r="E234" s="23" t="s">
        <v>402</v>
      </c>
      <c r="F234" s="156" t="s">
        <v>101</v>
      </c>
      <c r="G234" s="157" t="s">
        <v>375</v>
      </c>
      <c r="H234" s="158">
        <v>4</v>
      </c>
      <c r="I234" s="158">
        <v>0</v>
      </c>
      <c r="J234" s="127">
        <v>40000000</v>
      </c>
      <c r="K234" s="88" t="s">
        <v>398</v>
      </c>
      <c r="L234" s="156" t="s">
        <v>154</v>
      </c>
      <c r="M234" s="159" t="s">
        <v>460</v>
      </c>
      <c r="N234" s="23" t="s">
        <v>198</v>
      </c>
      <c r="O234" s="151" t="s">
        <v>964</v>
      </c>
      <c r="P234" s="156" t="s">
        <v>348</v>
      </c>
      <c r="Q234" s="53">
        <v>55101510</v>
      </c>
      <c r="R234" s="159" t="s">
        <v>218</v>
      </c>
      <c r="S234" s="159" t="str">
        <f>MID(PAA[[#This Row],[Meta Proyecto de Inversión]],1,4)</f>
        <v>8173</v>
      </c>
      <c r="T234" s="159" t="str">
        <f>MID(PAA[[#This Row],[Meta Proyecto de Inversión]],6,1)</f>
        <v>9</v>
      </c>
      <c r="U234" s="160" t="str">
        <f>IFERROR(VLOOKUP(N234,TD!$B$50:$F$54,2,0)," ")</f>
        <v>O230117</v>
      </c>
      <c r="V234" s="160" t="str">
        <f>IFERROR(VLOOKUP(N234,TD!$B$50:$F$54,3,0)," ")</f>
        <v>4503</v>
      </c>
      <c r="W234" s="160">
        <f>IFERROR(VLOOKUP(N234,TD!$B$50:$F$54,4,0)," ")</f>
        <v>20240255</v>
      </c>
      <c r="X234" s="159" t="s">
        <v>172</v>
      </c>
      <c r="Y234" s="160" t="str">
        <f>IFERROR(VLOOKUP(X234,TD!$J$51:$K$64,2,0)," ")</f>
        <v>Servicio de formación en gestión del riesgo de incendios para el personal UAECOB</v>
      </c>
      <c r="Z234" s="161" t="str">
        <f>CONCATENATE(X234,"-",Y234)</f>
        <v>07-Servicio de formación en gestión del riesgo de incendios para el personal UAECOB</v>
      </c>
      <c r="AA234" s="163" t="s">
        <v>222</v>
      </c>
      <c r="AB234" s="160" t="str">
        <f>IFERROR(VLOOKUP(AA234,TD!$N$51:$O$66,2,0)," ")</f>
        <v>Servicio de educación informal</v>
      </c>
      <c r="AC234" s="161" t="str">
        <f>CONCATENATE(AA234,"_",AB234)</f>
        <v>002_Servicio de educación informal</v>
      </c>
      <c r="AD234" s="161" t="str">
        <f>CONCATENATE(Z234," ",AC234)</f>
        <v>07-Servicio de formación en gestión del riesgo de incendios para el personal UAECOB 002_Servicio de educación informal</v>
      </c>
      <c r="AE234" s="160" t="str">
        <f>CONCATENATE(U234,V234,W234,X234,AA234)</f>
        <v>O23011745032024025507002</v>
      </c>
      <c r="AF234" s="160" t="str">
        <f>IFERROR(VLOOKUP(AD234,TD!$J$66:$K$89,2,0)," ")</f>
        <v>PM/0131/0107/45030020255</v>
      </c>
      <c r="AG234" s="118" t="s">
        <v>942</v>
      </c>
      <c r="AH234" s="159" t="s">
        <v>193</v>
      </c>
      <c r="AI234" s="162" t="str">
        <f>CONCATENATE(PAA[[#This Row],[Id Interno]],"-",PAA[[#This Row],[tipo de Contrato (TH talento humano - B/S bienes y/o servicios)]],"-",S234,"-",T234,"-",PAA[[#This Row],[Objeto de la contratación]])</f>
        <v>20260192-BS-8173-9-SGH- Adquisición de material bibliográfico de consulta para estudio y capacitación, que servirá como base de la biblioteca para la academia de la UAE Cuerpo Oficial de Bomberos de Bogotá</v>
      </c>
    </row>
    <row r="235" spans="2:35" ht="70" customHeight="1" x14ac:dyDescent="0.35">
      <c r="B235" s="23">
        <v>20260193</v>
      </c>
      <c r="C235" s="99" t="s">
        <v>662</v>
      </c>
      <c r="D235" s="23" t="s">
        <v>83</v>
      </c>
      <c r="E235" s="23" t="s">
        <v>402</v>
      </c>
      <c r="F235" s="156" t="s">
        <v>89</v>
      </c>
      <c r="G235" s="157" t="s">
        <v>375</v>
      </c>
      <c r="H235" s="158">
        <v>6</v>
      </c>
      <c r="I235" s="158">
        <v>0</v>
      </c>
      <c r="J235" s="127">
        <v>500000000</v>
      </c>
      <c r="K235" s="88" t="s">
        <v>398</v>
      </c>
      <c r="L235" s="156" t="s">
        <v>154</v>
      </c>
      <c r="M235" s="159" t="s">
        <v>460</v>
      </c>
      <c r="N235" s="23" t="s">
        <v>330</v>
      </c>
      <c r="O235" s="151" t="s">
        <v>963</v>
      </c>
      <c r="P235" s="156" t="s">
        <v>161</v>
      </c>
      <c r="Q235" s="53" t="s">
        <v>663</v>
      </c>
      <c r="R235" s="159" t="s">
        <v>331</v>
      </c>
      <c r="S235" s="159" t="str">
        <f>MID(PAA[[#This Row],[Meta Proyecto de Inversión]],1,4)</f>
        <v>No a</v>
      </c>
      <c r="T235" s="159" t="str">
        <f>MID(PAA[[#This Row],[Meta Proyecto de Inversión]],6,1)</f>
        <v>l</v>
      </c>
      <c r="U235" s="160" t="str">
        <f>IFERROR(VLOOKUP(N235,TD!$B$50:$F$54,2,0)," ")</f>
        <v>NA</v>
      </c>
      <c r="V235" s="160" t="str">
        <f>IFERROR(VLOOKUP(N235,TD!$B$50:$F$54,3,0)," ")</f>
        <v>NA</v>
      </c>
      <c r="W235" s="160" t="str">
        <f>IFERROR(VLOOKUP(N235,TD!$B$50:$F$54,4,0)," ")</f>
        <v>NA</v>
      </c>
      <c r="X235" s="159" t="s">
        <v>335</v>
      </c>
      <c r="Y235" s="160" t="str">
        <f>IFERROR(VLOOKUP(X235,TD!$J$51:$K$64,2,0)," ")</f>
        <v>N/A</v>
      </c>
      <c r="Z235" s="161" t="str">
        <f>CONCATENATE(X235,"-",Y235)</f>
        <v>N/A-N/A</v>
      </c>
      <c r="AA235" s="163" t="s">
        <v>335</v>
      </c>
      <c r="AB235" s="160" t="str">
        <f>IFERROR(VLOOKUP(AA235,TD!$N$51:$O$66,2,0)," ")</f>
        <v>N/A</v>
      </c>
      <c r="AC235" s="161" t="str">
        <f>CONCATENATE(AA235,"_",AB235)</f>
        <v>N/A_N/A</v>
      </c>
      <c r="AD235" s="161" t="str">
        <f>CONCATENATE(Z235," ",AC235)</f>
        <v>N/A-N/A N/A_N/A</v>
      </c>
      <c r="AE235" s="160" t="str">
        <f>CONCATENATE(U235,V235,W235,X235,AA235)</f>
        <v>NANANAN/AN/A</v>
      </c>
      <c r="AF235" s="160" t="str">
        <f>IFERROR(VLOOKUP(AD235,TD!$J$66:$K$89,2,0)," ")</f>
        <v>N/A</v>
      </c>
      <c r="AG235" s="118" t="s">
        <v>332</v>
      </c>
      <c r="AH235" s="159" t="s">
        <v>193</v>
      </c>
      <c r="AI235" s="162" t="str">
        <f>CONCATENATE(PAA[[#This Row],[Id Interno]],"-",PAA[[#This Row],[tipo de Contrato (TH talento humano - B/S bienes y/o servicios)]],"-",S235,"-",T235,"-",PAA[[#This Row],[Objeto de la contratación]])</f>
        <v>20260193-BS-No a-l-SGH -Contratar la realización de los exámenes Médicos Ocupacionales para el personal de la UAE Cuerpo Oficial de Bomberos de Bogotá</v>
      </c>
    </row>
    <row r="236" spans="2:35" ht="56" customHeight="1" x14ac:dyDescent="0.35">
      <c r="B236" s="23">
        <v>20260194</v>
      </c>
      <c r="C236" s="99" t="s">
        <v>664</v>
      </c>
      <c r="D236" s="23" t="s">
        <v>105</v>
      </c>
      <c r="E236" s="23" t="s">
        <v>402</v>
      </c>
      <c r="F236" s="156" t="s">
        <v>89</v>
      </c>
      <c r="G236" s="157" t="s">
        <v>373</v>
      </c>
      <c r="H236" s="158">
        <v>10</v>
      </c>
      <c r="I236" s="158">
        <v>0</v>
      </c>
      <c r="J236" s="127">
        <v>1620000000</v>
      </c>
      <c r="K236" s="88" t="s">
        <v>398</v>
      </c>
      <c r="L236" s="156" t="s">
        <v>154</v>
      </c>
      <c r="M236" s="159" t="s">
        <v>460</v>
      </c>
      <c r="N236" s="23" t="s">
        <v>330</v>
      </c>
      <c r="O236" s="151" t="s">
        <v>963</v>
      </c>
      <c r="P236" s="156" t="s">
        <v>161</v>
      </c>
      <c r="Q236" s="53" t="s">
        <v>665</v>
      </c>
      <c r="R236" s="159" t="s">
        <v>331</v>
      </c>
      <c r="S236" s="159" t="str">
        <f>MID(PAA[[#This Row],[Meta Proyecto de Inversión]],1,4)</f>
        <v>No a</v>
      </c>
      <c r="T236" s="159" t="str">
        <f>MID(PAA[[#This Row],[Meta Proyecto de Inversión]],6,1)</f>
        <v>l</v>
      </c>
      <c r="U236" s="160" t="str">
        <f>IFERROR(VLOOKUP(N236,TD!$B$50:$F$54,2,0)," ")</f>
        <v>NA</v>
      </c>
      <c r="V236" s="160" t="str">
        <f>IFERROR(VLOOKUP(N236,TD!$B$50:$F$54,3,0)," ")</f>
        <v>NA</v>
      </c>
      <c r="W236" s="160" t="str">
        <f>IFERROR(VLOOKUP(N236,TD!$B$50:$F$54,4,0)," ")</f>
        <v>NA</v>
      </c>
      <c r="X236" s="159" t="s">
        <v>335</v>
      </c>
      <c r="Y236" s="160" t="str">
        <f>IFERROR(VLOOKUP(X236,TD!$J$51:$K$64,2,0)," ")</f>
        <v>N/A</v>
      </c>
      <c r="Z236" s="161" t="str">
        <f>CONCATENATE(X236,"-",Y236)</f>
        <v>N/A-N/A</v>
      </c>
      <c r="AA236" s="163" t="s">
        <v>335</v>
      </c>
      <c r="AB236" s="160" t="str">
        <f>IFERROR(VLOOKUP(AA236,TD!$N$51:$O$66,2,0)," ")</f>
        <v>N/A</v>
      </c>
      <c r="AC236" s="161" t="str">
        <f>CONCATENATE(AA236,"_",AB236)</f>
        <v>N/A_N/A</v>
      </c>
      <c r="AD236" s="161" t="str">
        <f>CONCATENATE(Z236," ",AC236)</f>
        <v>N/A-N/A N/A_N/A</v>
      </c>
      <c r="AE236" s="160" t="str">
        <f>CONCATENATE(U236,V236,W236,X236,AA236)</f>
        <v>NANANAN/AN/A</v>
      </c>
      <c r="AF236" s="160" t="str">
        <f>IFERROR(VLOOKUP(AD236,TD!$J$66:$K$89,2,0)," ")</f>
        <v>N/A</v>
      </c>
      <c r="AG236" s="118" t="s">
        <v>332</v>
      </c>
      <c r="AH236" s="159" t="s">
        <v>193</v>
      </c>
      <c r="AI236" s="162" t="str">
        <f>CONCATENATE(PAA[[#This Row],[Id Interno]],"-",PAA[[#This Row],[tipo de Contrato (TH talento humano - B/S bienes y/o servicios)]],"-",S236,"-",T236,"-",PAA[[#This Row],[Objeto de la contratación]])</f>
        <v>20260194-BS-No a-l-SGH - Contratar la Prestación de Servicios para desarrollar el Plan de Bienestar de la UAE Cuerpo Oficial de Bomberos para la Vigencia 2026</v>
      </c>
    </row>
    <row r="237" spans="2:35" ht="56" customHeight="1" x14ac:dyDescent="0.35">
      <c r="B237" s="23">
        <v>20260195</v>
      </c>
      <c r="C237" s="99" t="s">
        <v>666</v>
      </c>
      <c r="D237" s="23" t="s">
        <v>92</v>
      </c>
      <c r="E237" s="23" t="s">
        <v>402</v>
      </c>
      <c r="F237" s="156" t="s">
        <v>101</v>
      </c>
      <c r="G237" s="157" t="s">
        <v>375</v>
      </c>
      <c r="H237" s="158">
        <v>4</v>
      </c>
      <c r="I237" s="158">
        <v>0</v>
      </c>
      <c r="J237" s="127">
        <v>62000000</v>
      </c>
      <c r="K237" s="88" t="s">
        <v>398</v>
      </c>
      <c r="L237" s="156" t="s">
        <v>154</v>
      </c>
      <c r="M237" s="159" t="s">
        <v>460</v>
      </c>
      <c r="N237" s="23" t="s">
        <v>330</v>
      </c>
      <c r="O237" s="151" t="s">
        <v>963</v>
      </c>
      <c r="P237" s="156" t="s">
        <v>161</v>
      </c>
      <c r="Q237" s="53" t="s">
        <v>667</v>
      </c>
      <c r="R237" s="159" t="s">
        <v>331</v>
      </c>
      <c r="S237" s="159" t="str">
        <f>MID(PAA[[#This Row],[Meta Proyecto de Inversión]],1,4)</f>
        <v>No a</v>
      </c>
      <c r="T237" s="159" t="str">
        <f>MID(PAA[[#This Row],[Meta Proyecto de Inversión]],6,1)</f>
        <v>l</v>
      </c>
      <c r="U237" s="160" t="str">
        <f>IFERROR(VLOOKUP(N237,TD!$B$50:$F$54,2,0)," ")</f>
        <v>NA</v>
      </c>
      <c r="V237" s="160" t="str">
        <f>IFERROR(VLOOKUP(N237,TD!$B$50:$F$54,3,0)," ")</f>
        <v>NA</v>
      </c>
      <c r="W237" s="160" t="str">
        <f>IFERROR(VLOOKUP(N237,TD!$B$50:$F$54,4,0)," ")</f>
        <v>NA</v>
      </c>
      <c r="X237" s="159" t="s">
        <v>335</v>
      </c>
      <c r="Y237" s="160" t="str">
        <f>IFERROR(VLOOKUP(X237,TD!$J$51:$K$64,2,0)," ")</f>
        <v>N/A</v>
      </c>
      <c r="Z237" s="161" t="str">
        <f>CONCATENATE(X237,"-",Y237)</f>
        <v>N/A-N/A</v>
      </c>
      <c r="AA237" s="163" t="s">
        <v>335</v>
      </c>
      <c r="AB237" s="160" t="str">
        <f>IFERROR(VLOOKUP(AA237,TD!$N$51:$O$66,2,0)," ")</f>
        <v>N/A</v>
      </c>
      <c r="AC237" s="161" t="str">
        <f>CONCATENATE(AA237,"_",AB237)</f>
        <v>N/A_N/A</v>
      </c>
      <c r="AD237" s="161" t="str">
        <f>CONCATENATE(Z237," ",AC237)</f>
        <v>N/A-N/A N/A_N/A</v>
      </c>
      <c r="AE237" s="160" t="str">
        <f>CONCATENATE(U237,V237,W237,X237,AA237)</f>
        <v>NANANAN/AN/A</v>
      </c>
      <c r="AF237" s="160" t="str">
        <f>IFERROR(VLOOKUP(AD237,TD!$J$66:$K$89,2,0)," ")</f>
        <v>N/A</v>
      </c>
      <c r="AG237" s="118" t="s">
        <v>332</v>
      </c>
      <c r="AH237" s="159" t="s">
        <v>193</v>
      </c>
      <c r="AI237" s="162" t="str">
        <f>CONCATENATE(PAA[[#This Row],[Id Interno]],"-",PAA[[#This Row],[tipo de Contrato (TH talento humano - B/S bienes y/o servicios)]],"-",S237,"-",T237,"-",PAA[[#This Row],[Objeto de la contratación]])</f>
        <v>20260195-BS-No a-l-SGH - Adquirir elementos de protección personal para prevenir la aparición de enfermedades ocupacionales en el oido, del personal operativo de la UAE Cuerpo Oficial de Bomberos de Bogotá</v>
      </c>
    </row>
    <row r="238" spans="2:35" ht="56" x14ac:dyDescent="0.35">
      <c r="B238" s="23">
        <v>20260196</v>
      </c>
      <c r="C238" s="99" t="s">
        <v>511</v>
      </c>
      <c r="D238" s="23" t="s">
        <v>78</v>
      </c>
      <c r="E238" s="23" t="s">
        <v>402</v>
      </c>
      <c r="F238" s="156" t="s">
        <v>136</v>
      </c>
      <c r="G238" s="157" t="s">
        <v>373</v>
      </c>
      <c r="H238" s="158">
        <v>12</v>
      </c>
      <c r="I238" s="158">
        <v>0</v>
      </c>
      <c r="J238" s="127">
        <v>6689476699</v>
      </c>
      <c r="K238" s="88" t="s">
        <v>397</v>
      </c>
      <c r="L238" s="156" t="s">
        <v>157</v>
      </c>
      <c r="M238" s="159" t="s">
        <v>512</v>
      </c>
      <c r="N238" s="23" t="s">
        <v>198</v>
      </c>
      <c r="O238" s="151" t="s">
        <v>964</v>
      </c>
      <c r="P238" s="156" t="s">
        <v>348</v>
      </c>
      <c r="Q238" s="53">
        <v>78181500</v>
      </c>
      <c r="R238" s="159" t="s">
        <v>213</v>
      </c>
      <c r="S238" s="159" t="str">
        <f>MID(PAA[[#This Row],[Meta Proyecto de Inversión]],1,4)</f>
        <v>8173</v>
      </c>
      <c r="T238" s="159" t="str">
        <f>MID(PAA[[#This Row],[Meta Proyecto de Inversión]],6,1)</f>
        <v>4</v>
      </c>
      <c r="U238" s="160" t="str">
        <f>IFERROR(VLOOKUP(N238,TD!$B$50:$F$54,2,0)," ")</f>
        <v>O230117</v>
      </c>
      <c r="V238" s="160" t="str">
        <f>IFERROR(VLOOKUP(N238,TD!$B$50:$F$54,3,0)," ")</f>
        <v>4503</v>
      </c>
      <c r="W238" s="160">
        <f>IFERROR(VLOOKUP(N238,TD!$B$50:$F$54,4,0)," ")</f>
        <v>20240255</v>
      </c>
      <c r="X238" s="159" t="s">
        <v>176</v>
      </c>
      <c r="Y238" s="160" t="str">
        <f>IFERROR(VLOOKUP(X238,TD!$J$51:$K$64,2,0)," ")</f>
        <v>Servicio de mantenimiento, dotación (HEA´s y equipo menor) y adquisición de vehiculos   especializados para la atención de emergencias.</v>
      </c>
      <c r="Z238" s="161" t="str">
        <f>CONCATENATE(X238,"-",Y238)</f>
        <v>09-Servicio de mantenimiento, dotación (HEA´s y equipo menor) y adquisición de vehiculos   especializados para la atención de emergencias.</v>
      </c>
      <c r="AA238" s="163" t="s">
        <v>221</v>
      </c>
      <c r="AB238" s="160" t="str">
        <f>IFERROR(VLOOKUP(AA238,TD!$N$51:$O$66,2,0)," ")</f>
        <v>Servicio de atención a emergencias y desastres</v>
      </c>
      <c r="AC238" s="161" t="str">
        <f>CONCATENATE(AA238,"_",AB238)</f>
        <v>004_Servicio de atención a emergencias y desastres</v>
      </c>
      <c r="AD238" s="161" t="str">
        <f>CONCATENATE(Z238," ",AC238)</f>
        <v>09-Servicio de mantenimiento, dotación (HEA´s y equipo menor) y adquisición de vehiculos   especializados para la atención de emergencias. 004_Servicio de atención a emergencias y desastres</v>
      </c>
      <c r="AE238" s="160" t="str">
        <f>CONCATENATE(U238,V238,W238,X238,AA238)</f>
        <v>O23011745032024025509004</v>
      </c>
      <c r="AF238" s="160" t="str">
        <f>IFERROR(VLOOKUP(AD238,TD!$J$66:$K$89,2,0)," ")</f>
        <v>PM/0131/0109/45030040255</v>
      </c>
      <c r="AG238" s="118" t="s">
        <v>387</v>
      </c>
      <c r="AH238" s="159" t="s">
        <v>193</v>
      </c>
      <c r="AI238" s="162" t="str">
        <f>CONCATENATE(PAA[[#This Row],[Id Interno]],"-",PAA[[#This Row],[tipo de Contrato (TH talento humano - B/S bienes y/o servicios)]],"-",S238,"-",T238,"-",PAA[[#This Row],[Objeto de la contratación]])</f>
        <v>20260196-BS-8173-4-Prestar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v>
      </c>
    </row>
    <row r="239" spans="2:35" ht="56" x14ac:dyDescent="0.35">
      <c r="B239" s="23">
        <v>20260197</v>
      </c>
      <c r="C239" s="99" t="s">
        <v>517</v>
      </c>
      <c r="D239" s="23" t="s">
        <v>88</v>
      </c>
      <c r="E239" s="23" t="s">
        <v>402</v>
      </c>
      <c r="F239" s="156" t="s">
        <v>89</v>
      </c>
      <c r="G239" s="157" t="s">
        <v>373</v>
      </c>
      <c r="H239" s="158">
        <v>12</v>
      </c>
      <c r="I239" s="158">
        <v>0</v>
      </c>
      <c r="J239" s="127">
        <v>25000000</v>
      </c>
      <c r="K239" s="88" t="s">
        <v>398</v>
      </c>
      <c r="L239" s="156" t="s">
        <v>157</v>
      </c>
      <c r="M239" s="159" t="s">
        <v>512</v>
      </c>
      <c r="N239" s="23" t="s">
        <v>198</v>
      </c>
      <c r="O239" s="151" t="s">
        <v>964</v>
      </c>
      <c r="P239" s="156" t="s">
        <v>348</v>
      </c>
      <c r="Q239" s="53">
        <v>25172500</v>
      </c>
      <c r="R239" s="159" t="s">
        <v>213</v>
      </c>
      <c r="S239" s="159" t="str">
        <f>MID(PAA[[#This Row],[Meta Proyecto de Inversión]],1,4)</f>
        <v>8173</v>
      </c>
      <c r="T239" s="159" t="str">
        <f>MID(PAA[[#This Row],[Meta Proyecto de Inversión]],6,1)</f>
        <v>4</v>
      </c>
      <c r="U239" s="160" t="str">
        <f>IFERROR(VLOOKUP(N239,TD!$B$50:$F$54,2,0)," ")</f>
        <v>O230117</v>
      </c>
      <c r="V239" s="160" t="str">
        <f>IFERROR(VLOOKUP(N239,TD!$B$50:$F$54,3,0)," ")</f>
        <v>4503</v>
      </c>
      <c r="W239" s="160">
        <f>IFERROR(VLOOKUP(N239,TD!$B$50:$F$54,4,0)," ")</f>
        <v>20240255</v>
      </c>
      <c r="X239" s="159" t="s">
        <v>176</v>
      </c>
      <c r="Y239" s="160" t="str">
        <f>IFERROR(VLOOKUP(X239,TD!$J$51:$K$64,2,0)," ")</f>
        <v>Servicio de mantenimiento, dotación (HEA´s y equipo menor) y adquisición de vehiculos   especializados para la atención de emergencias.</v>
      </c>
      <c r="Z239" s="161" t="str">
        <f>CONCATENATE(X239,"-",Y239)</f>
        <v>09-Servicio de mantenimiento, dotación (HEA´s y equipo menor) y adquisición de vehiculos   especializados para la atención de emergencias.</v>
      </c>
      <c r="AA239" s="159" t="s">
        <v>221</v>
      </c>
      <c r="AB239" s="160" t="str">
        <f>IFERROR(VLOOKUP(AA239,TD!$N$51:$O$66,2,0)," ")</f>
        <v>Servicio de atención a emergencias y desastres</v>
      </c>
      <c r="AC239" s="161" t="str">
        <f>CONCATENATE(AA239,"_",AB239)</f>
        <v>004_Servicio de atención a emergencias y desastres</v>
      </c>
      <c r="AD239" s="161" t="str">
        <f>CONCATENATE(Z239," ",AC239)</f>
        <v>09-Servicio de mantenimiento, dotación (HEA´s y equipo menor) y adquisición de vehiculos   especializados para la atención de emergencias. 004_Servicio de atención a emergencias y desastres</v>
      </c>
      <c r="AE239" s="160" t="str">
        <f>CONCATENATE(U239,V239,W239,X239,AA239)</f>
        <v>O23011745032024025509004</v>
      </c>
      <c r="AF239" s="160" t="str">
        <f>IFERROR(VLOOKUP(AD239,TD!$J$66:$K$89,2,0)," ")</f>
        <v>PM/0131/0109/45030040255</v>
      </c>
      <c r="AG239" s="118" t="s">
        <v>586</v>
      </c>
      <c r="AH239" s="159" t="s">
        <v>193</v>
      </c>
      <c r="AI239" s="162" t="str">
        <f>CONCATENATE(PAA[[#This Row],[Id Interno]],"-",PAA[[#This Row],[tipo de Contrato (TH talento humano - B/S bienes y/o servicios)]],"-",S239,"-",T239,"-",PAA[[#This Row],[Objeto de la contratación]])</f>
        <v>20260197-BS-8173-4-Suministro de llantas y  prestación del servicio de instalación, alineación, balanceo y conexos a los vehículos del parque automotor de la U.A.E. Cuerpo Oficial de Bomberos de Bogotá - SBLG</v>
      </c>
    </row>
    <row r="240" spans="2:35" ht="56" x14ac:dyDescent="0.35">
      <c r="B240" s="23">
        <v>20260198</v>
      </c>
      <c r="C240" s="99" t="s">
        <v>839</v>
      </c>
      <c r="D240" s="23" t="s">
        <v>105</v>
      </c>
      <c r="E240" s="23" t="s">
        <v>363</v>
      </c>
      <c r="F240" s="156" t="s">
        <v>144</v>
      </c>
      <c r="G240" s="157" t="s">
        <v>373</v>
      </c>
      <c r="H240" s="158">
        <v>10</v>
      </c>
      <c r="I240" s="158">
        <v>0</v>
      </c>
      <c r="J240" s="127">
        <v>90000000</v>
      </c>
      <c r="K240" s="88" t="s">
        <v>398</v>
      </c>
      <c r="L240" s="156" t="s">
        <v>157</v>
      </c>
      <c r="M240" s="159" t="s">
        <v>512</v>
      </c>
      <c r="N240" s="23" t="s">
        <v>198</v>
      </c>
      <c r="O240" s="151" t="s">
        <v>964</v>
      </c>
      <c r="P240" s="156" t="s">
        <v>348</v>
      </c>
      <c r="Q240" s="53">
        <v>80111600</v>
      </c>
      <c r="R240" s="159" t="s">
        <v>213</v>
      </c>
      <c r="S240" s="159" t="str">
        <f>MID(PAA[[#This Row],[Meta Proyecto de Inversión]],1,4)</f>
        <v>8173</v>
      </c>
      <c r="T240" s="159" t="str">
        <f>MID(PAA[[#This Row],[Meta Proyecto de Inversión]],6,1)</f>
        <v>4</v>
      </c>
      <c r="U240" s="160" t="str">
        <f>IFERROR(VLOOKUP(N240,TD!$B$50:$F$54,2,0)," ")</f>
        <v>O230117</v>
      </c>
      <c r="V240" s="160" t="str">
        <f>IFERROR(VLOOKUP(N240,TD!$B$50:$F$54,3,0)," ")</f>
        <v>4503</v>
      </c>
      <c r="W240" s="160">
        <f>IFERROR(VLOOKUP(N240,TD!$B$50:$F$54,4,0)," ")</f>
        <v>20240255</v>
      </c>
      <c r="X240" s="159" t="s">
        <v>180</v>
      </c>
      <c r="Y240" s="160" t="str">
        <f>IFERROR(VLOOKUP(X240,TD!$J$51:$K$64,2,0)," ")</f>
        <v>Servicio de apoyo   logístico  en eventos operativos y/o emergencias.</v>
      </c>
      <c r="Z240" s="161" t="str">
        <f>CONCATENATE(X240,"-",Y240)</f>
        <v>12-Servicio de apoyo   logístico  en eventos operativos y/o emergencias.</v>
      </c>
      <c r="AA240" s="159" t="s">
        <v>221</v>
      </c>
      <c r="AB240" s="160" t="str">
        <f>IFERROR(VLOOKUP(AA240,TD!$N$51:$O$66,2,0)," ")</f>
        <v>Servicio de atención a emergencias y desastres</v>
      </c>
      <c r="AC240" s="161" t="str">
        <f>CONCATENATE(AA240,"_",AB240)</f>
        <v>004_Servicio de atención a emergencias y desastres</v>
      </c>
      <c r="AD240" s="161" t="str">
        <f>CONCATENATE(Z240," ",AC240)</f>
        <v>12-Servicio de apoyo   logístico  en eventos operativos y/o emergencias. 004_Servicio de atención a emergencias y desastres</v>
      </c>
      <c r="AE240" s="160" t="str">
        <f>CONCATENATE(U240,V240,W240,X240,AA240)</f>
        <v>O23011745032024025512004</v>
      </c>
      <c r="AF240" s="160" t="str">
        <f>IFERROR(VLOOKUP(AD240,TD!$J$66:$K$89,2,0)," ")</f>
        <v>PM/0131/0112/45030040255</v>
      </c>
      <c r="AG240" s="118" t="s">
        <v>385</v>
      </c>
      <c r="AH240" s="159" t="s">
        <v>193</v>
      </c>
      <c r="AI240" s="162" t="str">
        <f>CONCATENATE(PAA[[#This Row],[Id Interno]],"-",PAA[[#This Row],[tipo de Contrato (TH talento humano - B/S bienes y/o servicios)]],"-",S240,"-",T240,"-",PAA[[#This Row],[Objeto de la contratación]])</f>
        <v>20260198-TH-8173-4-Prestación de servicios profesionales apoyando el control legal de los procesos y acciones, especialmente la gestión contractual para el desarrollo de las estrategías de la Subdirección Logística - SBLG</v>
      </c>
    </row>
    <row r="241" spans="2:35" ht="84" x14ac:dyDescent="0.35">
      <c r="B241" s="23">
        <v>20260199</v>
      </c>
      <c r="C241" s="99" t="s">
        <v>840</v>
      </c>
      <c r="D241" s="23" t="s">
        <v>105</v>
      </c>
      <c r="E241" s="23" t="s">
        <v>363</v>
      </c>
      <c r="F241" s="156" t="s">
        <v>144</v>
      </c>
      <c r="G241" s="157" t="s">
        <v>373</v>
      </c>
      <c r="H241" s="158">
        <v>5</v>
      </c>
      <c r="I241" s="158">
        <v>0</v>
      </c>
      <c r="J241" s="127">
        <v>32500000</v>
      </c>
      <c r="K241" s="88" t="s">
        <v>398</v>
      </c>
      <c r="L241" s="156" t="s">
        <v>157</v>
      </c>
      <c r="M241" s="159" t="s">
        <v>512</v>
      </c>
      <c r="N241" s="23" t="s">
        <v>198</v>
      </c>
      <c r="O241" s="151" t="s">
        <v>964</v>
      </c>
      <c r="P241" s="156" t="s">
        <v>348</v>
      </c>
      <c r="Q241" s="53">
        <v>80111600</v>
      </c>
      <c r="R241" s="159" t="s">
        <v>213</v>
      </c>
      <c r="S241" s="159" t="str">
        <f>MID(PAA[[#This Row],[Meta Proyecto de Inversión]],1,4)</f>
        <v>8173</v>
      </c>
      <c r="T241" s="159" t="str">
        <f>MID(PAA[[#This Row],[Meta Proyecto de Inversión]],6,1)</f>
        <v>4</v>
      </c>
      <c r="U241" s="160" t="str">
        <f>IFERROR(VLOOKUP(N241,TD!$B$50:$F$54,2,0)," ")</f>
        <v>O230117</v>
      </c>
      <c r="V241" s="160" t="str">
        <f>IFERROR(VLOOKUP(N241,TD!$B$50:$F$54,3,0)," ")</f>
        <v>4503</v>
      </c>
      <c r="W241" s="160">
        <f>IFERROR(VLOOKUP(N241,TD!$B$50:$F$54,4,0)," ")</f>
        <v>20240255</v>
      </c>
      <c r="X241" s="159" t="s">
        <v>180</v>
      </c>
      <c r="Y241" s="160" t="str">
        <f>IFERROR(VLOOKUP(X241,TD!$J$51:$K$64,2,0)," ")</f>
        <v>Servicio de apoyo   logístico  en eventos operativos y/o emergencias.</v>
      </c>
      <c r="Z241" s="161" t="str">
        <f>CONCATENATE(X241,"-",Y241)</f>
        <v>12-Servicio de apoyo   logístico  en eventos operativos y/o emergencias.</v>
      </c>
      <c r="AA241" s="159" t="s">
        <v>221</v>
      </c>
      <c r="AB241" s="160" t="str">
        <f>IFERROR(VLOOKUP(AA241,TD!$N$51:$O$66,2,0)," ")</f>
        <v>Servicio de atención a emergencias y desastres</v>
      </c>
      <c r="AC241" s="161" t="str">
        <f>CONCATENATE(AA241,"_",AB241)</f>
        <v>004_Servicio de atención a emergencias y desastres</v>
      </c>
      <c r="AD241" s="161" t="str">
        <f>CONCATENATE(Z241," ",AC241)</f>
        <v>12-Servicio de apoyo   logístico  en eventos operativos y/o emergencias. 004_Servicio de atención a emergencias y desastres</v>
      </c>
      <c r="AE241" s="160" t="str">
        <f>CONCATENATE(U241,V241,W241,X241,AA241)</f>
        <v>O23011745032024025512004</v>
      </c>
      <c r="AF241" s="160" t="str">
        <f>IFERROR(VLOOKUP(AD241,TD!$J$66:$K$89,2,0)," ")</f>
        <v>PM/0131/0112/45030040255</v>
      </c>
      <c r="AG241" s="118" t="s">
        <v>385</v>
      </c>
      <c r="AH241" s="159" t="s">
        <v>193</v>
      </c>
      <c r="AI241" s="162" t="str">
        <f>CONCATENATE(PAA[[#This Row],[Id Interno]],"-",PAA[[#This Row],[tipo de Contrato (TH talento humano - B/S bienes y/o servicios)]],"-",S241,"-",T241,"-",PAA[[#This Row],[Objeto de la contratación]])</f>
        <v>20260199-TH-8173-4-Prestación de servicios profesionales para apoyar en la elaboración, tramite e impulso de los procesos de contratación en sus diferentes etapas para el desarrollo de las estrategías de la Subdirección Logística - SBLG.</v>
      </c>
    </row>
    <row r="242" spans="2:35" ht="56" x14ac:dyDescent="0.35">
      <c r="B242" s="23">
        <v>20260200</v>
      </c>
      <c r="C242" s="99" t="s">
        <v>933</v>
      </c>
      <c r="D242" s="23" t="s">
        <v>105</v>
      </c>
      <c r="E242" s="23" t="s">
        <v>363</v>
      </c>
      <c r="F242" s="156" t="s">
        <v>144</v>
      </c>
      <c r="G242" s="157" t="s">
        <v>373</v>
      </c>
      <c r="H242" s="158">
        <v>8</v>
      </c>
      <c r="I242" s="158">
        <v>0</v>
      </c>
      <c r="J242" s="127">
        <v>64000000</v>
      </c>
      <c r="K242" s="88" t="s">
        <v>398</v>
      </c>
      <c r="L242" s="156" t="s">
        <v>157</v>
      </c>
      <c r="M242" s="159" t="s">
        <v>512</v>
      </c>
      <c r="N242" s="23" t="s">
        <v>198</v>
      </c>
      <c r="O242" s="151" t="s">
        <v>964</v>
      </c>
      <c r="P242" s="156" t="s">
        <v>348</v>
      </c>
      <c r="Q242" s="53">
        <v>80111600</v>
      </c>
      <c r="R242" s="159" t="s">
        <v>213</v>
      </c>
      <c r="S242" s="159" t="str">
        <f>MID(PAA[[#This Row],[Meta Proyecto de Inversión]],1,4)</f>
        <v>8173</v>
      </c>
      <c r="T242" s="159" t="str">
        <f>MID(PAA[[#This Row],[Meta Proyecto de Inversión]],6,1)</f>
        <v>4</v>
      </c>
      <c r="U242" s="160" t="str">
        <f>IFERROR(VLOOKUP(N242,TD!$B$50:$F$54,2,0)," ")</f>
        <v>O230117</v>
      </c>
      <c r="V242" s="160" t="str">
        <f>IFERROR(VLOOKUP(N242,TD!$B$50:$F$54,3,0)," ")</f>
        <v>4503</v>
      </c>
      <c r="W242" s="160">
        <f>IFERROR(VLOOKUP(N242,TD!$B$50:$F$54,4,0)," ")</f>
        <v>20240255</v>
      </c>
      <c r="X242" s="159" t="s">
        <v>180</v>
      </c>
      <c r="Y242" s="160" t="str">
        <f>IFERROR(VLOOKUP(X242,TD!$J$51:$K$64,2,0)," ")</f>
        <v>Servicio de apoyo   logístico  en eventos operativos y/o emergencias.</v>
      </c>
      <c r="Z242" s="161" t="str">
        <f>CONCATENATE(X242,"-",Y242)</f>
        <v>12-Servicio de apoyo   logístico  en eventos operativos y/o emergencias.</v>
      </c>
      <c r="AA242" s="159" t="s">
        <v>221</v>
      </c>
      <c r="AB242" s="160" t="str">
        <f>IFERROR(VLOOKUP(AA242,TD!$N$51:$O$66,2,0)," ")</f>
        <v>Servicio de atención a emergencias y desastres</v>
      </c>
      <c r="AC242" s="161" t="str">
        <f>CONCATENATE(AA242,"_",AB242)</f>
        <v>004_Servicio de atención a emergencias y desastres</v>
      </c>
      <c r="AD242" s="161" t="str">
        <f>CONCATENATE(Z242," ",AC242)</f>
        <v>12-Servicio de apoyo   logístico  en eventos operativos y/o emergencias. 004_Servicio de atención a emergencias y desastres</v>
      </c>
      <c r="AE242" s="160" t="str">
        <f>CONCATENATE(U242,V242,W242,X242,AA242)</f>
        <v>O23011745032024025512004</v>
      </c>
      <c r="AF242" s="160" t="str">
        <f>IFERROR(VLOOKUP(AD242,TD!$J$66:$K$89,2,0)," ")</f>
        <v>PM/0131/0112/45030040255</v>
      </c>
      <c r="AG242" s="118" t="s">
        <v>385</v>
      </c>
      <c r="AH242" s="159" t="s">
        <v>193</v>
      </c>
      <c r="AI242" s="162" t="str">
        <f>CONCATENATE(PAA[[#This Row],[Id Interno]],"-",PAA[[#This Row],[tipo de Contrato (TH talento humano - B/S bienes y/o servicios)]],"-",S242,"-",T242,"-",PAA[[#This Row],[Objeto de la contratación]])</f>
        <v>20260200-TH-8173-4-Prestación de servicios profesionales para apoyar en la elaboracion, seguimiento e impulso de la actuaciones procesales en cada una de las etapas para la adquisición de bienes y servicios en el desarrollo de las estrategias de la Subdirección Logística. SBLG.</v>
      </c>
    </row>
    <row r="243" spans="2:35" ht="56" x14ac:dyDescent="0.35">
      <c r="B243" s="23">
        <v>20260201</v>
      </c>
      <c r="C243" s="99" t="s">
        <v>840</v>
      </c>
      <c r="D243" s="23" t="s">
        <v>105</v>
      </c>
      <c r="E243" s="23" t="s">
        <v>363</v>
      </c>
      <c r="F243" s="156" t="s">
        <v>144</v>
      </c>
      <c r="G243" s="157" t="s">
        <v>373</v>
      </c>
      <c r="H243" s="158">
        <v>5</v>
      </c>
      <c r="I243" s="158">
        <v>0</v>
      </c>
      <c r="J243" s="127">
        <v>35000000</v>
      </c>
      <c r="K243" s="88" t="s">
        <v>398</v>
      </c>
      <c r="L243" s="156" t="s">
        <v>157</v>
      </c>
      <c r="M243" s="159" t="s">
        <v>512</v>
      </c>
      <c r="N243" s="23" t="s">
        <v>198</v>
      </c>
      <c r="O243" s="151" t="s">
        <v>964</v>
      </c>
      <c r="P243" s="156" t="s">
        <v>348</v>
      </c>
      <c r="Q243" s="53">
        <v>80111600</v>
      </c>
      <c r="R243" s="159" t="s">
        <v>213</v>
      </c>
      <c r="S243" s="159" t="str">
        <f>MID(PAA[[#This Row],[Meta Proyecto de Inversión]],1,4)</f>
        <v>8173</v>
      </c>
      <c r="T243" s="159" t="str">
        <f>MID(PAA[[#This Row],[Meta Proyecto de Inversión]],6,1)</f>
        <v>4</v>
      </c>
      <c r="U243" s="160" t="str">
        <f>IFERROR(VLOOKUP(N243,TD!$B$50:$F$54,2,0)," ")</f>
        <v>O230117</v>
      </c>
      <c r="V243" s="160" t="str">
        <f>IFERROR(VLOOKUP(N243,TD!$B$50:$F$54,3,0)," ")</f>
        <v>4503</v>
      </c>
      <c r="W243" s="160">
        <f>IFERROR(VLOOKUP(N243,TD!$B$50:$F$54,4,0)," ")</f>
        <v>20240255</v>
      </c>
      <c r="X243" s="159" t="s">
        <v>180</v>
      </c>
      <c r="Y243" s="160" t="str">
        <f>IFERROR(VLOOKUP(X243,TD!$J$51:$K$64,2,0)," ")</f>
        <v>Servicio de apoyo   logístico  en eventos operativos y/o emergencias.</v>
      </c>
      <c r="Z243" s="161" t="str">
        <f>CONCATENATE(X243,"-",Y243)</f>
        <v>12-Servicio de apoyo   logístico  en eventos operativos y/o emergencias.</v>
      </c>
      <c r="AA243" s="159" t="s">
        <v>221</v>
      </c>
      <c r="AB243" s="160" t="str">
        <f>IFERROR(VLOOKUP(AA243,TD!$N$51:$O$66,2,0)," ")</f>
        <v>Servicio de atención a emergencias y desastres</v>
      </c>
      <c r="AC243" s="161" t="str">
        <f>CONCATENATE(AA243,"_",AB243)</f>
        <v>004_Servicio de atención a emergencias y desastres</v>
      </c>
      <c r="AD243" s="161" t="str">
        <f>CONCATENATE(Z243," ",AC243)</f>
        <v>12-Servicio de apoyo   logístico  en eventos operativos y/o emergencias. 004_Servicio de atención a emergencias y desastres</v>
      </c>
      <c r="AE243" s="160" t="str">
        <f>CONCATENATE(U243,V243,W243,X243,AA243)</f>
        <v>O23011745032024025512004</v>
      </c>
      <c r="AF243" s="160" t="str">
        <f>IFERROR(VLOOKUP(AD243,TD!$J$66:$K$89,2,0)," ")</f>
        <v>PM/0131/0112/45030040255</v>
      </c>
      <c r="AG243" s="118" t="s">
        <v>385</v>
      </c>
      <c r="AH243" s="159" t="s">
        <v>193</v>
      </c>
      <c r="AI243" s="162" t="str">
        <f>CONCATENATE(PAA[[#This Row],[Id Interno]],"-",PAA[[#This Row],[tipo de Contrato (TH talento humano - B/S bienes y/o servicios)]],"-",S243,"-",T243,"-",PAA[[#This Row],[Objeto de la contratación]])</f>
        <v>20260201-TH-8173-4-Prestación de servicios profesionales para apoyar en la elaboración, tramite e impulso de los procesos de contratación en sus diferentes etapas para el desarrollo de las estrategías de la Subdirección Logística - SBLG.</v>
      </c>
    </row>
    <row r="244" spans="2:35" ht="70" x14ac:dyDescent="0.35">
      <c r="B244" s="23">
        <v>20260202</v>
      </c>
      <c r="C244" s="99" t="s">
        <v>841</v>
      </c>
      <c r="D244" s="23" t="s">
        <v>105</v>
      </c>
      <c r="E244" s="23" t="s">
        <v>363</v>
      </c>
      <c r="F244" s="156" t="s">
        <v>144</v>
      </c>
      <c r="G244" s="157" t="s">
        <v>373</v>
      </c>
      <c r="H244" s="158">
        <v>9</v>
      </c>
      <c r="I244" s="158">
        <v>0</v>
      </c>
      <c r="J244" s="127">
        <v>72000000</v>
      </c>
      <c r="K244" s="88" t="s">
        <v>398</v>
      </c>
      <c r="L244" s="156" t="s">
        <v>157</v>
      </c>
      <c r="M244" s="159" t="s">
        <v>512</v>
      </c>
      <c r="N244" s="23" t="s">
        <v>198</v>
      </c>
      <c r="O244" s="151" t="s">
        <v>964</v>
      </c>
      <c r="P244" s="156" t="s">
        <v>348</v>
      </c>
      <c r="Q244" s="53">
        <v>80111600</v>
      </c>
      <c r="R244" s="159" t="s">
        <v>213</v>
      </c>
      <c r="S244" s="159" t="str">
        <f>MID(PAA[[#This Row],[Meta Proyecto de Inversión]],1,4)</f>
        <v>8173</v>
      </c>
      <c r="T244" s="159" t="str">
        <f>MID(PAA[[#This Row],[Meta Proyecto de Inversión]],6,1)</f>
        <v>4</v>
      </c>
      <c r="U244" s="160" t="str">
        <f>IFERROR(VLOOKUP(N244,TD!$B$50:$F$54,2,0)," ")</f>
        <v>O230117</v>
      </c>
      <c r="V244" s="160" t="str">
        <f>IFERROR(VLOOKUP(N244,TD!$B$50:$F$54,3,0)," ")</f>
        <v>4503</v>
      </c>
      <c r="W244" s="160">
        <f>IFERROR(VLOOKUP(N244,TD!$B$50:$F$54,4,0)," ")</f>
        <v>20240255</v>
      </c>
      <c r="X244" s="159" t="s">
        <v>180</v>
      </c>
      <c r="Y244" s="160" t="str">
        <f>IFERROR(VLOOKUP(X244,TD!$J$51:$K$64,2,0)," ")</f>
        <v>Servicio de apoyo   logístico  en eventos operativos y/o emergencias.</v>
      </c>
      <c r="Z244" s="161" t="str">
        <f>CONCATENATE(X244,"-",Y244)</f>
        <v>12-Servicio de apoyo   logístico  en eventos operativos y/o emergencias.</v>
      </c>
      <c r="AA244" s="159" t="s">
        <v>221</v>
      </c>
      <c r="AB244" s="160" t="str">
        <f>IFERROR(VLOOKUP(AA244,TD!$N$51:$O$66,2,0)," ")</f>
        <v>Servicio de atención a emergencias y desastres</v>
      </c>
      <c r="AC244" s="161" t="str">
        <f>CONCATENATE(AA244,"_",AB244)</f>
        <v>004_Servicio de atención a emergencias y desastres</v>
      </c>
      <c r="AD244" s="161" t="str">
        <f>CONCATENATE(Z244," ",AC244)</f>
        <v>12-Servicio de apoyo   logístico  en eventos operativos y/o emergencias. 004_Servicio de atención a emergencias y desastres</v>
      </c>
      <c r="AE244" s="160" t="str">
        <f>CONCATENATE(U244,V244,W244,X244,AA244)</f>
        <v>O23011745032024025512004</v>
      </c>
      <c r="AF244" s="160" t="str">
        <f>IFERROR(VLOOKUP(AD244,TD!$J$66:$K$89,2,0)," ")</f>
        <v>PM/0131/0112/45030040255</v>
      </c>
      <c r="AG244" s="118" t="s">
        <v>385</v>
      </c>
      <c r="AH244" s="159" t="s">
        <v>193</v>
      </c>
      <c r="AI244" s="162" t="str">
        <f>CONCATENATE(PAA[[#This Row],[Id Interno]],"-",PAA[[#This Row],[tipo de Contrato (TH talento humano - B/S bienes y/o servicios)]],"-",S244,"-",T244,"-",PAA[[#This Row],[Objeto de la contratación]])</f>
        <v>20260202-TH-8173-4-Prestación de servicios profesionales, para apoyar la estructuración y elaboración de los asuntos contractuales en sus diferentes etapas en la adquisicion de bienes y servicios para el desarrollo de las estrategías de la Subdirección Logística.- SBLG</v>
      </c>
    </row>
    <row r="245" spans="2:35" ht="84" x14ac:dyDescent="0.35">
      <c r="B245" s="23">
        <v>20260203</v>
      </c>
      <c r="C245" s="99" t="s">
        <v>958</v>
      </c>
      <c r="D245" s="23" t="s">
        <v>105</v>
      </c>
      <c r="E245" s="23" t="s">
        <v>363</v>
      </c>
      <c r="F245" s="156" t="s">
        <v>144</v>
      </c>
      <c r="G245" s="157" t="s">
        <v>373</v>
      </c>
      <c r="H245" s="158">
        <v>9</v>
      </c>
      <c r="I245" s="158">
        <v>0</v>
      </c>
      <c r="J245" s="127">
        <v>45000000</v>
      </c>
      <c r="K245" s="88" t="s">
        <v>398</v>
      </c>
      <c r="L245" s="156" t="s">
        <v>157</v>
      </c>
      <c r="M245" s="159" t="s">
        <v>512</v>
      </c>
      <c r="N245" s="23" t="s">
        <v>198</v>
      </c>
      <c r="O245" s="151" t="s">
        <v>964</v>
      </c>
      <c r="P245" s="156" t="s">
        <v>348</v>
      </c>
      <c r="Q245" s="53">
        <v>80111600</v>
      </c>
      <c r="R245" s="159" t="s">
        <v>213</v>
      </c>
      <c r="S245" s="159" t="str">
        <f>MID(PAA[[#This Row],[Meta Proyecto de Inversión]],1,4)</f>
        <v>8173</v>
      </c>
      <c r="T245" s="159" t="str">
        <f>MID(PAA[[#This Row],[Meta Proyecto de Inversión]],6,1)</f>
        <v>4</v>
      </c>
      <c r="U245" s="160" t="str">
        <f>IFERROR(VLOOKUP(N245,TD!$B$50:$F$54,2,0)," ")</f>
        <v>O230117</v>
      </c>
      <c r="V245" s="160" t="str">
        <f>IFERROR(VLOOKUP(N245,TD!$B$50:$F$54,3,0)," ")</f>
        <v>4503</v>
      </c>
      <c r="W245" s="160">
        <f>IFERROR(VLOOKUP(N245,TD!$B$50:$F$54,4,0)," ")</f>
        <v>20240255</v>
      </c>
      <c r="X245" s="159" t="s">
        <v>180</v>
      </c>
      <c r="Y245" s="160" t="str">
        <f>IFERROR(VLOOKUP(X245,TD!$J$51:$K$64,2,0)," ")</f>
        <v>Servicio de apoyo   logístico  en eventos operativos y/o emergencias.</v>
      </c>
      <c r="Z245" s="161" t="str">
        <f>CONCATENATE(X245,"-",Y245)</f>
        <v>12-Servicio de apoyo   logístico  en eventos operativos y/o emergencias.</v>
      </c>
      <c r="AA245" s="159" t="s">
        <v>221</v>
      </c>
      <c r="AB245" s="160" t="str">
        <f>IFERROR(VLOOKUP(AA245,TD!$N$51:$O$66,2,0)," ")</f>
        <v>Servicio de atención a emergencias y desastres</v>
      </c>
      <c r="AC245" s="161" t="str">
        <f>CONCATENATE(AA245,"_",AB245)</f>
        <v>004_Servicio de atención a emergencias y desastres</v>
      </c>
      <c r="AD245" s="161" t="str">
        <f>CONCATENATE(Z245," ",AC245)</f>
        <v>12-Servicio de apoyo   logístico  en eventos operativos y/o emergencias. 004_Servicio de atención a emergencias y desastres</v>
      </c>
      <c r="AE245" s="160" t="str">
        <f>CONCATENATE(U245,V245,W245,X245,AA245)</f>
        <v>O23011745032024025512004</v>
      </c>
      <c r="AF245" s="160" t="str">
        <f>IFERROR(VLOOKUP(AD245,TD!$J$66:$K$89,2,0)," ")</f>
        <v>PM/0131/0112/45030040255</v>
      </c>
      <c r="AG245" s="118" t="s">
        <v>385</v>
      </c>
      <c r="AH245" s="159" t="s">
        <v>193</v>
      </c>
      <c r="AI245" s="162" t="str">
        <f>CONCATENATE(PAA[[#This Row],[Id Interno]],"-",PAA[[#This Row],[tipo de Contrato (TH talento humano - B/S bienes y/o servicios)]],"-",S245,"-",T245,"-",PAA[[#This Row],[Objeto de la contratación]])</f>
        <v>20260203-TH-8173-4-Prestación de servicios profesionales de carácter jurídico para apoyar la gestión administrativa y la adquisición de bienes y servicios para el desarrollo de las estrategias de la Subdirección Logística. -SBLG</v>
      </c>
    </row>
    <row r="246" spans="2:35" ht="84" x14ac:dyDescent="0.35">
      <c r="B246" s="23">
        <v>20260204</v>
      </c>
      <c r="C246" s="99" t="s">
        <v>842</v>
      </c>
      <c r="D246" s="23" t="s">
        <v>105</v>
      </c>
      <c r="E246" s="23" t="s">
        <v>363</v>
      </c>
      <c r="F246" s="156" t="s">
        <v>144</v>
      </c>
      <c r="G246" s="157" t="s">
        <v>373</v>
      </c>
      <c r="H246" s="158">
        <v>11</v>
      </c>
      <c r="I246" s="158">
        <v>0</v>
      </c>
      <c r="J246" s="127">
        <v>120917000</v>
      </c>
      <c r="K246" s="88" t="s">
        <v>398</v>
      </c>
      <c r="L246" s="156" t="s">
        <v>157</v>
      </c>
      <c r="M246" s="159" t="s">
        <v>512</v>
      </c>
      <c r="N246" s="23" t="s">
        <v>198</v>
      </c>
      <c r="O246" s="151" t="s">
        <v>964</v>
      </c>
      <c r="P246" s="156" t="s">
        <v>348</v>
      </c>
      <c r="Q246" s="53">
        <v>80111600</v>
      </c>
      <c r="R246" s="159" t="s">
        <v>213</v>
      </c>
      <c r="S246" s="159" t="str">
        <f>MID(PAA[[#This Row],[Meta Proyecto de Inversión]],1,4)</f>
        <v>8173</v>
      </c>
      <c r="T246" s="159" t="str">
        <f>MID(PAA[[#This Row],[Meta Proyecto de Inversión]],6,1)</f>
        <v>4</v>
      </c>
      <c r="U246" s="160" t="str">
        <f>IFERROR(VLOOKUP(N246,TD!$B$50:$F$54,2,0)," ")</f>
        <v>O230117</v>
      </c>
      <c r="V246" s="160" t="str">
        <f>IFERROR(VLOOKUP(N246,TD!$B$50:$F$54,3,0)," ")</f>
        <v>4503</v>
      </c>
      <c r="W246" s="160">
        <f>IFERROR(VLOOKUP(N246,TD!$B$50:$F$54,4,0)," ")</f>
        <v>20240255</v>
      </c>
      <c r="X246" s="159" t="s">
        <v>180</v>
      </c>
      <c r="Y246" s="160" t="str">
        <f>IFERROR(VLOOKUP(X246,TD!$J$51:$K$64,2,0)," ")</f>
        <v>Servicio de apoyo   logístico  en eventos operativos y/o emergencias.</v>
      </c>
      <c r="Z246" s="161" t="str">
        <f>CONCATENATE(X246,"-",Y246)</f>
        <v>12-Servicio de apoyo   logístico  en eventos operativos y/o emergencias.</v>
      </c>
      <c r="AA246" s="159" t="s">
        <v>221</v>
      </c>
      <c r="AB246" s="160" t="str">
        <f>IFERROR(VLOOKUP(AA246,TD!$N$51:$O$66,2,0)," ")</f>
        <v>Servicio de atención a emergencias y desastres</v>
      </c>
      <c r="AC246" s="161" t="str">
        <f>CONCATENATE(AA246,"_",AB246)</f>
        <v>004_Servicio de atención a emergencias y desastres</v>
      </c>
      <c r="AD246" s="161" t="str">
        <f>CONCATENATE(Z246," ",AC246)</f>
        <v>12-Servicio de apoyo   logístico  en eventos operativos y/o emergencias. 004_Servicio de atención a emergencias y desastres</v>
      </c>
      <c r="AE246" s="160" t="str">
        <f>CONCATENATE(U246,V246,W246,X246,AA246)</f>
        <v>O23011745032024025512004</v>
      </c>
      <c r="AF246" s="160" t="str">
        <f>IFERROR(VLOOKUP(AD246,TD!$J$66:$K$89,2,0)," ")</f>
        <v>PM/0131/0112/45030040255</v>
      </c>
      <c r="AG246" s="118" t="s">
        <v>385</v>
      </c>
      <c r="AH246" s="159" t="s">
        <v>193</v>
      </c>
      <c r="AI246" s="162" t="str">
        <f>CONCATENATE(PAA[[#This Row],[Id Interno]],"-",PAA[[#This Row],[tipo de Contrato (TH talento humano - B/S bienes y/o servicios)]],"-",S246,"-",T246,"-",PAA[[#This Row],[Objeto de la contratación]])</f>
        <v>20260204-TH-8173-4-Prestar servicios profesionales para apoyar el seguimiento y garantizar la adecuada ejecución presupuestal y financiera de los diferentes planes, programas, proyectos administrativos y financieros a cargo de la Subdirección Logística- SBLG</v>
      </c>
    </row>
    <row r="247" spans="2:35" ht="84" x14ac:dyDescent="0.35">
      <c r="B247" s="23">
        <v>20260205</v>
      </c>
      <c r="C247" s="99" t="s">
        <v>668</v>
      </c>
      <c r="D247" s="23" t="s">
        <v>105</v>
      </c>
      <c r="E247" s="23" t="s">
        <v>363</v>
      </c>
      <c r="F247" s="156" t="s">
        <v>144</v>
      </c>
      <c r="G247" s="157" t="s">
        <v>373</v>
      </c>
      <c r="H247" s="158">
        <v>9</v>
      </c>
      <c r="I247" s="158">
        <v>0</v>
      </c>
      <c r="J247" s="127">
        <v>40500000</v>
      </c>
      <c r="K247" s="88" t="s">
        <v>398</v>
      </c>
      <c r="L247" s="156" t="s">
        <v>157</v>
      </c>
      <c r="M247" s="159" t="s">
        <v>512</v>
      </c>
      <c r="N247" s="23" t="s">
        <v>198</v>
      </c>
      <c r="O247" s="151" t="s">
        <v>964</v>
      </c>
      <c r="P247" s="156" t="s">
        <v>348</v>
      </c>
      <c r="Q247" s="53">
        <v>80111600</v>
      </c>
      <c r="R247" s="159" t="s">
        <v>213</v>
      </c>
      <c r="S247" s="159" t="str">
        <f>MID(PAA[[#This Row],[Meta Proyecto de Inversión]],1,4)</f>
        <v>8173</v>
      </c>
      <c r="T247" s="159" t="str">
        <f>MID(PAA[[#This Row],[Meta Proyecto de Inversión]],6,1)</f>
        <v>4</v>
      </c>
      <c r="U247" s="160" t="str">
        <f>IFERROR(VLOOKUP(N247,TD!$B$50:$F$54,2,0)," ")</f>
        <v>O230117</v>
      </c>
      <c r="V247" s="160" t="str">
        <f>IFERROR(VLOOKUP(N247,TD!$B$50:$F$54,3,0)," ")</f>
        <v>4503</v>
      </c>
      <c r="W247" s="160">
        <f>IFERROR(VLOOKUP(N247,TD!$B$50:$F$54,4,0)," ")</f>
        <v>20240255</v>
      </c>
      <c r="X247" s="159" t="s">
        <v>180</v>
      </c>
      <c r="Y247" s="160" t="str">
        <f>IFERROR(VLOOKUP(X247,TD!$J$51:$K$64,2,0)," ")</f>
        <v>Servicio de apoyo   logístico  en eventos operativos y/o emergencias.</v>
      </c>
      <c r="Z247" s="161" t="str">
        <f>CONCATENATE(X247,"-",Y247)</f>
        <v>12-Servicio de apoyo   logístico  en eventos operativos y/o emergencias.</v>
      </c>
      <c r="AA247" s="159" t="s">
        <v>221</v>
      </c>
      <c r="AB247" s="160" t="str">
        <f>IFERROR(VLOOKUP(AA247,TD!$N$51:$O$66,2,0)," ")</f>
        <v>Servicio de atención a emergencias y desastres</v>
      </c>
      <c r="AC247" s="161" t="str">
        <f>CONCATENATE(AA247,"_",AB247)</f>
        <v>004_Servicio de atención a emergencias y desastres</v>
      </c>
      <c r="AD247" s="161" t="str">
        <f>CONCATENATE(Z247," ",AC247)</f>
        <v>12-Servicio de apoyo   logístico  en eventos operativos y/o emergencias. 004_Servicio de atención a emergencias y desastres</v>
      </c>
      <c r="AE247" s="160" t="str">
        <f>CONCATENATE(U247,V247,W247,X247,AA247)</f>
        <v>O23011745032024025512004</v>
      </c>
      <c r="AF247" s="160" t="str">
        <f>IFERROR(VLOOKUP(AD247,TD!$J$66:$K$89,2,0)," ")</f>
        <v>PM/0131/0112/45030040255</v>
      </c>
      <c r="AG247" s="118" t="s">
        <v>385</v>
      </c>
      <c r="AH247" s="159" t="s">
        <v>193</v>
      </c>
      <c r="AI247" s="162" t="str">
        <f>CONCATENATE(PAA[[#This Row],[Id Interno]],"-",PAA[[#This Row],[tipo de Contrato (TH talento humano - B/S bienes y/o servicios)]],"-",S247,"-",T247,"-",PAA[[#This Row],[Objeto de la contratación]])</f>
        <v>20260205-TH-8173-4-Prestar los servicios profesionales para la gestión, financiera de los proyectos y procesos para el fortalecimiento de las estrategías de la Subdirección Logística - SBLG.</v>
      </c>
    </row>
    <row r="248" spans="2:35" ht="84" customHeight="1" x14ac:dyDescent="0.3">
      <c r="B248" s="23">
        <v>20260206</v>
      </c>
      <c r="C248" s="146" t="s">
        <v>959</v>
      </c>
      <c r="D248" s="23" t="s">
        <v>105</v>
      </c>
      <c r="E248" s="23" t="s">
        <v>363</v>
      </c>
      <c r="F248" s="156" t="s">
        <v>144</v>
      </c>
      <c r="G248" s="157" t="s">
        <v>373</v>
      </c>
      <c r="H248" s="158">
        <v>7</v>
      </c>
      <c r="I248" s="158">
        <v>15</v>
      </c>
      <c r="J248" s="127">
        <v>45000000</v>
      </c>
      <c r="K248" s="88" t="s">
        <v>398</v>
      </c>
      <c r="L248" s="156" t="s">
        <v>157</v>
      </c>
      <c r="M248" s="159" t="s">
        <v>512</v>
      </c>
      <c r="N248" s="23" t="s">
        <v>198</v>
      </c>
      <c r="O248" s="151" t="s">
        <v>964</v>
      </c>
      <c r="P248" s="156" t="s">
        <v>348</v>
      </c>
      <c r="Q248" s="53">
        <v>80111600</v>
      </c>
      <c r="R248" s="159" t="s">
        <v>213</v>
      </c>
      <c r="S248" s="159" t="str">
        <f>MID(PAA[[#This Row],[Meta Proyecto de Inversión]],1,4)</f>
        <v>8173</v>
      </c>
      <c r="T248" s="159" t="str">
        <f>MID(PAA[[#This Row],[Meta Proyecto de Inversión]],6,1)</f>
        <v>4</v>
      </c>
      <c r="U248" s="160" t="str">
        <f>IFERROR(VLOOKUP(N248,TD!$B$50:$F$54,2,0)," ")</f>
        <v>O230117</v>
      </c>
      <c r="V248" s="160" t="str">
        <f>IFERROR(VLOOKUP(N248,TD!$B$50:$F$54,3,0)," ")</f>
        <v>4503</v>
      </c>
      <c r="W248" s="160">
        <f>IFERROR(VLOOKUP(N248,TD!$B$50:$F$54,4,0)," ")</f>
        <v>20240255</v>
      </c>
      <c r="X248" s="159" t="s">
        <v>180</v>
      </c>
      <c r="Y248" s="160" t="str">
        <f>IFERROR(VLOOKUP(X248,TD!$J$51:$K$64,2,0)," ")</f>
        <v>Servicio de apoyo   logístico  en eventos operativos y/o emergencias.</v>
      </c>
      <c r="Z248" s="161" t="str">
        <f>CONCATENATE(X248,"-",Y248)</f>
        <v>12-Servicio de apoyo   logístico  en eventos operativos y/o emergencias.</v>
      </c>
      <c r="AA248" s="159" t="s">
        <v>221</v>
      </c>
      <c r="AB248" s="160" t="str">
        <f>IFERROR(VLOOKUP(AA248,TD!$N$51:$O$66,2,0)," ")</f>
        <v>Servicio de atención a emergencias y desastres</v>
      </c>
      <c r="AC248" s="161" t="str">
        <f>CONCATENATE(AA248,"_",AB248)</f>
        <v>004_Servicio de atención a emergencias y desastres</v>
      </c>
      <c r="AD248" s="161" t="str">
        <f>CONCATENATE(Z248," ",AC248)</f>
        <v>12-Servicio de apoyo   logístico  en eventos operativos y/o emergencias. 004_Servicio de atención a emergencias y desastres</v>
      </c>
      <c r="AE248" s="160" t="str">
        <f>CONCATENATE(U248,V248,W248,X248,AA248)</f>
        <v>O23011745032024025512004</v>
      </c>
      <c r="AF248" s="160" t="str">
        <f>IFERROR(VLOOKUP(AD248,TD!$J$66:$K$89,2,0)," ")</f>
        <v>PM/0131/0112/45030040255</v>
      </c>
      <c r="AG248" s="118" t="s">
        <v>385</v>
      </c>
      <c r="AH248" s="159" t="s">
        <v>193</v>
      </c>
      <c r="AI248" s="162" t="str">
        <f>CONCATENATE(PAA[[#This Row],[Id Interno]],"-",PAA[[#This Row],[tipo de Contrato (TH talento humano - B/S bienes y/o servicios)]],"-",S248,"-",T248,"-",PAA[[#This Row],[Objeto de la contratación]])</f>
        <v>20260206-TH-8173-4-Prestación de servicios profesionales para apoyar la gestión financiera y presupuestal de los proyectos, planes y estrategias a cargo de la Subdirección Logística - SBLG</v>
      </c>
    </row>
    <row r="249" spans="2:35" ht="84" x14ac:dyDescent="0.35">
      <c r="B249" s="23">
        <v>20260207</v>
      </c>
      <c r="C249" s="99" t="s">
        <v>669</v>
      </c>
      <c r="D249" s="23" t="s">
        <v>105</v>
      </c>
      <c r="E249" s="23" t="s">
        <v>363</v>
      </c>
      <c r="F249" s="156" t="s">
        <v>145</v>
      </c>
      <c r="G249" s="157" t="s">
        <v>373</v>
      </c>
      <c r="H249" s="158">
        <v>7</v>
      </c>
      <c r="I249" s="158">
        <v>15</v>
      </c>
      <c r="J249" s="127">
        <v>30000000</v>
      </c>
      <c r="K249" s="88" t="s">
        <v>398</v>
      </c>
      <c r="L249" s="156" t="s">
        <v>157</v>
      </c>
      <c r="M249" s="159" t="s">
        <v>512</v>
      </c>
      <c r="N249" s="23" t="s">
        <v>198</v>
      </c>
      <c r="O249" s="151" t="s">
        <v>964</v>
      </c>
      <c r="P249" s="156" t="s">
        <v>348</v>
      </c>
      <c r="Q249" s="53">
        <v>80111600</v>
      </c>
      <c r="R249" s="159" t="s">
        <v>213</v>
      </c>
      <c r="S249" s="159" t="str">
        <f>MID(PAA[[#This Row],[Meta Proyecto de Inversión]],1,4)</f>
        <v>8173</v>
      </c>
      <c r="T249" s="159" t="str">
        <f>MID(PAA[[#This Row],[Meta Proyecto de Inversión]],6,1)</f>
        <v>4</v>
      </c>
      <c r="U249" s="160" t="str">
        <f>IFERROR(VLOOKUP(N249,TD!$B$50:$F$54,2,0)," ")</f>
        <v>O230117</v>
      </c>
      <c r="V249" s="160" t="str">
        <f>IFERROR(VLOOKUP(N249,TD!$B$50:$F$54,3,0)," ")</f>
        <v>4503</v>
      </c>
      <c r="W249" s="160">
        <f>IFERROR(VLOOKUP(N249,TD!$B$50:$F$54,4,0)," ")</f>
        <v>20240255</v>
      </c>
      <c r="X249" s="159" t="s">
        <v>180</v>
      </c>
      <c r="Y249" s="160" t="str">
        <f>IFERROR(VLOOKUP(X249,TD!$J$51:$K$64,2,0)," ")</f>
        <v>Servicio de apoyo   logístico  en eventos operativos y/o emergencias.</v>
      </c>
      <c r="Z249" s="161" t="str">
        <f>CONCATENATE(X249,"-",Y249)</f>
        <v>12-Servicio de apoyo   logístico  en eventos operativos y/o emergencias.</v>
      </c>
      <c r="AA249" s="163" t="s">
        <v>221</v>
      </c>
      <c r="AB249" s="160" t="str">
        <f>IFERROR(VLOOKUP(AA249,TD!$N$51:$O$66,2,0)," ")</f>
        <v>Servicio de atención a emergencias y desastres</v>
      </c>
      <c r="AC249" s="161" t="str">
        <f>CONCATENATE(AA249,"_",AB249)</f>
        <v>004_Servicio de atención a emergencias y desastres</v>
      </c>
      <c r="AD249" s="161" t="str">
        <f>CONCATENATE(Z249," ",AC249)</f>
        <v>12-Servicio de apoyo   logístico  en eventos operativos y/o emergencias. 004_Servicio de atención a emergencias y desastres</v>
      </c>
      <c r="AE249" s="160" t="str">
        <f>CONCATENATE(U249,V249,W249,X249,AA249)</f>
        <v>O23011745032024025512004</v>
      </c>
      <c r="AF249" s="160" t="str">
        <f>IFERROR(VLOOKUP(AD249,TD!$J$66:$K$89,2,0)," ")</f>
        <v>PM/0131/0112/45030040255</v>
      </c>
      <c r="AG249" s="118" t="s">
        <v>385</v>
      </c>
      <c r="AH249" s="159" t="s">
        <v>193</v>
      </c>
      <c r="AI249" s="162" t="str">
        <f>CONCATENATE(PAA[[#This Row],[Id Interno]],"-",PAA[[#This Row],[tipo de Contrato (TH talento humano - B/S bienes y/o servicios)]],"-",S249,"-",T249,"-",PAA[[#This Row],[Objeto de la contratación]])</f>
        <v>20260207-TH-8173-4-Prestar servicios de apoyo técnico en asuntos administrativos, financieros, documentales y emisión de informes para el desarrollo de las estrategías de la Subdireccion Logística-SBLG</v>
      </c>
    </row>
    <row r="250" spans="2:35" ht="84" x14ac:dyDescent="0.35">
      <c r="B250" s="23">
        <v>20260208</v>
      </c>
      <c r="C250" s="99" t="s">
        <v>843</v>
      </c>
      <c r="D250" s="23" t="s">
        <v>105</v>
      </c>
      <c r="E250" s="23" t="s">
        <v>363</v>
      </c>
      <c r="F250" s="156" t="s">
        <v>144</v>
      </c>
      <c r="G250" s="157" t="s">
        <v>373</v>
      </c>
      <c r="H250" s="158">
        <v>10</v>
      </c>
      <c r="I250" s="158">
        <v>0</v>
      </c>
      <c r="J250" s="127">
        <v>68000000</v>
      </c>
      <c r="K250" s="88" t="s">
        <v>398</v>
      </c>
      <c r="L250" s="156" t="s">
        <v>157</v>
      </c>
      <c r="M250" s="159" t="s">
        <v>512</v>
      </c>
      <c r="N250" s="23" t="s">
        <v>198</v>
      </c>
      <c r="O250" s="151" t="s">
        <v>964</v>
      </c>
      <c r="P250" s="156" t="s">
        <v>348</v>
      </c>
      <c r="Q250" s="53">
        <v>80111600</v>
      </c>
      <c r="R250" s="159" t="s">
        <v>213</v>
      </c>
      <c r="S250" s="159" t="str">
        <f>MID(PAA[[#This Row],[Meta Proyecto de Inversión]],1,4)</f>
        <v>8173</v>
      </c>
      <c r="T250" s="159" t="str">
        <f>MID(PAA[[#This Row],[Meta Proyecto de Inversión]],6,1)</f>
        <v>4</v>
      </c>
      <c r="U250" s="160" t="str">
        <f>IFERROR(VLOOKUP(N250,TD!$B$50:$F$54,2,0)," ")</f>
        <v>O230117</v>
      </c>
      <c r="V250" s="160" t="str">
        <f>IFERROR(VLOOKUP(N250,TD!$B$50:$F$54,3,0)," ")</f>
        <v>4503</v>
      </c>
      <c r="W250" s="160">
        <f>IFERROR(VLOOKUP(N250,TD!$B$50:$F$54,4,0)," ")</f>
        <v>20240255</v>
      </c>
      <c r="X250" s="159" t="s">
        <v>180</v>
      </c>
      <c r="Y250" s="160" t="str">
        <f>IFERROR(VLOOKUP(X250,TD!$J$51:$K$64,2,0)," ")</f>
        <v>Servicio de apoyo   logístico  en eventos operativos y/o emergencias.</v>
      </c>
      <c r="Z250" s="161" t="str">
        <f>CONCATENATE(X250,"-",Y250)</f>
        <v>12-Servicio de apoyo   logístico  en eventos operativos y/o emergencias.</v>
      </c>
      <c r="AA250" s="159" t="s">
        <v>221</v>
      </c>
      <c r="AB250" s="160" t="str">
        <f>IFERROR(VLOOKUP(AA250,TD!$N$51:$O$66,2,0)," ")</f>
        <v>Servicio de atención a emergencias y desastres</v>
      </c>
      <c r="AC250" s="161" t="str">
        <f>CONCATENATE(AA250,"_",AB250)</f>
        <v>004_Servicio de atención a emergencias y desastres</v>
      </c>
      <c r="AD250" s="161" t="str">
        <f>CONCATENATE(Z250," ",AC250)</f>
        <v>12-Servicio de apoyo   logístico  en eventos operativos y/o emergencias. 004_Servicio de atención a emergencias y desastres</v>
      </c>
      <c r="AE250" s="160" t="str">
        <f>CONCATENATE(U250,V250,W250,X250,AA250)</f>
        <v>O23011745032024025512004</v>
      </c>
      <c r="AF250" s="160" t="str">
        <f>IFERROR(VLOOKUP(AD250,TD!$J$66:$K$89,2,0)," ")</f>
        <v>PM/0131/0112/45030040255</v>
      </c>
      <c r="AG250" s="118" t="s">
        <v>385</v>
      </c>
      <c r="AH250" s="159" t="s">
        <v>193</v>
      </c>
      <c r="AI250" s="162" t="str">
        <f>CONCATENATE(PAA[[#This Row],[Id Interno]],"-",PAA[[#This Row],[tipo de Contrato (TH talento humano - B/S bienes y/o servicios)]],"-",S250,"-",T250,"-",PAA[[#This Row],[Objeto de la contratación]])</f>
        <v>20260208-TH-8173-4-Prestar servicios profesionales para realizar el seguimiento, revisión y validación de los asuntos presupuestales, financieros y administrativos necesarios para la gestión de pagos de los contratos a cargo de la subdirección logística. - SBLG</v>
      </c>
    </row>
    <row r="251" spans="2:35" ht="84" x14ac:dyDescent="0.35">
      <c r="B251" s="23">
        <v>20260209</v>
      </c>
      <c r="C251" s="99" t="s">
        <v>538</v>
      </c>
      <c r="D251" s="23" t="s">
        <v>105</v>
      </c>
      <c r="E251" s="23" t="s">
        <v>363</v>
      </c>
      <c r="F251" s="156" t="s">
        <v>144</v>
      </c>
      <c r="G251" s="157" t="s">
        <v>373</v>
      </c>
      <c r="H251" s="158">
        <v>10</v>
      </c>
      <c r="I251" s="158">
        <v>0</v>
      </c>
      <c r="J251" s="127">
        <v>93000000</v>
      </c>
      <c r="K251" s="88" t="s">
        <v>398</v>
      </c>
      <c r="L251" s="156" t="s">
        <v>157</v>
      </c>
      <c r="M251" s="159" t="s">
        <v>512</v>
      </c>
      <c r="N251" s="23" t="s">
        <v>198</v>
      </c>
      <c r="O251" s="151" t="s">
        <v>964</v>
      </c>
      <c r="P251" s="156" t="s">
        <v>348</v>
      </c>
      <c r="Q251" s="53">
        <v>80111600</v>
      </c>
      <c r="R251" s="159" t="s">
        <v>213</v>
      </c>
      <c r="S251" s="159" t="str">
        <f>MID(PAA[[#This Row],[Meta Proyecto de Inversión]],1,4)</f>
        <v>8173</v>
      </c>
      <c r="T251" s="159" t="str">
        <f>MID(PAA[[#This Row],[Meta Proyecto de Inversión]],6,1)</f>
        <v>4</v>
      </c>
      <c r="U251" s="160" t="str">
        <f>IFERROR(VLOOKUP(N251,TD!$B$50:$F$54,2,0)," ")</f>
        <v>O230117</v>
      </c>
      <c r="V251" s="160" t="str">
        <f>IFERROR(VLOOKUP(N251,TD!$B$50:$F$54,3,0)," ")</f>
        <v>4503</v>
      </c>
      <c r="W251" s="160">
        <f>IFERROR(VLOOKUP(N251,TD!$B$50:$F$54,4,0)," ")</f>
        <v>20240255</v>
      </c>
      <c r="X251" s="159" t="s">
        <v>176</v>
      </c>
      <c r="Y251" s="160" t="str">
        <f>IFERROR(VLOOKUP(X251,TD!$J$51:$K$64,2,0)," ")</f>
        <v>Servicio de mantenimiento, dotación (HEA´s y equipo menor) y adquisición de vehiculos   especializados para la atención de emergencias.</v>
      </c>
      <c r="Z251" s="161" t="str">
        <f>CONCATENATE(X251,"-",Y251)</f>
        <v>09-Servicio de mantenimiento, dotación (HEA´s y equipo menor) y adquisición de vehiculos   especializados para la atención de emergencias.</v>
      </c>
      <c r="AA251" s="159" t="s">
        <v>221</v>
      </c>
      <c r="AB251" s="160" t="str">
        <f>IFERROR(VLOOKUP(AA251,TD!$N$51:$O$66,2,0)," ")</f>
        <v>Servicio de atención a emergencias y desastres</v>
      </c>
      <c r="AC251" s="161" t="str">
        <f>CONCATENATE(AA251,"_",AB251)</f>
        <v>004_Servicio de atención a emergencias y desastres</v>
      </c>
      <c r="AD251" s="161" t="str">
        <f>CONCATENATE(Z251," ",AC251)</f>
        <v>09-Servicio de mantenimiento, dotación (HEA´s y equipo menor) y adquisición de vehiculos   especializados para la atención de emergencias. 004_Servicio de atención a emergencias y desastres</v>
      </c>
      <c r="AE251" s="160" t="str">
        <f>CONCATENATE(U251,V251,W251,X251,AA251)</f>
        <v>O23011745032024025509004</v>
      </c>
      <c r="AF251" s="160" t="str">
        <f>IFERROR(VLOOKUP(AD251,TD!$J$66:$K$89,2,0)," ")</f>
        <v>PM/0131/0109/45030040255</v>
      </c>
      <c r="AG251" s="118" t="s">
        <v>385</v>
      </c>
      <c r="AH251" s="159" t="s">
        <v>193</v>
      </c>
      <c r="AI251" s="162" t="str">
        <f>CONCATENATE(PAA[[#This Row],[Id Interno]],"-",PAA[[#This Row],[tipo de Contrato (TH talento humano - B/S bienes y/o servicios)]],"-",S251,"-",T251,"-",PAA[[#This Row],[Objeto de la contratación]])</f>
        <v>20260209-TH-8173-4-Prestación de servicios profesionales para la gestión, seguimiento y control administrativo, técnico y operativo del proceso de mantenimiento del parque automotor a cargo de la Subdirección Logística - SBLG.</v>
      </c>
    </row>
    <row r="252" spans="2:35" ht="56" x14ac:dyDescent="0.35">
      <c r="B252" s="23">
        <v>20260210</v>
      </c>
      <c r="C252" s="99" t="s">
        <v>538</v>
      </c>
      <c r="D252" s="23" t="s">
        <v>105</v>
      </c>
      <c r="E252" s="23" t="s">
        <v>363</v>
      </c>
      <c r="F252" s="156" t="s">
        <v>144</v>
      </c>
      <c r="G252" s="157" t="s">
        <v>373</v>
      </c>
      <c r="H252" s="158">
        <v>9</v>
      </c>
      <c r="I252" s="158">
        <v>0</v>
      </c>
      <c r="J252" s="127">
        <v>72000000</v>
      </c>
      <c r="K252" s="88" t="s">
        <v>398</v>
      </c>
      <c r="L252" s="156" t="s">
        <v>157</v>
      </c>
      <c r="M252" s="159" t="s">
        <v>512</v>
      </c>
      <c r="N252" s="23" t="s">
        <v>198</v>
      </c>
      <c r="O252" s="151" t="s">
        <v>964</v>
      </c>
      <c r="P252" s="156" t="s">
        <v>348</v>
      </c>
      <c r="Q252" s="53">
        <v>80111600</v>
      </c>
      <c r="R252" s="159" t="s">
        <v>213</v>
      </c>
      <c r="S252" s="159" t="str">
        <f>MID(PAA[[#This Row],[Meta Proyecto de Inversión]],1,4)</f>
        <v>8173</v>
      </c>
      <c r="T252" s="159" t="str">
        <f>MID(PAA[[#This Row],[Meta Proyecto de Inversión]],6,1)</f>
        <v>4</v>
      </c>
      <c r="U252" s="160" t="str">
        <f>IFERROR(VLOOKUP(N252,TD!$B$50:$F$54,2,0)," ")</f>
        <v>O230117</v>
      </c>
      <c r="V252" s="160" t="str">
        <f>IFERROR(VLOOKUP(N252,TD!$B$50:$F$54,3,0)," ")</f>
        <v>4503</v>
      </c>
      <c r="W252" s="160">
        <f>IFERROR(VLOOKUP(N252,TD!$B$50:$F$54,4,0)," ")</f>
        <v>20240255</v>
      </c>
      <c r="X252" s="159" t="s">
        <v>176</v>
      </c>
      <c r="Y252" s="160" t="str">
        <f>IFERROR(VLOOKUP(X252,TD!$J$51:$K$64,2,0)," ")</f>
        <v>Servicio de mantenimiento, dotación (HEA´s y equipo menor) y adquisición de vehiculos   especializados para la atención de emergencias.</v>
      </c>
      <c r="Z252" s="161" t="str">
        <f>CONCATENATE(X252,"-",Y252)</f>
        <v>09-Servicio de mantenimiento, dotación (HEA´s y equipo menor) y adquisición de vehiculos   especializados para la atención de emergencias.</v>
      </c>
      <c r="AA252" s="159" t="s">
        <v>221</v>
      </c>
      <c r="AB252" s="160" t="str">
        <f>IFERROR(VLOOKUP(AA252,TD!$N$51:$O$66,2,0)," ")</f>
        <v>Servicio de atención a emergencias y desastres</v>
      </c>
      <c r="AC252" s="161" t="str">
        <f>CONCATENATE(AA252,"_",AB252)</f>
        <v>004_Servicio de atención a emergencias y desastres</v>
      </c>
      <c r="AD252" s="161" t="str">
        <f>CONCATENATE(Z252," ",AC252)</f>
        <v>09-Servicio de mantenimiento, dotación (HEA´s y equipo menor) y adquisición de vehiculos   especializados para la atención de emergencias. 004_Servicio de atención a emergencias y desastres</v>
      </c>
      <c r="AE252" s="160" t="str">
        <f>CONCATENATE(U252,V252,W252,X252,AA252)</f>
        <v>O23011745032024025509004</v>
      </c>
      <c r="AF252" s="160" t="str">
        <f>IFERROR(VLOOKUP(AD252,TD!$J$66:$K$89,2,0)," ")</f>
        <v>PM/0131/0109/45030040255</v>
      </c>
      <c r="AG252" s="118" t="s">
        <v>385</v>
      </c>
      <c r="AH252" s="159" t="s">
        <v>193</v>
      </c>
      <c r="AI252" s="162" t="str">
        <f>CONCATENATE(PAA[[#This Row],[Id Interno]],"-",PAA[[#This Row],[tipo de Contrato (TH talento humano - B/S bienes y/o servicios)]],"-",S252,"-",T252,"-",PAA[[#This Row],[Objeto de la contratación]])</f>
        <v>20260210-TH-8173-4-Prestación de servicios profesionales para la gestión, seguimiento y control administrativo, técnico y operativo del proceso de mantenimiento del parque automotor a cargo de la Subdirección Logística - SBLG.</v>
      </c>
    </row>
    <row r="253" spans="2:35" ht="56" x14ac:dyDescent="0.35">
      <c r="B253" s="23">
        <v>20260211</v>
      </c>
      <c r="C253" s="99" t="s">
        <v>844</v>
      </c>
      <c r="D253" s="23" t="s">
        <v>105</v>
      </c>
      <c r="E253" s="23" t="s">
        <v>363</v>
      </c>
      <c r="F253" s="156" t="s">
        <v>144</v>
      </c>
      <c r="G253" s="157" t="s">
        <v>373</v>
      </c>
      <c r="H253" s="158">
        <v>7</v>
      </c>
      <c r="I253" s="158">
        <v>0</v>
      </c>
      <c r="J253" s="127">
        <v>52500000</v>
      </c>
      <c r="K253" s="88" t="s">
        <v>398</v>
      </c>
      <c r="L253" s="156" t="s">
        <v>157</v>
      </c>
      <c r="M253" s="159" t="s">
        <v>512</v>
      </c>
      <c r="N253" s="23" t="s">
        <v>198</v>
      </c>
      <c r="O253" s="151" t="s">
        <v>964</v>
      </c>
      <c r="P253" s="156" t="s">
        <v>348</v>
      </c>
      <c r="Q253" s="53">
        <v>80111600</v>
      </c>
      <c r="R253" s="159" t="s">
        <v>213</v>
      </c>
      <c r="S253" s="159" t="str">
        <f>MID(PAA[[#This Row],[Meta Proyecto de Inversión]],1,4)</f>
        <v>8173</v>
      </c>
      <c r="T253" s="159" t="str">
        <f>MID(PAA[[#This Row],[Meta Proyecto de Inversión]],6,1)</f>
        <v>4</v>
      </c>
      <c r="U253" s="160" t="str">
        <f>IFERROR(VLOOKUP(N253,TD!$B$50:$F$54,2,0)," ")</f>
        <v>O230117</v>
      </c>
      <c r="V253" s="160" t="str">
        <f>IFERROR(VLOOKUP(N253,TD!$B$50:$F$54,3,0)," ")</f>
        <v>4503</v>
      </c>
      <c r="W253" s="160">
        <f>IFERROR(VLOOKUP(N253,TD!$B$50:$F$54,4,0)," ")</f>
        <v>20240255</v>
      </c>
      <c r="X253" s="159" t="s">
        <v>176</v>
      </c>
      <c r="Y253" s="160" t="str">
        <f>IFERROR(VLOOKUP(X253,TD!$J$51:$K$64,2,0)," ")</f>
        <v>Servicio de mantenimiento, dotación (HEA´s y equipo menor) y adquisición de vehiculos   especializados para la atención de emergencias.</v>
      </c>
      <c r="Z253" s="161" t="str">
        <f>CONCATENATE(X253,"-",Y253)</f>
        <v>09-Servicio de mantenimiento, dotación (HEA´s y equipo menor) y adquisición de vehiculos   especializados para la atención de emergencias.</v>
      </c>
      <c r="AA253" s="159" t="s">
        <v>221</v>
      </c>
      <c r="AB253" s="160" t="str">
        <f>IFERROR(VLOOKUP(AA253,TD!$N$51:$O$66,2,0)," ")</f>
        <v>Servicio de atención a emergencias y desastres</v>
      </c>
      <c r="AC253" s="161" t="str">
        <f>CONCATENATE(AA253,"_",AB253)</f>
        <v>004_Servicio de atención a emergencias y desastres</v>
      </c>
      <c r="AD253" s="161" t="str">
        <f>CONCATENATE(Z253," ",AC253)</f>
        <v>09-Servicio de mantenimiento, dotación (HEA´s y equipo menor) y adquisición de vehiculos   especializados para la atención de emergencias. 004_Servicio de atención a emergencias y desastres</v>
      </c>
      <c r="AE253" s="160" t="str">
        <f>CONCATENATE(U253,V253,W253,X253,AA253)</f>
        <v>O23011745032024025509004</v>
      </c>
      <c r="AF253" s="160" t="str">
        <f>IFERROR(VLOOKUP(AD253,TD!$J$66:$K$89,2,0)," ")</f>
        <v>PM/0131/0109/45030040255</v>
      </c>
      <c r="AG253" s="118" t="s">
        <v>385</v>
      </c>
      <c r="AH253" s="159" t="s">
        <v>193</v>
      </c>
      <c r="AI253" s="162" t="str">
        <f>CONCATENATE(PAA[[#This Row],[Id Interno]],"-",PAA[[#This Row],[tipo de Contrato (TH talento humano - B/S bienes y/o servicios)]],"-",S253,"-",T253,"-",PAA[[#This Row],[Objeto de la contratación]])</f>
        <v>20260211-TH-8173-4-Prestación de servicios profesionales en la gestión, seguimiento y control administrativo, financiero, presupuestal y contractual del proceso de mantenimiento del parque automotor a cargo de la Subdirección Logística - SBLG.</v>
      </c>
    </row>
    <row r="254" spans="2:35" ht="70" x14ac:dyDescent="0.35">
      <c r="B254" s="23">
        <v>20260212</v>
      </c>
      <c r="C254" s="99" t="s">
        <v>845</v>
      </c>
      <c r="D254" s="23" t="s">
        <v>105</v>
      </c>
      <c r="E254" s="23" t="s">
        <v>363</v>
      </c>
      <c r="F254" s="156" t="s">
        <v>144</v>
      </c>
      <c r="G254" s="157" t="s">
        <v>373</v>
      </c>
      <c r="H254" s="158">
        <v>10</v>
      </c>
      <c r="I254" s="158">
        <v>0</v>
      </c>
      <c r="J254" s="127">
        <v>80000000</v>
      </c>
      <c r="K254" s="88" t="s">
        <v>398</v>
      </c>
      <c r="L254" s="156" t="s">
        <v>157</v>
      </c>
      <c r="M254" s="159" t="s">
        <v>512</v>
      </c>
      <c r="N254" s="23" t="s">
        <v>198</v>
      </c>
      <c r="O254" s="151" t="s">
        <v>964</v>
      </c>
      <c r="P254" s="156" t="s">
        <v>348</v>
      </c>
      <c r="Q254" s="53">
        <v>80111600</v>
      </c>
      <c r="R254" s="159" t="s">
        <v>213</v>
      </c>
      <c r="S254" s="159" t="str">
        <f>MID(PAA[[#This Row],[Meta Proyecto de Inversión]],1,4)</f>
        <v>8173</v>
      </c>
      <c r="T254" s="159" t="str">
        <f>MID(PAA[[#This Row],[Meta Proyecto de Inversión]],6,1)</f>
        <v>4</v>
      </c>
      <c r="U254" s="160" t="str">
        <f>IFERROR(VLOOKUP(N254,TD!$B$50:$F$54,2,0)," ")</f>
        <v>O230117</v>
      </c>
      <c r="V254" s="160" t="str">
        <f>IFERROR(VLOOKUP(N254,TD!$B$50:$F$54,3,0)," ")</f>
        <v>4503</v>
      </c>
      <c r="W254" s="160">
        <f>IFERROR(VLOOKUP(N254,TD!$B$50:$F$54,4,0)," ")</f>
        <v>20240255</v>
      </c>
      <c r="X254" s="159" t="s">
        <v>176</v>
      </c>
      <c r="Y254" s="160" t="str">
        <f>IFERROR(VLOOKUP(X254,TD!$J$51:$K$64,2,0)," ")</f>
        <v>Servicio de mantenimiento, dotación (HEA´s y equipo menor) y adquisición de vehiculos   especializados para la atención de emergencias.</v>
      </c>
      <c r="Z254" s="161" t="str">
        <f>CONCATENATE(X254,"-",Y254)</f>
        <v>09-Servicio de mantenimiento, dotación (HEA´s y equipo menor) y adquisición de vehiculos   especializados para la atención de emergencias.</v>
      </c>
      <c r="AA254" s="159" t="s">
        <v>221</v>
      </c>
      <c r="AB254" s="160" t="str">
        <f>IFERROR(VLOOKUP(AA254,TD!$N$51:$O$66,2,0)," ")</f>
        <v>Servicio de atención a emergencias y desastres</v>
      </c>
      <c r="AC254" s="161" t="str">
        <f>CONCATENATE(AA254,"_",AB254)</f>
        <v>004_Servicio de atención a emergencias y desastres</v>
      </c>
      <c r="AD254" s="161" t="str">
        <f>CONCATENATE(Z254," ",AC254)</f>
        <v>09-Servicio de mantenimiento, dotación (HEA´s y equipo menor) y adquisición de vehiculos   especializados para la atención de emergencias. 004_Servicio de atención a emergencias y desastres</v>
      </c>
      <c r="AE254" s="160" t="str">
        <f>CONCATENATE(U254,V254,W254,X254,AA254)</f>
        <v>O23011745032024025509004</v>
      </c>
      <c r="AF254" s="160" t="str">
        <f>IFERROR(VLOOKUP(AD254,TD!$J$66:$K$89,2,0)," ")</f>
        <v>PM/0131/0109/45030040255</v>
      </c>
      <c r="AG254" s="118" t="s">
        <v>385</v>
      </c>
      <c r="AH254" s="159" t="s">
        <v>193</v>
      </c>
      <c r="AI254" s="162" t="str">
        <f>CONCATENATE(PAA[[#This Row],[Id Interno]],"-",PAA[[#This Row],[tipo de Contrato (TH talento humano - B/S bienes y/o servicios)]],"-",S254,"-",T254,"-",PAA[[#This Row],[Objeto de la contratación]])</f>
        <v>20260212-TH-8173-4-Prestación de servicios profesionales para la gestión, seguimiento y control  técnico y operativo del proceso de mantenimiento del parque automotor a cargo de la Subdirección Logística - SBLG.</v>
      </c>
    </row>
    <row r="255" spans="2:35" ht="56" x14ac:dyDescent="0.35">
      <c r="B255" s="23">
        <v>20260213</v>
      </c>
      <c r="C255" s="99" t="s">
        <v>670</v>
      </c>
      <c r="D255" s="23" t="s">
        <v>105</v>
      </c>
      <c r="E255" s="23" t="s">
        <v>363</v>
      </c>
      <c r="F255" s="156" t="s">
        <v>144</v>
      </c>
      <c r="G255" s="157" t="s">
        <v>373</v>
      </c>
      <c r="H255" s="158">
        <v>9</v>
      </c>
      <c r="I255" s="158">
        <v>0</v>
      </c>
      <c r="J255" s="127">
        <v>40500000</v>
      </c>
      <c r="K255" s="88" t="s">
        <v>398</v>
      </c>
      <c r="L255" s="156" t="s">
        <v>157</v>
      </c>
      <c r="M255" s="159" t="s">
        <v>512</v>
      </c>
      <c r="N255" s="23" t="s">
        <v>198</v>
      </c>
      <c r="O255" s="151" t="s">
        <v>964</v>
      </c>
      <c r="P255" s="156" t="s">
        <v>348</v>
      </c>
      <c r="Q255" s="53">
        <v>80111600</v>
      </c>
      <c r="R255" s="159" t="s">
        <v>213</v>
      </c>
      <c r="S255" s="159" t="str">
        <f>MID(PAA[[#This Row],[Meta Proyecto de Inversión]],1,4)</f>
        <v>8173</v>
      </c>
      <c r="T255" s="159" t="str">
        <f>MID(PAA[[#This Row],[Meta Proyecto de Inversión]],6,1)</f>
        <v>4</v>
      </c>
      <c r="U255" s="160" t="str">
        <f>IFERROR(VLOOKUP(N255,TD!$B$50:$F$54,2,0)," ")</f>
        <v>O230117</v>
      </c>
      <c r="V255" s="160" t="str">
        <f>IFERROR(VLOOKUP(N255,TD!$B$50:$F$54,3,0)," ")</f>
        <v>4503</v>
      </c>
      <c r="W255" s="160">
        <f>IFERROR(VLOOKUP(N255,TD!$B$50:$F$54,4,0)," ")</f>
        <v>20240255</v>
      </c>
      <c r="X255" s="159" t="s">
        <v>176</v>
      </c>
      <c r="Y255" s="160" t="str">
        <f>IFERROR(VLOOKUP(X255,TD!$J$51:$K$64,2,0)," ")</f>
        <v>Servicio de mantenimiento, dotación (HEA´s y equipo menor) y adquisición de vehiculos   especializados para la atención de emergencias.</v>
      </c>
      <c r="Z255" s="161" t="str">
        <f>CONCATENATE(X255,"-",Y255)</f>
        <v>09-Servicio de mantenimiento, dotación (HEA´s y equipo menor) y adquisición de vehiculos   especializados para la atención de emergencias.</v>
      </c>
      <c r="AA255" s="159" t="s">
        <v>221</v>
      </c>
      <c r="AB255" s="160" t="str">
        <f>IFERROR(VLOOKUP(AA255,TD!$N$51:$O$66,2,0)," ")</f>
        <v>Servicio de atención a emergencias y desastres</v>
      </c>
      <c r="AC255" s="161" t="str">
        <f>CONCATENATE(AA255,"_",AB255)</f>
        <v>004_Servicio de atención a emergencias y desastres</v>
      </c>
      <c r="AD255" s="161" t="str">
        <f>CONCATENATE(Z255," ",AC255)</f>
        <v>09-Servicio de mantenimiento, dotación (HEA´s y equipo menor) y adquisición de vehiculos   especializados para la atención de emergencias. 004_Servicio de atención a emergencias y desastres</v>
      </c>
      <c r="AE255" s="160" t="str">
        <f>CONCATENATE(U255,V255,W255,X255,AA255)</f>
        <v>O23011745032024025509004</v>
      </c>
      <c r="AF255" s="160" t="str">
        <f>IFERROR(VLOOKUP(AD255,TD!$J$66:$K$89,2,0)," ")</f>
        <v>PM/0131/0109/45030040255</v>
      </c>
      <c r="AG255" s="118" t="s">
        <v>385</v>
      </c>
      <c r="AH255" s="159" t="s">
        <v>193</v>
      </c>
      <c r="AI255" s="162" t="str">
        <f>CONCATENATE(PAA[[#This Row],[Id Interno]],"-",PAA[[#This Row],[tipo de Contrato (TH talento humano - B/S bienes y/o servicios)]],"-",S255,"-",T255,"-",PAA[[#This Row],[Objeto de la contratación]])</f>
        <v>20260213-TH-8173-4-Prestar servicios profesionales en las actividades administrativas y financieras que requieran los procesos para el desarrollo de las estrategías de la Subdirección Logística- SBLG</v>
      </c>
    </row>
    <row r="256" spans="2:35" ht="140" x14ac:dyDescent="0.35">
      <c r="B256" s="23">
        <v>20260214</v>
      </c>
      <c r="C256" s="99" t="s">
        <v>960</v>
      </c>
      <c r="D256" s="23" t="s">
        <v>105</v>
      </c>
      <c r="E256" s="23" t="s">
        <v>363</v>
      </c>
      <c r="F256" s="156" t="s">
        <v>145</v>
      </c>
      <c r="G256" s="157" t="s">
        <v>373</v>
      </c>
      <c r="H256" s="158">
        <v>5</v>
      </c>
      <c r="I256" s="158">
        <v>0</v>
      </c>
      <c r="J256" s="127">
        <v>16400000</v>
      </c>
      <c r="K256" s="88" t="s">
        <v>398</v>
      </c>
      <c r="L256" s="156" t="s">
        <v>157</v>
      </c>
      <c r="M256" s="159" t="s">
        <v>512</v>
      </c>
      <c r="N256" s="23" t="s">
        <v>198</v>
      </c>
      <c r="O256" s="151" t="s">
        <v>964</v>
      </c>
      <c r="P256" s="156" t="s">
        <v>348</v>
      </c>
      <c r="Q256" s="53">
        <v>80111600</v>
      </c>
      <c r="R256" s="159" t="s">
        <v>213</v>
      </c>
      <c r="S256" s="159" t="str">
        <f>MID(PAA[[#This Row],[Meta Proyecto de Inversión]],1,4)</f>
        <v>8173</v>
      </c>
      <c r="T256" s="159" t="str">
        <f>MID(PAA[[#This Row],[Meta Proyecto de Inversión]],6,1)</f>
        <v>4</v>
      </c>
      <c r="U256" s="160" t="str">
        <f>IFERROR(VLOOKUP(N256,TD!$B$50:$F$54,2,0)," ")</f>
        <v>O230117</v>
      </c>
      <c r="V256" s="160" t="str">
        <f>IFERROR(VLOOKUP(N256,TD!$B$50:$F$54,3,0)," ")</f>
        <v>4503</v>
      </c>
      <c r="W256" s="160">
        <f>IFERROR(VLOOKUP(N256,TD!$B$50:$F$54,4,0)," ")</f>
        <v>20240255</v>
      </c>
      <c r="X256" s="159" t="s">
        <v>176</v>
      </c>
      <c r="Y256" s="160" t="str">
        <f>IFERROR(VLOOKUP(X256,TD!$J$51:$K$64,2,0)," ")</f>
        <v>Servicio de mantenimiento, dotación (HEA´s y equipo menor) y adquisición de vehiculos   especializados para la atención de emergencias.</v>
      </c>
      <c r="Z256" s="161" t="str">
        <f>CONCATENATE(X256,"-",Y256)</f>
        <v>09-Servicio de mantenimiento, dotación (HEA´s y equipo menor) y adquisición de vehiculos   especializados para la atención de emergencias.</v>
      </c>
      <c r="AA256" s="159" t="s">
        <v>221</v>
      </c>
      <c r="AB256" s="160" t="str">
        <f>IFERROR(VLOOKUP(AA256,TD!$N$51:$O$66,2,0)," ")</f>
        <v>Servicio de atención a emergencias y desastres</v>
      </c>
      <c r="AC256" s="161" t="str">
        <f>CONCATENATE(AA256,"_",AB256)</f>
        <v>004_Servicio de atención a emergencias y desastres</v>
      </c>
      <c r="AD256" s="161" t="str">
        <f>CONCATENATE(Z256," ",AC256)</f>
        <v>09-Servicio de mantenimiento, dotación (HEA´s y equipo menor) y adquisición de vehiculos   especializados para la atención de emergencias. 004_Servicio de atención a emergencias y desastres</v>
      </c>
      <c r="AE256" s="160" t="str">
        <f>CONCATENATE(U256,V256,W256,X256,AA256)</f>
        <v>O23011745032024025509004</v>
      </c>
      <c r="AF256" s="160" t="str">
        <f>IFERROR(VLOOKUP(AD256,TD!$J$66:$K$89,2,0)," ")</f>
        <v>PM/0131/0109/45030040255</v>
      </c>
      <c r="AG256" s="118" t="s">
        <v>385</v>
      </c>
      <c r="AH256" s="159" t="s">
        <v>193</v>
      </c>
      <c r="AI256" s="162" t="str">
        <f>CONCATENATE(PAA[[#This Row],[Id Interno]],"-",PAA[[#This Row],[tipo de Contrato (TH talento humano - B/S bienes y/o servicios)]],"-",S256,"-",T256,"-",PAA[[#This Row],[Objeto de la contratación]])</f>
        <v>20260214-TH-8173-4-Prestar servicios de apoyo a la gestión en el manejo de las herramientas tecnológicas en la recepción diligenciamiento y trámite asociadas a la mesa logística. – SBLG</v>
      </c>
    </row>
    <row r="257" spans="2:35" ht="56" x14ac:dyDescent="0.35">
      <c r="B257" s="23">
        <v>20260215</v>
      </c>
      <c r="C257" s="99" t="s">
        <v>846</v>
      </c>
      <c r="D257" s="23" t="s">
        <v>105</v>
      </c>
      <c r="E257" s="23" t="s">
        <v>363</v>
      </c>
      <c r="F257" s="156" t="s">
        <v>145</v>
      </c>
      <c r="G257" s="157" t="s">
        <v>373</v>
      </c>
      <c r="H257" s="158">
        <v>8</v>
      </c>
      <c r="I257" s="158">
        <v>0</v>
      </c>
      <c r="J257" s="127">
        <v>28800000</v>
      </c>
      <c r="K257" s="88" t="s">
        <v>398</v>
      </c>
      <c r="L257" s="156" t="s">
        <v>157</v>
      </c>
      <c r="M257" s="159" t="s">
        <v>512</v>
      </c>
      <c r="N257" s="23" t="s">
        <v>198</v>
      </c>
      <c r="O257" s="151" t="s">
        <v>964</v>
      </c>
      <c r="P257" s="156" t="s">
        <v>348</v>
      </c>
      <c r="Q257" s="53">
        <v>80111600</v>
      </c>
      <c r="R257" s="159" t="s">
        <v>213</v>
      </c>
      <c r="S257" s="159" t="str">
        <f>MID(PAA[[#This Row],[Meta Proyecto de Inversión]],1,4)</f>
        <v>8173</v>
      </c>
      <c r="T257" s="159" t="str">
        <f>MID(PAA[[#This Row],[Meta Proyecto de Inversión]],6,1)</f>
        <v>4</v>
      </c>
      <c r="U257" s="160" t="str">
        <f>IFERROR(VLOOKUP(N257,TD!$B$50:$F$54,2,0)," ")</f>
        <v>O230117</v>
      </c>
      <c r="V257" s="160" t="str">
        <f>IFERROR(VLOOKUP(N257,TD!$B$50:$F$54,3,0)," ")</f>
        <v>4503</v>
      </c>
      <c r="W257" s="160">
        <f>IFERROR(VLOOKUP(N257,TD!$B$50:$F$54,4,0)," ")</f>
        <v>20240255</v>
      </c>
      <c r="X257" s="159" t="s">
        <v>176</v>
      </c>
      <c r="Y257" s="160" t="str">
        <f>IFERROR(VLOOKUP(X257,TD!$J$51:$K$64,2,0)," ")</f>
        <v>Servicio de mantenimiento, dotación (HEA´s y equipo menor) y adquisición de vehiculos   especializados para la atención de emergencias.</v>
      </c>
      <c r="Z257" s="161" t="str">
        <f>CONCATENATE(X257,"-",Y257)</f>
        <v>09-Servicio de mantenimiento, dotación (HEA´s y equipo menor) y adquisición de vehiculos   especializados para la atención de emergencias.</v>
      </c>
      <c r="AA257" s="159" t="s">
        <v>221</v>
      </c>
      <c r="AB257" s="160" t="str">
        <f>IFERROR(VLOOKUP(AA257,TD!$N$51:$O$66,2,0)," ")</f>
        <v>Servicio de atención a emergencias y desastres</v>
      </c>
      <c r="AC257" s="161" t="str">
        <f>CONCATENATE(AA257,"_",AB257)</f>
        <v>004_Servicio de atención a emergencias y desastres</v>
      </c>
      <c r="AD257" s="161" t="str">
        <f>CONCATENATE(Z257," ",AC257)</f>
        <v>09-Servicio de mantenimiento, dotación (HEA´s y equipo menor) y adquisición de vehiculos   especializados para la atención de emergencias. 004_Servicio de atención a emergencias y desastres</v>
      </c>
      <c r="AE257" s="160" t="str">
        <f>CONCATENATE(U257,V257,W257,X257,AA257)</f>
        <v>O23011745032024025509004</v>
      </c>
      <c r="AF257" s="160" t="str">
        <f>IFERROR(VLOOKUP(AD257,TD!$J$66:$K$89,2,0)," ")</f>
        <v>PM/0131/0109/45030040255</v>
      </c>
      <c r="AG257" s="118" t="s">
        <v>385</v>
      </c>
      <c r="AH257" s="159" t="s">
        <v>193</v>
      </c>
      <c r="AI257" s="162" t="str">
        <f>CONCATENATE(PAA[[#This Row],[Id Interno]],"-",PAA[[#This Row],[tipo de Contrato (TH talento humano - B/S bienes y/o servicios)]],"-",S257,"-",T257,"-",PAA[[#This Row],[Objeto de la contratación]])</f>
        <v>20260215-TH-8173-4-Prestar servicios de apoyo técnico en la gestión documental, administrando y diligenciando las bases de datos, y demás documentos para el desarrollo de las estrategias de la Subdirección logística. -SBLG</v>
      </c>
    </row>
    <row r="258" spans="2:35" ht="70" x14ac:dyDescent="0.35">
      <c r="B258" s="23">
        <v>20260216</v>
      </c>
      <c r="C258" s="99" t="s">
        <v>539</v>
      </c>
      <c r="D258" s="23" t="s">
        <v>105</v>
      </c>
      <c r="E258" s="23" t="s">
        <v>363</v>
      </c>
      <c r="F258" s="156" t="s">
        <v>145</v>
      </c>
      <c r="G258" s="157" t="s">
        <v>373</v>
      </c>
      <c r="H258" s="158">
        <v>9</v>
      </c>
      <c r="I258" s="158">
        <v>0</v>
      </c>
      <c r="J258" s="127">
        <v>32400000</v>
      </c>
      <c r="K258" s="88" t="s">
        <v>398</v>
      </c>
      <c r="L258" s="156" t="s">
        <v>157</v>
      </c>
      <c r="M258" s="159" t="s">
        <v>512</v>
      </c>
      <c r="N258" s="23" t="s">
        <v>198</v>
      </c>
      <c r="O258" s="151" t="s">
        <v>964</v>
      </c>
      <c r="P258" s="156" t="s">
        <v>348</v>
      </c>
      <c r="Q258" s="53">
        <v>80111600</v>
      </c>
      <c r="R258" s="159" t="s">
        <v>213</v>
      </c>
      <c r="S258" s="159" t="str">
        <f>MID(PAA[[#This Row],[Meta Proyecto de Inversión]],1,4)</f>
        <v>8173</v>
      </c>
      <c r="T258" s="159" t="str">
        <f>MID(PAA[[#This Row],[Meta Proyecto de Inversión]],6,1)</f>
        <v>4</v>
      </c>
      <c r="U258" s="160" t="str">
        <f>IFERROR(VLOOKUP(N258,TD!$B$50:$F$54,2,0)," ")</f>
        <v>O230117</v>
      </c>
      <c r="V258" s="160" t="str">
        <f>IFERROR(VLOOKUP(N258,TD!$B$50:$F$54,3,0)," ")</f>
        <v>4503</v>
      </c>
      <c r="W258" s="160">
        <f>IFERROR(VLOOKUP(N258,TD!$B$50:$F$54,4,0)," ")</f>
        <v>20240255</v>
      </c>
      <c r="X258" s="159" t="s">
        <v>176</v>
      </c>
      <c r="Y258" s="160" t="str">
        <f>IFERROR(VLOOKUP(X258,TD!$J$51:$K$64,2,0)," ")</f>
        <v>Servicio de mantenimiento, dotación (HEA´s y equipo menor) y adquisición de vehiculos   especializados para la atención de emergencias.</v>
      </c>
      <c r="Z258" s="161" t="str">
        <f>CONCATENATE(X258,"-",Y258)</f>
        <v>09-Servicio de mantenimiento, dotación (HEA´s y equipo menor) y adquisición de vehiculos   especializados para la atención de emergencias.</v>
      </c>
      <c r="AA258" s="159" t="s">
        <v>221</v>
      </c>
      <c r="AB258" s="160" t="str">
        <f>IFERROR(VLOOKUP(AA258,TD!$N$51:$O$66,2,0)," ")</f>
        <v>Servicio de atención a emergencias y desastres</v>
      </c>
      <c r="AC258" s="161" t="str">
        <f>CONCATENATE(AA258,"_",AB258)</f>
        <v>004_Servicio de atención a emergencias y desastres</v>
      </c>
      <c r="AD258" s="161" t="str">
        <f>CONCATENATE(Z258," ",AC258)</f>
        <v>09-Servicio de mantenimiento, dotación (HEA´s y equipo menor) y adquisición de vehiculos   especializados para la atención de emergencias. 004_Servicio de atención a emergencias y desastres</v>
      </c>
      <c r="AE258" s="160" t="str">
        <f>CONCATENATE(U258,V258,W258,X258,AA258)</f>
        <v>O23011745032024025509004</v>
      </c>
      <c r="AF258" s="160" t="str">
        <f>IFERROR(VLOOKUP(AD258,TD!$J$66:$K$89,2,0)," ")</f>
        <v>PM/0131/0109/45030040255</v>
      </c>
      <c r="AG258" s="118" t="s">
        <v>385</v>
      </c>
      <c r="AH258" s="159" t="s">
        <v>193</v>
      </c>
      <c r="AI258" s="162" t="str">
        <f>CONCATENATE(PAA[[#This Row],[Id Interno]],"-",PAA[[#This Row],[tipo de Contrato (TH talento humano - B/S bienes y/o servicios)]],"-",S258,"-",T258,"-",PAA[[#This Row],[Objeto de la contratación]])</f>
        <v>20260216-TH-8173-4-Prestar servicio de apoyo a la gestión para asistir a la Subdirección Logística en el seguimiento técnico y administrativo de los mantenimientos requeridos en la Subdirección Logística - SBLG</v>
      </c>
    </row>
    <row r="259" spans="2:35" ht="84" x14ac:dyDescent="0.35">
      <c r="B259" s="23">
        <v>20260217</v>
      </c>
      <c r="C259" s="99" t="s">
        <v>847</v>
      </c>
      <c r="D259" s="23" t="s">
        <v>105</v>
      </c>
      <c r="E259" s="23" t="s">
        <v>363</v>
      </c>
      <c r="F259" s="156" t="s">
        <v>144</v>
      </c>
      <c r="G259" s="157" t="s">
        <v>373</v>
      </c>
      <c r="H259" s="158">
        <v>11</v>
      </c>
      <c r="I259" s="158">
        <v>0</v>
      </c>
      <c r="J259" s="127">
        <v>99000000</v>
      </c>
      <c r="K259" s="88" t="s">
        <v>398</v>
      </c>
      <c r="L259" s="156" t="s">
        <v>157</v>
      </c>
      <c r="M259" s="159" t="s">
        <v>512</v>
      </c>
      <c r="N259" s="23" t="s">
        <v>198</v>
      </c>
      <c r="O259" s="151" t="s">
        <v>964</v>
      </c>
      <c r="P259" s="156" t="s">
        <v>161</v>
      </c>
      <c r="Q259" s="53">
        <v>80111600</v>
      </c>
      <c r="R259" s="159" t="s">
        <v>213</v>
      </c>
      <c r="S259" s="159" t="str">
        <f>MID(PAA[[#This Row],[Meta Proyecto de Inversión]],1,4)</f>
        <v>8173</v>
      </c>
      <c r="T259" s="159" t="str">
        <f>MID(PAA[[#This Row],[Meta Proyecto de Inversión]],6,1)</f>
        <v>4</v>
      </c>
      <c r="U259" s="160" t="str">
        <f>IFERROR(VLOOKUP(N259,TD!$B$50:$F$54,2,0)," ")</f>
        <v>O230117</v>
      </c>
      <c r="V259" s="160" t="str">
        <f>IFERROR(VLOOKUP(N259,TD!$B$50:$F$54,3,0)," ")</f>
        <v>4503</v>
      </c>
      <c r="W259" s="160">
        <f>IFERROR(VLOOKUP(N259,TD!$B$50:$F$54,4,0)," ")</f>
        <v>20240255</v>
      </c>
      <c r="X259" s="159" t="s">
        <v>180</v>
      </c>
      <c r="Y259" s="160" t="str">
        <f>IFERROR(VLOOKUP(X259,TD!$J$51:$K$64,2,0)," ")</f>
        <v>Servicio de apoyo   logístico  en eventos operativos y/o emergencias.</v>
      </c>
      <c r="Z259" s="161" t="str">
        <f>CONCATENATE(X259,"-",Y259)</f>
        <v>12-Servicio de apoyo   logístico  en eventos operativos y/o emergencias.</v>
      </c>
      <c r="AA259" s="159" t="s">
        <v>221</v>
      </c>
      <c r="AB259" s="160" t="str">
        <f>IFERROR(VLOOKUP(AA259,TD!$N$51:$O$66,2,0)," ")</f>
        <v>Servicio de atención a emergencias y desastres</v>
      </c>
      <c r="AC259" s="161" t="str">
        <f>CONCATENATE(AA259,"_",AB259)</f>
        <v>004_Servicio de atención a emergencias y desastres</v>
      </c>
      <c r="AD259" s="161" t="str">
        <f>CONCATENATE(Z259," ",AC259)</f>
        <v>12-Servicio de apoyo   logístico  en eventos operativos y/o emergencias. 004_Servicio de atención a emergencias y desastres</v>
      </c>
      <c r="AE259" s="160" t="str">
        <f>CONCATENATE(U259,V259,W259,X259,AA259)</f>
        <v>O23011745032024025512004</v>
      </c>
      <c r="AF259" s="160" t="str">
        <f>IFERROR(VLOOKUP(AD259,TD!$J$66:$K$89,2,0)," ")</f>
        <v>PM/0131/0112/45030040255</v>
      </c>
      <c r="AG259" s="118" t="s">
        <v>385</v>
      </c>
      <c r="AH259" s="159" t="s">
        <v>193</v>
      </c>
      <c r="AI259" s="162" t="str">
        <f>CONCATENATE(PAA[[#This Row],[Id Interno]],"-",PAA[[#This Row],[tipo de Contrato (TH talento humano - B/S bienes y/o servicios)]],"-",S259,"-",T259,"-",PAA[[#This Row],[Objeto de la contratación]])</f>
        <v>20260217-TH-8173-4-Prestar servicios profesionales en las diferentes estrategias adelantadas por la subdirección Logistica en los procesos de planeación, logísticos, administrativos y financieros que se deriven de las competencias propias del area - SBLG</v>
      </c>
    </row>
    <row r="260" spans="2:35" ht="70" x14ac:dyDescent="0.35">
      <c r="B260" s="23">
        <v>20260218</v>
      </c>
      <c r="C260" s="99" t="s">
        <v>848</v>
      </c>
      <c r="D260" s="23" t="s">
        <v>105</v>
      </c>
      <c r="E260" s="23" t="s">
        <v>363</v>
      </c>
      <c r="F260" s="156" t="s">
        <v>145</v>
      </c>
      <c r="G260" s="157" t="s">
        <v>373</v>
      </c>
      <c r="H260" s="158">
        <v>4</v>
      </c>
      <c r="I260" s="158">
        <v>0</v>
      </c>
      <c r="J260" s="127">
        <v>13120000</v>
      </c>
      <c r="K260" s="88" t="s">
        <v>398</v>
      </c>
      <c r="L260" s="156" t="s">
        <v>157</v>
      </c>
      <c r="M260" s="159" t="s">
        <v>512</v>
      </c>
      <c r="N260" s="23" t="s">
        <v>198</v>
      </c>
      <c r="O260" s="151" t="s">
        <v>964</v>
      </c>
      <c r="P260" s="156" t="s">
        <v>348</v>
      </c>
      <c r="Q260" s="53">
        <v>80111600</v>
      </c>
      <c r="R260" s="159" t="s">
        <v>213</v>
      </c>
      <c r="S260" s="159" t="str">
        <f>MID(PAA[[#This Row],[Meta Proyecto de Inversión]],1,4)</f>
        <v>8173</v>
      </c>
      <c r="T260" s="159" t="str">
        <f>MID(PAA[[#This Row],[Meta Proyecto de Inversión]],6,1)</f>
        <v>4</v>
      </c>
      <c r="U260" s="160" t="str">
        <f>IFERROR(VLOOKUP(N260,TD!$B$50:$F$54,2,0)," ")</f>
        <v>O230117</v>
      </c>
      <c r="V260" s="160" t="str">
        <f>IFERROR(VLOOKUP(N260,TD!$B$50:$F$54,3,0)," ")</f>
        <v>4503</v>
      </c>
      <c r="W260" s="160">
        <f>IFERROR(VLOOKUP(N260,TD!$B$50:$F$54,4,0)," ")</f>
        <v>20240255</v>
      </c>
      <c r="X260" s="159" t="s">
        <v>180</v>
      </c>
      <c r="Y260" s="160" t="str">
        <f>IFERROR(VLOOKUP(X260,TD!$J$51:$K$64,2,0)," ")</f>
        <v>Servicio de apoyo   logístico  en eventos operativos y/o emergencias.</v>
      </c>
      <c r="Z260" s="161" t="str">
        <f>CONCATENATE(X260,"-",Y260)</f>
        <v>12-Servicio de apoyo   logístico  en eventos operativos y/o emergencias.</v>
      </c>
      <c r="AA260" s="159" t="s">
        <v>221</v>
      </c>
      <c r="AB260" s="160" t="str">
        <f>IFERROR(VLOOKUP(AA260,TD!$N$51:$O$66,2,0)," ")</f>
        <v>Servicio de atención a emergencias y desastres</v>
      </c>
      <c r="AC260" s="161" t="str">
        <f>CONCATENATE(AA260,"_",AB260)</f>
        <v>004_Servicio de atención a emergencias y desastres</v>
      </c>
      <c r="AD260" s="161" t="str">
        <f>CONCATENATE(Z260," ",AC260)</f>
        <v>12-Servicio de apoyo   logístico  en eventos operativos y/o emergencias. 004_Servicio de atención a emergencias y desastres</v>
      </c>
      <c r="AE260" s="160" t="str">
        <f>CONCATENATE(U260,V260,W260,X260,AA260)</f>
        <v>O23011745032024025512004</v>
      </c>
      <c r="AF260" s="160" t="str">
        <f>IFERROR(VLOOKUP(AD260,TD!$J$66:$K$89,2,0)," ")</f>
        <v>PM/0131/0112/45030040255</v>
      </c>
      <c r="AG260" s="118" t="s">
        <v>385</v>
      </c>
      <c r="AH260" s="159" t="s">
        <v>193</v>
      </c>
      <c r="AI260" s="162" t="str">
        <f>CONCATENATE(PAA[[#This Row],[Id Interno]],"-",PAA[[#This Row],[tipo de Contrato (TH talento humano - B/S bienes y/o servicios)]],"-",S260,"-",T260,"-",PAA[[#This Row],[Objeto de la contratación]])</f>
        <v>20260218-TH-8173-4-Prestar servicios de apoyo a la gestión en actividades administrativas y documentales para el desarrollo de las estrategías de la Subdirección Logística - SBLG</v>
      </c>
    </row>
    <row r="261" spans="2:35" ht="84" x14ac:dyDescent="0.35">
      <c r="B261" s="23">
        <v>20260219</v>
      </c>
      <c r="C261" s="99" t="s">
        <v>849</v>
      </c>
      <c r="D261" s="23" t="s">
        <v>105</v>
      </c>
      <c r="E261" s="23" t="s">
        <v>363</v>
      </c>
      <c r="F261" s="156" t="s">
        <v>144</v>
      </c>
      <c r="G261" s="157" t="s">
        <v>373</v>
      </c>
      <c r="H261" s="158">
        <v>8</v>
      </c>
      <c r="I261" s="158">
        <v>0</v>
      </c>
      <c r="J261" s="127">
        <v>36000000</v>
      </c>
      <c r="K261" s="88" t="s">
        <v>398</v>
      </c>
      <c r="L261" s="156" t="s">
        <v>157</v>
      </c>
      <c r="M261" s="159" t="s">
        <v>512</v>
      </c>
      <c r="N261" s="23" t="s">
        <v>198</v>
      </c>
      <c r="O261" s="151" t="s">
        <v>964</v>
      </c>
      <c r="P261" s="156" t="s">
        <v>348</v>
      </c>
      <c r="Q261" s="53">
        <v>80111600</v>
      </c>
      <c r="R261" s="159" t="s">
        <v>213</v>
      </c>
      <c r="S261" s="159" t="str">
        <f>MID(PAA[[#This Row],[Meta Proyecto de Inversión]],1,4)</f>
        <v>8173</v>
      </c>
      <c r="T261" s="159" t="str">
        <f>MID(PAA[[#This Row],[Meta Proyecto de Inversión]],6,1)</f>
        <v>4</v>
      </c>
      <c r="U261" s="160" t="str">
        <f>IFERROR(VLOOKUP(N261,TD!$B$50:$F$54,2,0)," ")</f>
        <v>O230117</v>
      </c>
      <c r="V261" s="160" t="str">
        <f>IFERROR(VLOOKUP(N261,TD!$B$50:$F$54,3,0)," ")</f>
        <v>4503</v>
      </c>
      <c r="W261" s="160">
        <f>IFERROR(VLOOKUP(N261,TD!$B$50:$F$54,4,0)," ")</f>
        <v>20240255</v>
      </c>
      <c r="X261" s="159" t="s">
        <v>180</v>
      </c>
      <c r="Y261" s="160" t="str">
        <f>IFERROR(VLOOKUP(X261,TD!$J$51:$K$64,2,0)," ")</f>
        <v>Servicio de apoyo   logístico  en eventos operativos y/o emergencias.</v>
      </c>
      <c r="Z261" s="161" t="str">
        <f>CONCATENATE(X261,"-",Y261)</f>
        <v>12-Servicio de apoyo   logístico  en eventos operativos y/o emergencias.</v>
      </c>
      <c r="AA261" s="159" t="s">
        <v>221</v>
      </c>
      <c r="AB261" s="160" t="str">
        <f>IFERROR(VLOOKUP(AA261,TD!$N$51:$O$66,2,0)," ")</f>
        <v>Servicio de atención a emergencias y desastres</v>
      </c>
      <c r="AC261" s="161" t="str">
        <f>CONCATENATE(AA261,"_",AB261)</f>
        <v>004_Servicio de atención a emergencias y desastres</v>
      </c>
      <c r="AD261" s="161" t="str">
        <f>CONCATENATE(Z261," ",AC261)</f>
        <v>12-Servicio de apoyo   logístico  en eventos operativos y/o emergencias. 004_Servicio de atención a emergencias y desastres</v>
      </c>
      <c r="AE261" s="160" t="str">
        <f>CONCATENATE(U261,V261,W261,X261,AA261)</f>
        <v>O23011745032024025512004</v>
      </c>
      <c r="AF261" s="160" t="str">
        <f>IFERROR(VLOOKUP(AD261,TD!$J$66:$K$89,2,0)," ")</f>
        <v>PM/0131/0112/45030040255</v>
      </c>
      <c r="AG261" s="118" t="s">
        <v>385</v>
      </c>
      <c r="AH261" s="159" t="s">
        <v>193</v>
      </c>
      <c r="AI261" s="162" t="str">
        <f>CONCATENATE(PAA[[#This Row],[Id Interno]],"-",PAA[[#This Row],[tipo de Contrato (TH talento humano - B/S bienes y/o servicios)]],"-",S261,"-",T261,"-",PAA[[#This Row],[Objeto de la contratación]])</f>
        <v>20260219-TH-8173-4-Prestar servicios profesionales de caracter tecnologico apoyando la estructuración, elaboración, manejo y optimización de las herramientas tecnológicas a cargo de la Subdirección Logística – SBLG.</v>
      </c>
    </row>
    <row r="262" spans="2:35" ht="84" x14ac:dyDescent="0.35">
      <c r="B262" s="23">
        <v>20260221</v>
      </c>
      <c r="C262" s="99" t="s">
        <v>850</v>
      </c>
      <c r="D262" s="23" t="s">
        <v>105</v>
      </c>
      <c r="E262" s="23" t="s">
        <v>363</v>
      </c>
      <c r="F262" s="156" t="s">
        <v>145</v>
      </c>
      <c r="G262" s="157" t="s">
        <v>373</v>
      </c>
      <c r="H262" s="158">
        <v>8</v>
      </c>
      <c r="I262" s="158">
        <v>0</v>
      </c>
      <c r="J262" s="127">
        <v>28000000</v>
      </c>
      <c r="K262" s="88" t="s">
        <v>398</v>
      </c>
      <c r="L262" s="156" t="s">
        <v>157</v>
      </c>
      <c r="M262" s="159" t="s">
        <v>512</v>
      </c>
      <c r="N262" s="23" t="s">
        <v>198</v>
      </c>
      <c r="O262" s="151" t="s">
        <v>964</v>
      </c>
      <c r="P262" s="156" t="s">
        <v>348</v>
      </c>
      <c r="Q262" s="53">
        <v>80111600</v>
      </c>
      <c r="R262" s="159" t="s">
        <v>213</v>
      </c>
      <c r="S262" s="159" t="str">
        <f>MID(PAA[[#This Row],[Meta Proyecto de Inversión]],1,4)</f>
        <v>8173</v>
      </c>
      <c r="T262" s="159" t="str">
        <f>MID(PAA[[#This Row],[Meta Proyecto de Inversión]],6,1)</f>
        <v>4</v>
      </c>
      <c r="U262" s="160" t="str">
        <f>IFERROR(VLOOKUP(N262,TD!$B$50:$F$54,2,0)," ")</f>
        <v>O230117</v>
      </c>
      <c r="V262" s="160" t="str">
        <f>IFERROR(VLOOKUP(N262,TD!$B$50:$F$54,3,0)," ")</f>
        <v>4503</v>
      </c>
      <c r="W262" s="160">
        <f>IFERROR(VLOOKUP(N262,TD!$B$50:$F$54,4,0)," ")</f>
        <v>20240255</v>
      </c>
      <c r="X262" s="159" t="s">
        <v>180</v>
      </c>
      <c r="Y262" s="160" t="str">
        <f>IFERROR(VLOOKUP(X262,TD!$J$51:$K$64,2,0)," ")</f>
        <v>Servicio de apoyo   logístico  en eventos operativos y/o emergencias.</v>
      </c>
      <c r="Z262" s="161" t="str">
        <f>CONCATENATE(X262,"-",Y262)</f>
        <v>12-Servicio de apoyo   logístico  en eventos operativos y/o emergencias.</v>
      </c>
      <c r="AA262" s="159" t="s">
        <v>221</v>
      </c>
      <c r="AB262" s="160" t="str">
        <f>IFERROR(VLOOKUP(AA262,TD!$N$51:$O$66,2,0)," ")</f>
        <v>Servicio de atención a emergencias y desastres</v>
      </c>
      <c r="AC262" s="161" t="str">
        <f>CONCATENATE(AA262,"_",AB262)</f>
        <v>004_Servicio de atención a emergencias y desastres</v>
      </c>
      <c r="AD262" s="161" t="str">
        <f>CONCATENATE(Z262," ",AC262)</f>
        <v>12-Servicio de apoyo   logístico  en eventos operativos y/o emergencias. 004_Servicio de atención a emergencias y desastres</v>
      </c>
      <c r="AE262" s="160" t="str">
        <f>CONCATENATE(U262,V262,W262,X262,AA262)</f>
        <v>O23011745032024025512004</v>
      </c>
      <c r="AF262" s="160" t="str">
        <f>IFERROR(VLOOKUP(AD262,TD!$J$66:$K$89,2,0)," ")</f>
        <v>PM/0131/0112/45030040255</v>
      </c>
      <c r="AG262" s="118" t="s">
        <v>385</v>
      </c>
      <c r="AH262" s="159" t="s">
        <v>193</v>
      </c>
      <c r="AI262" s="162" t="str">
        <f>CONCATENATE(PAA[[#This Row],[Id Interno]],"-",PAA[[#This Row],[tipo de Contrato (TH talento humano - B/S bienes y/o servicios)]],"-",S262,"-",T262,"-",PAA[[#This Row],[Objeto de la contratación]])</f>
        <v>20260221-TH-8173-4-Prestar servicios como conductor para apoyar en la gestiónes tecnicas y operativas para la Subdirección Logistica- SBLG.</v>
      </c>
    </row>
    <row r="263" spans="2:35" ht="84" x14ac:dyDescent="0.35">
      <c r="B263" s="23">
        <v>20260222</v>
      </c>
      <c r="C263" s="99" t="s">
        <v>851</v>
      </c>
      <c r="D263" s="23" t="s">
        <v>105</v>
      </c>
      <c r="E263" s="23" t="s">
        <v>363</v>
      </c>
      <c r="F263" s="156" t="s">
        <v>144</v>
      </c>
      <c r="G263" s="157" t="s">
        <v>373</v>
      </c>
      <c r="H263" s="158">
        <v>10</v>
      </c>
      <c r="I263" s="158">
        <v>0</v>
      </c>
      <c r="J263" s="127">
        <v>55000000</v>
      </c>
      <c r="K263" s="88" t="s">
        <v>398</v>
      </c>
      <c r="L263" s="156" t="s">
        <v>157</v>
      </c>
      <c r="M263" s="159" t="s">
        <v>512</v>
      </c>
      <c r="N263" s="23" t="s">
        <v>198</v>
      </c>
      <c r="O263" s="151" t="s">
        <v>964</v>
      </c>
      <c r="P263" s="156" t="s">
        <v>348</v>
      </c>
      <c r="Q263" s="53">
        <v>80111600</v>
      </c>
      <c r="R263" s="159" t="s">
        <v>213</v>
      </c>
      <c r="S263" s="159" t="str">
        <f>MID(PAA[[#This Row],[Meta Proyecto de Inversión]],1,4)</f>
        <v>8173</v>
      </c>
      <c r="T263" s="159" t="str">
        <f>MID(PAA[[#This Row],[Meta Proyecto de Inversión]],6,1)</f>
        <v>4</v>
      </c>
      <c r="U263" s="160" t="str">
        <f>IFERROR(VLOOKUP(N263,TD!$B$50:$F$54,2,0)," ")</f>
        <v>O230117</v>
      </c>
      <c r="V263" s="160" t="str">
        <f>IFERROR(VLOOKUP(N263,TD!$B$50:$F$54,3,0)," ")</f>
        <v>4503</v>
      </c>
      <c r="W263" s="160">
        <f>IFERROR(VLOOKUP(N263,TD!$B$50:$F$54,4,0)," ")</f>
        <v>20240255</v>
      </c>
      <c r="X263" s="159" t="s">
        <v>180</v>
      </c>
      <c r="Y263" s="160" t="str">
        <f>IFERROR(VLOOKUP(X263,TD!$J$51:$K$64,2,0)," ")</f>
        <v>Servicio de apoyo   logístico  en eventos operativos y/o emergencias.</v>
      </c>
      <c r="Z263" s="161" t="str">
        <f>CONCATENATE(X263,"-",Y263)</f>
        <v>12-Servicio de apoyo   logístico  en eventos operativos y/o emergencias.</v>
      </c>
      <c r="AA263" s="159" t="s">
        <v>221</v>
      </c>
      <c r="AB263" s="160" t="str">
        <f>IFERROR(VLOOKUP(AA263,TD!$N$51:$O$66,2,0)," ")</f>
        <v>Servicio de atención a emergencias y desastres</v>
      </c>
      <c r="AC263" s="161" t="str">
        <f>CONCATENATE(AA263,"_",AB263)</f>
        <v>004_Servicio de atención a emergencias y desastres</v>
      </c>
      <c r="AD263" s="161" t="str">
        <f>CONCATENATE(Z263," ",AC263)</f>
        <v>12-Servicio de apoyo   logístico  en eventos operativos y/o emergencias. 004_Servicio de atención a emergencias y desastres</v>
      </c>
      <c r="AE263" s="160" t="str">
        <f>CONCATENATE(U263,V263,W263,X263,AA263)</f>
        <v>O23011745032024025512004</v>
      </c>
      <c r="AF263" s="160" t="str">
        <f>IFERROR(VLOOKUP(AD263,TD!$J$66:$K$89,2,0)," ")</f>
        <v>PM/0131/0112/45030040255</v>
      </c>
      <c r="AG263" s="118" t="s">
        <v>385</v>
      </c>
      <c r="AH263" s="159" t="s">
        <v>193</v>
      </c>
      <c r="AI263" s="162" t="str">
        <f>CONCATENATE(PAA[[#This Row],[Id Interno]],"-",PAA[[#This Row],[tipo de Contrato (TH talento humano - B/S bienes y/o servicios)]],"-",S263,"-",T263,"-",PAA[[#This Row],[Objeto de la contratación]])</f>
        <v>20260222-TH-8173-4-Prestar servicios profesionales de manera articulada en la gestión, seguimiento y control de los procedimientos, lineamientos ambientales y de SST de los procesos, así como del sistema de Gestión de Calidad para el desarrollo de las estrategías de la Subdirección Logística – SBGL</v>
      </c>
    </row>
    <row r="264" spans="2:35" ht="112" x14ac:dyDescent="0.35">
      <c r="B264" s="23">
        <v>20260223</v>
      </c>
      <c r="C264" s="99" t="s">
        <v>852</v>
      </c>
      <c r="D264" s="23" t="s">
        <v>105</v>
      </c>
      <c r="E264" s="23" t="s">
        <v>363</v>
      </c>
      <c r="F264" s="156" t="s">
        <v>144</v>
      </c>
      <c r="G264" s="157" t="s">
        <v>373</v>
      </c>
      <c r="H264" s="158">
        <v>6</v>
      </c>
      <c r="I264" s="158">
        <v>0</v>
      </c>
      <c r="J264" s="127">
        <v>33000000</v>
      </c>
      <c r="K264" s="88" t="s">
        <v>398</v>
      </c>
      <c r="L264" s="156" t="s">
        <v>157</v>
      </c>
      <c r="M264" s="159" t="s">
        <v>512</v>
      </c>
      <c r="N264" s="23" t="s">
        <v>198</v>
      </c>
      <c r="O264" s="151" t="s">
        <v>964</v>
      </c>
      <c r="P264" s="156" t="s">
        <v>348</v>
      </c>
      <c r="Q264" s="53">
        <v>80111600</v>
      </c>
      <c r="R264" s="159" t="s">
        <v>213</v>
      </c>
      <c r="S264" s="159" t="str">
        <f>MID(PAA[[#This Row],[Meta Proyecto de Inversión]],1,4)</f>
        <v>8173</v>
      </c>
      <c r="T264" s="159" t="str">
        <f>MID(PAA[[#This Row],[Meta Proyecto de Inversión]],6,1)</f>
        <v>4</v>
      </c>
      <c r="U264" s="160" t="str">
        <f>IFERROR(VLOOKUP(N264,TD!$B$50:$F$54,2,0)," ")</f>
        <v>O230117</v>
      </c>
      <c r="V264" s="160" t="str">
        <f>IFERROR(VLOOKUP(N264,TD!$B$50:$F$54,3,0)," ")</f>
        <v>4503</v>
      </c>
      <c r="W264" s="160">
        <f>IFERROR(VLOOKUP(N264,TD!$B$50:$F$54,4,0)," ")</f>
        <v>20240255</v>
      </c>
      <c r="X264" s="159" t="s">
        <v>180</v>
      </c>
      <c r="Y264" s="160" t="str">
        <f>IFERROR(VLOOKUP(X264,TD!$J$51:$K$64,2,0)," ")</f>
        <v>Servicio de apoyo   logístico  en eventos operativos y/o emergencias.</v>
      </c>
      <c r="Z264" s="161" t="str">
        <f>CONCATENATE(X264,"-",Y264)</f>
        <v>12-Servicio de apoyo   logístico  en eventos operativos y/o emergencias.</v>
      </c>
      <c r="AA264" s="159" t="s">
        <v>221</v>
      </c>
      <c r="AB264" s="160" t="str">
        <f>IFERROR(VLOOKUP(AA264,TD!$N$51:$O$66,2,0)," ")</f>
        <v>Servicio de atención a emergencias y desastres</v>
      </c>
      <c r="AC264" s="161" t="str">
        <f>CONCATENATE(AA264,"_",AB264)</f>
        <v>004_Servicio de atención a emergencias y desastres</v>
      </c>
      <c r="AD264" s="161" t="str">
        <f>CONCATENATE(Z264," ",AC264)</f>
        <v>12-Servicio de apoyo   logístico  en eventos operativos y/o emergencias. 004_Servicio de atención a emergencias y desastres</v>
      </c>
      <c r="AE264" s="160" t="str">
        <f>CONCATENATE(U264,V264,W264,X264,AA264)</f>
        <v>O23011745032024025512004</v>
      </c>
      <c r="AF264" s="160" t="str">
        <f>IFERROR(VLOOKUP(AD264,TD!$J$66:$K$89,2,0)," ")</f>
        <v>PM/0131/0112/45030040255</v>
      </c>
      <c r="AG264" s="118" t="s">
        <v>385</v>
      </c>
      <c r="AH264" s="159" t="s">
        <v>193</v>
      </c>
      <c r="AI264" s="162" t="str">
        <f>CONCATENATE(PAA[[#This Row],[Id Interno]],"-",PAA[[#This Row],[tipo de Contrato (TH talento humano - B/S bienes y/o servicios)]],"-",S264,"-",T264,"-",PAA[[#This Row],[Objeto de la contratación]])</f>
        <v>20260223-TH-8173-4-Prestar servicios profesionales para apoyar en las actividades administrativas y tecnicas de los elementos e inventario a cargo Subdirección Logistica  – SBLG.</v>
      </c>
    </row>
    <row r="265" spans="2:35" ht="84" x14ac:dyDescent="0.35">
      <c r="B265" s="23">
        <v>20260224</v>
      </c>
      <c r="C265" s="99" t="s">
        <v>671</v>
      </c>
      <c r="D265" s="23" t="s">
        <v>105</v>
      </c>
      <c r="E265" s="23" t="s">
        <v>363</v>
      </c>
      <c r="F265" s="156" t="s">
        <v>144</v>
      </c>
      <c r="G265" s="157" t="s">
        <v>373</v>
      </c>
      <c r="H265" s="158">
        <v>9</v>
      </c>
      <c r="I265" s="158">
        <v>0</v>
      </c>
      <c r="J265" s="127">
        <v>45000000</v>
      </c>
      <c r="K265" s="88" t="s">
        <v>398</v>
      </c>
      <c r="L265" s="156" t="s">
        <v>157</v>
      </c>
      <c r="M265" s="159" t="s">
        <v>512</v>
      </c>
      <c r="N265" s="23" t="s">
        <v>198</v>
      </c>
      <c r="O265" s="151" t="s">
        <v>964</v>
      </c>
      <c r="P265" s="156" t="s">
        <v>348</v>
      </c>
      <c r="Q265" s="53">
        <v>80111600</v>
      </c>
      <c r="R265" s="159" t="s">
        <v>213</v>
      </c>
      <c r="S265" s="159" t="str">
        <f>MID(PAA[[#This Row],[Meta Proyecto de Inversión]],1,4)</f>
        <v>8173</v>
      </c>
      <c r="T265" s="159" t="str">
        <f>MID(PAA[[#This Row],[Meta Proyecto de Inversión]],6,1)</f>
        <v>4</v>
      </c>
      <c r="U265" s="160" t="str">
        <f>IFERROR(VLOOKUP(N265,TD!$B$50:$F$54,2,0)," ")</f>
        <v>O230117</v>
      </c>
      <c r="V265" s="160" t="str">
        <f>IFERROR(VLOOKUP(N265,TD!$B$50:$F$54,3,0)," ")</f>
        <v>4503</v>
      </c>
      <c r="W265" s="160">
        <f>IFERROR(VLOOKUP(N265,TD!$B$50:$F$54,4,0)," ")</f>
        <v>20240255</v>
      </c>
      <c r="X265" s="159" t="s">
        <v>180</v>
      </c>
      <c r="Y265" s="160" t="str">
        <f>IFERROR(VLOOKUP(X265,TD!$J$51:$K$64,2,0)," ")</f>
        <v>Servicio de apoyo   logístico  en eventos operativos y/o emergencias.</v>
      </c>
      <c r="Z265" s="161" t="str">
        <f>CONCATENATE(X265,"-",Y265)</f>
        <v>12-Servicio de apoyo   logístico  en eventos operativos y/o emergencias.</v>
      </c>
      <c r="AA265" s="159" t="s">
        <v>221</v>
      </c>
      <c r="AB265" s="160" t="str">
        <f>IFERROR(VLOOKUP(AA265,TD!$N$51:$O$66,2,0)," ")</f>
        <v>Servicio de atención a emergencias y desastres</v>
      </c>
      <c r="AC265" s="161" t="str">
        <f>CONCATENATE(AA265,"_",AB265)</f>
        <v>004_Servicio de atención a emergencias y desastres</v>
      </c>
      <c r="AD265" s="161" t="str">
        <f>CONCATENATE(Z265," ",AC265)</f>
        <v>12-Servicio de apoyo   logístico  en eventos operativos y/o emergencias. 004_Servicio de atención a emergencias y desastres</v>
      </c>
      <c r="AE265" s="160" t="str">
        <f>CONCATENATE(U265,V265,W265,X265,AA265)</f>
        <v>O23011745032024025512004</v>
      </c>
      <c r="AF265" s="160" t="str">
        <f>IFERROR(VLOOKUP(AD265,TD!$J$66:$K$89,2,0)," ")</f>
        <v>PM/0131/0112/45030040255</v>
      </c>
      <c r="AG265" s="118" t="s">
        <v>385</v>
      </c>
      <c r="AH265" s="159" t="s">
        <v>193</v>
      </c>
      <c r="AI265" s="162" t="str">
        <f>CONCATENATE(PAA[[#This Row],[Id Interno]],"-",PAA[[#This Row],[tipo de Contrato (TH talento humano - B/S bienes y/o servicios)]],"-",S265,"-",T265,"-",PAA[[#This Row],[Objeto de la contratación]])</f>
        <v>20260224-TH-8173-4-Prestar servicios profesionales para la gestión del Plan Estratégico de Seguridad Vial (PESV), participación en el comité correspondiente y el desarrollo de programas y actividades asignadas para el desarrollo de las estrategías de la Subdirección Logística SBLG.</v>
      </c>
    </row>
    <row r="266" spans="2:35" ht="84" x14ac:dyDescent="0.35">
      <c r="B266" s="23">
        <v>20260225</v>
      </c>
      <c r="C266" s="99" t="s">
        <v>672</v>
      </c>
      <c r="D266" s="23" t="s">
        <v>105</v>
      </c>
      <c r="E266" s="23" t="s">
        <v>363</v>
      </c>
      <c r="F266" s="156" t="s">
        <v>145</v>
      </c>
      <c r="G266" s="157" t="s">
        <v>373</v>
      </c>
      <c r="H266" s="158">
        <v>9</v>
      </c>
      <c r="I266" s="158">
        <v>0</v>
      </c>
      <c r="J266" s="127">
        <v>29565000</v>
      </c>
      <c r="K266" s="88" t="s">
        <v>398</v>
      </c>
      <c r="L266" s="156" t="s">
        <v>157</v>
      </c>
      <c r="M266" s="159" t="s">
        <v>512</v>
      </c>
      <c r="N266" s="23" t="s">
        <v>198</v>
      </c>
      <c r="O266" s="151" t="s">
        <v>964</v>
      </c>
      <c r="P266" s="156" t="s">
        <v>348</v>
      </c>
      <c r="Q266" s="53">
        <v>80111600</v>
      </c>
      <c r="R266" s="159" t="s">
        <v>213</v>
      </c>
      <c r="S266" s="159" t="str">
        <f>MID(PAA[[#This Row],[Meta Proyecto de Inversión]],1,4)</f>
        <v>8173</v>
      </c>
      <c r="T266" s="159" t="str">
        <f>MID(PAA[[#This Row],[Meta Proyecto de Inversión]],6,1)</f>
        <v>4</v>
      </c>
      <c r="U266" s="160" t="str">
        <f>IFERROR(VLOOKUP(N266,TD!$B$50:$F$54,2,0)," ")</f>
        <v>O230117</v>
      </c>
      <c r="V266" s="160" t="str">
        <f>IFERROR(VLOOKUP(N266,TD!$B$50:$F$54,3,0)," ")</f>
        <v>4503</v>
      </c>
      <c r="W266" s="160">
        <f>IFERROR(VLOOKUP(N266,TD!$B$50:$F$54,4,0)," ")</f>
        <v>20240255</v>
      </c>
      <c r="X266" s="159" t="s">
        <v>180</v>
      </c>
      <c r="Y266" s="160" t="str">
        <f>IFERROR(VLOOKUP(X266,TD!$J$51:$K$64,2,0)," ")</f>
        <v>Servicio de apoyo   logístico  en eventos operativos y/o emergencias.</v>
      </c>
      <c r="Z266" s="161" t="str">
        <f>CONCATENATE(X266,"-",Y266)</f>
        <v>12-Servicio de apoyo   logístico  en eventos operativos y/o emergencias.</v>
      </c>
      <c r="AA266" s="159" t="s">
        <v>221</v>
      </c>
      <c r="AB266" s="160" t="str">
        <f>IFERROR(VLOOKUP(AA266,TD!$N$51:$O$66,2,0)," ")</f>
        <v>Servicio de atención a emergencias y desastres</v>
      </c>
      <c r="AC266" s="161" t="str">
        <f>CONCATENATE(AA266,"_",AB266)</f>
        <v>004_Servicio de atención a emergencias y desastres</v>
      </c>
      <c r="AD266" s="161" t="str">
        <f>CONCATENATE(Z266," ",AC266)</f>
        <v>12-Servicio de apoyo   logístico  en eventos operativos y/o emergencias. 004_Servicio de atención a emergencias y desastres</v>
      </c>
      <c r="AE266" s="160" t="str">
        <f>CONCATENATE(U266,V266,W266,X266,AA266)</f>
        <v>O23011745032024025512004</v>
      </c>
      <c r="AF266" s="160" t="str">
        <f>IFERROR(VLOOKUP(AD266,TD!$J$66:$K$89,2,0)," ")</f>
        <v>PM/0131/0112/45030040255</v>
      </c>
      <c r="AG266" s="118" t="s">
        <v>385</v>
      </c>
      <c r="AH266" s="159" t="s">
        <v>193</v>
      </c>
      <c r="AI266" s="162" t="str">
        <f>CONCATENATE(PAA[[#This Row],[Id Interno]],"-",PAA[[#This Row],[tipo de Contrato (TH talento humano - B/S bienes y/o servicios)]],"-",S266,"-",T266,"-",PAA[[#This Row],[Objeto de la contratación]])</f>
        <v>20260225-TH-8173-4-Prestar servicios de apoyo a la gestión en las actividades de soporte operacional para el desarrollo de las estrategías de la Subdirección Logística. SBLG</v>
      </c>
    </row>
    <row r="267" spans="2:35" ht="84" x14ac:dyDescent="0.35">
      <c r="B267" s="23">
        <v>20260226</v>
      </c>
      <c r="C267" s="99" t="s">
        <v>672</v>
      </c>
      <c r="D267" s="23" t="s">
        <v>105</v>
      </c>
      <c r="E267" s="23" t="s">
        <v>363</v>
      </c>
      <c r="F267" s="156" t="s">
        <v>145</v>
      </c>
      <c r="G267" s="157" t="s">
        <v>373</v>
      </c>
      <c r="H267" s="158">
        <v>10</v>
      </c>
      <c r="I267" s="158">
        <v>0</v>
      </c>
      <c r="J267" s="127">
        <v>32800000</v>
      </c>
      <c r="K267" s="88" t="s">
        <v>398</v>
      </c>
      <c r="L267" s="156" t="s">
        <v>157</v>
      </c>
      <c r="M267" s="159" t="s">
        <v>512</v>
      </c>
      <c r="N267" s="23" t="s">
        <v>198</v>
      </c>
      <c r="O267" s="151" t="s">
        <v>964</v>
      </c>
      <c r="P267" s="156" t="s">
        <v>348</v>
      </c>
      <c r="Q267" s="53">
        <v>80111600</v>
      </c>
      <c r="R267" s="159" t="s">
        <v>213</v>
      </c>
      <c r="S267" s="159" t="str">
        <f>MID(PAA[[#This Row],[Meta Proyecto de Inversión]],1,4)</f>
        <v>8173</v>
      </c>
      <c r="T267" s="159" t="str">
        <f>MID(PAA[[#This Row],[Meta Proyecto de Inversión]],6,1)</f>
        <v>4</v>
      </c>
      <c r="U267" s="160" t="str">
        <f>IFERROR(VLOOKUP(N267,TD!$B$50:$F$54,2,0)," ")</f>
        <v>O230117</v>
      </c>
      <c r="V267" s="160" t="str">
        <f>IFERROR(VLOOKUP(N267,TD!$B$50:$F$54,3,0)," ")</f>
        <v>4503</v>
      </c>
      <c r="W267" s="160">
        <f>IFERROR(VLOOKUP(N267,TD!$B$50:$F$54,4,0)," ")</f>
        <v>20240255</v>
      </c>
      <c r="X267" s="159" t="s">
        <v>180</v>
      </c>
      <c r="Y267" s="160" t="str">
        <f>IFERROR(VLOOKUP(X267,TD!$J$51:$K$64,2,0)," ")</f>
        <v>Servicio de apoyo   logístico  en eventos operativos y/o emergencias.</v>
      </c>
      <c r="Z267" s="161" t="str">
        <f>CONCATENATE(X267,"-",Y267)</f>
        <v>12-Servicio de apoyo   logístico  en eventos operativos y/o emergencias.</v>
      </c>
      <c r="AA267" s="159" t="s">
        <v>221</v>
      </c>
      <c r="AB267" s="160" t="str">
        <f>IFERROR(VLOOKUP(AA267,TD!$N$51:$O$66,2,0)," ")</f>
        <v>Servicio de atención a emergencias y desastres</v>
      </c>
      <c r="AC267" s="161" t="str">
        <f>CONCATENATE(AA267,"_",AB267)</f>
        <v>004_Servicio de atención a emergencias y desastres</v>
      </c>
      <c r="AD267" s="161" t="str">
        <f>CONCATENATE(Z267," ",AC267)</f>
        <v>12-Servicio de apoyo   logístico  en eventos operativos y/o emergencias. 004_Servicio de atención a emergencias y desastres</v>
      </c>
      <c r="AE267" s="160" t="str">
        <f>CONCATENATE(U267,V267,W267,X267,AA267)</f>
        <v>O23011745032024025512004</v>
      </c>
      <c r="AF267" s="160" t="str">
        <f>IFERROR(VLOOKUP(AD267,TD!$J$66:$K$89,2,0)," ")</f>
        <v>PM/0131/0112/45030040255</v>
      </c>
      <c r="AG267" s="118" t="s">
        <v>385</v>
      </c>
      <c r="AH267" s="159" t="s">
        <v>193</v>
      </c>
      <c r="AI267" s="162" t="str">
        <f>CONCATENATE(PAA[[#This Row],[Id Interno]],"-",PAA[[#This Row],[tipo de Contrato (TH talento humano - B/S bienes y/o servicios)]],"-",S267,"-",T267,"-",PAA[[#This Row],[Objeto de la contratación]])</f>
        <v>20260226-TH-8173-4-Prestar servicios de apoyo a la gestión en las actividades de soporte operacional para el desarrollo de las estrategías de la Subdirección Logística. SBLG</v>
      </c>
    </row>
    <row r="268" spans="2:35" ht="56" x14ac:dyDescent="0.35">
      <c r="B268" s="23">
        <v>20260227</v>
      </c>
      <c r="C268" s="99" t="s">
        <v>672</v>
      </c>
      <c r="D268" s="23" t="s">
        <v>105</v>
      </c>
      <c r="E268" s="23" t="s">
        <v>363</v>
      </c>
      <c r="F268" s="156" t="s">
        <v>145</v>
      </c>
      <c r="G268" s="157" t="s">
        <v>373</v>
      </c>
      <c r="H268" s="158">
        <v>10</v>
      </c>
      <c r="I268" s="158">
        <v>0</v>
      </c>
      <c r="J268" s="127">
        <v>32850000</v>
      </c>
      <c r="K268" s="88" t="s">
        <v>398</v>
      </c>
      <c r="L268" s="156" t="s">
        <v>157</v>
      </c>
      <c r="M268" s="159" t="s">
        <v>512</v>
      </c>
      <c r="N268" s="23" t="s">
        <v>198</v>
      </c>
      <c r="O268" s="151" t="s">
        <v>964</v>
      </c>
      <c r="P268" s="156" t="s">
        <v>348</v>
      </c>
      <c r="Q268" s="53">
        <v>80111600</v>
      </c>
      <c r="R268" s="159" t="s">
        <v>213</v>
      </c>
      <c r="S268" s="159" t="str">
        <f>MID(PAA[[#This Row],[Meta Proyecto de Inversión]],1,4)</f>
        <v>8173</v>
      </c>
      <c r="T268" s="159" t="str">
        <f>MID(PAA[[#This Row],[Meta Proyecto de Inversión]],6,1)</f>
        <v>4</v>
      </c>
      <c r="U268" s="160" t="str">
        <f>IFERROR(VLOOKUP(N268,TD!$B$50:$F$54,2,0)," ")</f>
        <v>O230117</v>
      </c>
      <c r="V268" s="160" t="str">
        <f>IFERROR(VLOOKUP(N268,TD!$B$50:$F$54,3,0)," ")</f>
        <v>4503</v>
      </c>
      <c r="W268" s="160">
        <f>IFERROR(VLOOKUP(N268,TD!$B$50:$F$54,4,0)," ")</f>
        <v>20240255</v>
      </c>
      <c r="X268" s="159" t="s">
        <v>180</v>
      </c>
      <c r="Y268" s="160" t="str">
        <f>IFERROR(VLOOKUP(X268,TD!$J$51:$K$64,2,0)," ")</f>
        <v>Servicio de apoyo   logístico  en eventos operativos y/o emergencias.</v>
      </c>
      <c r="Z268" s="161" t="str">
        <f>CONCATENATE(X268,"-",Y268)</f>
        <v>12-Servicio de apoyo   logístico  en eventos operativos y/o emergencias.</v>
      </c>
      <c r="AA268" s="159" t="s">
        <v>221</v>
      </c>
      <c r="AB268" s="160" t="str">
        <f>IFERROR(VLOOKUP(AA268,TD!$N$51:$O$66,2,0)," ")</f>
        <v>Servicio de atención a emergencias y desastres</v>
      </c>
      <c r="AC268" s="161" t="str">
        <f>CONCATENATE(AA268,"_",AB268)</f>
        <v>004_Servicio de atención a emergencias y desastres</v>
      </c>
      <c r="AD268" s="161" t="str">
        <f>CONCATENATE(Z268," ",AC268)</f>
        <v>12-Servicio de apoyo   logístico  en eventos operativos y/o emergencias. 004_Servicio de atención a emergencias y desastres</v>
      </c>
      <c r="AE268" s="160" t="str">
        <f>CONCATENATE(U268,V268,W268,X268,AA268)</f>
        <v>O23011745032024025512004</v>
      </c>
      <c r="AF268" s="160" t="str">
        <f>IFERROR(VLOOKUP(AD268,TD!$J$66:$K$89,2,0)," ")</f>
        <v>PM/0131/0112/45030040255</v>
      </c>
      <c r="AG268" s="118" t="s">
        <v>385</v>
      </c>
      <c r="AH268" s="159" t="s">
        <v>193</v>
      </c>
      <c r="AI268" s="162" t="str">
        <f>CONCATENATE(PAA[[#This Row],[Id Interno]],"-",PAA[[#This Row],[tipo de Contrato (TH talento humano - B/S bienes y/o servicios)]],"-",S268,"-",T268,"-",PAA[[#This Row],[Objeto de la contratación]])</f>
        <v>20260227-TH-8173-4-Prestar servicios de apoyo a la gestión en las actividades de soporte operacional para el desarrollo de las estrategías de la Subdirección Logística. SBLG</v>
      </c>
    </row>
    <row r="269" spans="2:35" ht="56" x14ac:dyDescent="0.35">
      <c r="B269" s="23">
        <v>20260228</v>
      </c>
      <c r="C269" s="99" t="s">
        <v>672</v>
      </c>
      <c r="D269" s="23" t="s">
        <v>105</v>
      </c>
      <c r="E269" s="23" t="s">
        <v>363</v>
      </c>
      <c r="F269" s="156" t="s">
        <v>145</v>
      </c>
      <c r="G269" s="157" t="s">
        <v>373</v>
      </c>
      <c r="H269" s="158">
        <v>10</v>
      </c>
      <c r="I269" s="158">
        <v>0</v>
      </c>
      <c r="J269" s="127">
        <v>32800000</v>
      </c>
      <c r="K269" s="88" t="s">
        <v>398</v>
      </c>
      <c r="L269" s="156" t="s">
        <v>157</v>
      </c>
      <c r="M269" s="159" t="s">
        <v>512</v>
      </c>
      <c r="N269" s="23" t="s">
        <v>198</v>
      </c>
      <c r="O269" s="151" t="s">
        <v>964</v>
      </c>
      <c r="P269" s="156" t="s">
        <v>348</v>
      </c>
      <c r="Q269" s="53">
        <v>80111600</v>
      </c>
      <c r="R269" s="159" t="s">
        <v>213</v>
      </c>
      <c r="S269" s="159" t="str">
        <f>MID(PAA[[#This Row],[Meta Proyecto de Inversión]],1,4)</f>
        <v>8173</v>
      </c>
      <c r="T269" s="159" t="str">
        <f>MID(PAA[[#This Row],[Meta Proyecto de Inversión]],6,1)</f>
        <v>4</v>
      </c>
      <c r="U269" s="160" t="str">
        <f>IFERROR(VLOOKUP(N269,TD!$B$50:$F$54,2,0)," ")</f>
        <v>O230117</v>
      </c>
      <c r="V269" s="160" t="str">
        <f>IFERROR(VLOOKUP(N269,TD!$B$50:$F$54,3,0)," ")</f>
        <v>4503</v>
      </c>
      <c r="W269" s="160">
        <f>IFERROR(VLOOKUP(N269,TD!$B$50:$F$54,4,0)," ")</f>
        <v>20240255</v>
      </c>
      <c r="X269" s="159" t="s">
        <v>180</v>
      </c>
      <c r="Y269" s="160" t="str">
        <f>IFERROR(VLOOKUP(X269,TD!$J$51:$K$64,2,0)," ")</f>
        <v>Servicio de apoyo   logístico  en eventos operativos y/o emergencias.</v>
      </c>
      <c r="Z269" s="161" t="str">
        <f>CONCATENATE(X269,"-",Y269)</f>
        <v>12-Servicio de apoyo   logístico  en eventos operativos y/o emergencias.</v>
      </c>
      <c r="AA269" s="159" t="s">
        <v>221</v>
      </c>
      <c r="AB269" s="160" t="str">
        <f>IFERROR(VLOOKUP(AA269,TD!$N$51:$O$66,2,0)," ")</f>
        <v>Servicio de atención a emergencias y desastres</v>
      </c>
      <c r="AC269" s="161" t="str">
        <f>CONCATENATE(AA269,"_",AB269)</f>
        <v>004_Servicio de atención a emergencias y desastres</v>
      </c>
      <c r="AD269" s="161" t="str">
        <f>CONCATENATE(Z269," ",AC269)</f>
        <v>12-Servicio de apoyo   logístico  en eventos operativos y/o emergencias. 004_Servicio de atención a emergencias y desastres</v>
      </c>
      <c r="AE269" s="160" t="str">
        <f>CONCATENATE(U269,V269,W269,X269,AA269)</f>
        <v>O23011745032024025512004</v>
      </c>
      <c r="AF269" s="160" t="str">
        <f>IFERROR(VLOOKUP(AD269,TD!$J$66:$K$89,2,0)," ")</f>
        <v>PM/0131/0112/45030040255</v>
      </c>
      <c r="AG269" s="118" t="s">
        <v>385</v>
      </c>
      <c r="AH269" s="159" t="s">
        <v>193</v>
      </c>
      <c r="AI269" s="162" t="str">
        <f>CONCATENATE(PAA[[#This Row],[Id Interno]],"-",PAA[[#This Row],[tipo de Contrato (TH talento humano - B/S bienes y/o servicios)]],"-",S269,"-",T269,"-",PAA[[#This Row],[Objeto de la contratación]])</f>
        <v>20260228-TH-8173-4-Prestar servicios de apoyo a la gestión en las actividades de soporte operacional para el desarrollo de las estrategías de la Subdirección Logística. SBLG</v>
      </c>
    </row>
    <row r="270" spans="2:35" ht="56.15" customHeight="1" x14ac:dyDescent="0.35">
      <c r="B270" s="23">
        <v>20260229</v>
      </c>
      <c r="C270" s="99" t="s">
        <v>848</v>
      </c>
      <c r="D270" s="23" t="s">
        <v>105</v>
      </c>
      <c r="E270" s="23" t="s">
        <v>363</v>
      </c>
      <c r="F270" s="156" t="s">
        <v>145</v>
      </c>
      <c r="G270" s="157" t="s">
        <v>373</v>
      </c>
      <c r="H270" s="158">
        <v>8</v>
      </c>
      <c r="I270" s="158">
        <v>0</v>
      </c>
      <c r="J270" s="127">
        <v>32000000</v>
      </c>
      <c r="K270" s="88" t="s">
        <v>398</v>
      </c>
      <c r="L270" s="156" t="s">
        <v>157</v>
      </c>
      <c r="M270" s="159" t="s">
        <v>512</v>
      </c>
      <c r="N270" s="23" t="s">
        <v>198</v>
      </c>
      <c r="O270" s="151" t="s">
        <v>964</v>
      </c>
      <c r="P270" s="156" t="s">
        <v>348</v>
      </c>
      <c r="Q270" s="53">
        <v>80111600</v>
      </c>
      <c r="R270" s="159" t="s">
        <v>213</v>
      </c>
      <c r="S270" s="159" t="str">
        <f>MID(PAA[[#This Row],[Meta Proyecto de Inversión]],1,4)</f>
        <v>8173</v>
      </c>
      <c r="T270" s="159" t="str">
        <f>MID(PAA[[#This Row],[Meta Proyecto de Inversión]],6,1)</f>
        <v>4</v>
      </c>
      <c r="U270" s="160" t="str">
        <f>IFERROR(VLOOKUP(N270,TD!$B$50:$F$54,2,0)," ")</f>
        <v>O230117</v>
      </c>
      <c r="V270" s="160" t="str">
        <f>IFERROR(VLOOKUP(N270,TD!$B$50:$F$54,3,0)," ")</f>
        <v>4503</v>
      </c>
      <c r="W270" s="160">
        <f>IFERROR(VLOOKUP(N270,TD!$B$50:$F$54,4,0)," ")</f>
        <v>20240255</v>
      </c>
      <c r="X270" s="159" t="s">
        <v>180</v>
      </c>
      <c r="Y270" s="160" t="str">
        <f>IFERROR(VLOOKUP(X270,TD!$J$51:$K$64,2,0)," ")</f>
        <v>Servicio de apoyo   logístico  en eventos operativos y/o emergencias.</v>
      </c>
      <c r="Z270" s="161" t="str">
        <f>CONCATENATE(X270,"-",Y270)</f>
        <v>12-Servicio de apoyo   logístico  en eventos operativos y/o emergencias.</v>
      </c>
      <c r="AA270" s="159" t="s">
        <v>221</v>
      </c>
      <c r="AB270" s="160" t="str">
        <f>IFERROR(VLOOKUP(AA270,TD!$N$51:$O$66,2,0)," ")</f>
        <v>Servicio de atención a emergencias y desastres</v>
      </c>
      <c r="AC270" s="161" t="str">
        <f>CONCATENATE(AA270,"_",AB270)</f>
        <v>004_Servicio de atención a emergencias y desastres</v>
      </c>
      <c r="AD270" s="161" t="str">
        <f>CONCATENATE(Z270," ",AC270)</f>
        <v>12-Servicio de apoyo   logístico  en eventos operativos y/o emergencias. 004_Servicio de atención a emergencias y desastres</v>
      </c>
      <c r="AE270" s="160" t="str">
        <f>CONCATENATE(U270,V270,W270,X270,AA270)</f>
        <v>O23011745032024025512004</v>
      </c>
      <c r="AF270" s="160" t="str">
        <f>IFERROR(VLOOKUP(AD270,TD!$J$66:$K$89,2,0)," ")</f>
        <v>PM/0131/0112/45030040255</v>
      </c>
      <c r="AG270" s="118" t="s">
        <v>385</v>
      </c>
      <c r="AH270" s="159" t="s">
        <v>193</v>
      </c>
      <c r="AI270" s="162" t="str">
        <f>CONCATENATE(PAA[[#This Row],[Id Interno]],"-",PAA[[#This Row],[tipo de Contrato (TH talento humano - B/S bienes y/o servicios)]],"-",S270,"-",T270,"-",PAA[[#This Row],[Objeto de la contratación]])</f>
        <v>20260229-TH-8173-4-Prestar servicios de apoyo a la gestión en actividades administrativas y documentales para el desarrollo de las estrategías de la Subdirección Logística - SBLG</v>
      </c>
    </row>
    <row r="271" spans="2:35" ht="56" x14ac:dyDescent="0.35">
      <c r="B271" s="23">
        <v>20260230</v>
      </c>
      <c r="C271" s="99" t="s">
        <v>853</v>
      </c>
      <c r="D271" s="23" t="s">
        <v>105</v>
      </c>
      <c r="E271" s="23" t="s">
        <v>363</v>
      </c>
      <c r="F271" s="156" t="s">
        <v>144</v>
      </c>
      <c r="G271" s="157" t="s">
        <v>373</v>
      </c>
      <c r="H271" s="158">
        <v>9</v>
      </c>
      <c r="I271" s="158">
        <v>0</v>
      </c>
      <c r="J271" s="127">
        <v>81000000</v>
      </c>
      <c r="K271" s="88" t="s">
        <v>398</v>
      </c>
      <c r="L271" s="156" t="s">
        <v>157</v>
      </c>
      <c r="M271" s="159" t="s">
        <v>512</v>
      </c>
      <c r="N271" s="23" t="s">
        <v>198</v>
      </c>
      <c r="O271" s="151" t="s">
        <v>964</v>
      </c>
      <c r="P271" s="156" t="s">
        <v>348</v>
      </c>
      <c r="Q271" s="53">
        <v>80111600</v>
      </c>
      <c r="R271" s="159" t="s">
        <v>213</v>
      </c>
      <c r="S271" s="159" t="str">
        <f>MID(PAA[[#This Row],[Meta Proyecto de Inversión]],1,4)</f>
        <v>8173</v>
      </c>
      <c r="T271" s="159" t="str">
        <f>MID(PAA[[#This Row],[Meta Proyecto de Inversión]],6,1)</f>
        <v>4</v>
      </c>
      <c r="U271" s="160" t="str">
        <f>IFERROR(VLOOKUP(N271,TD!$B$50:$F$54,2,0)," ")</f>
        <v>O230117</v>
      </c>
      <c r="V271" s="160" t="str">
        <f>IFERROR(VLOOKUP(N271,TD!$B$50:$F$54,3,0)," ")</f>
        <v>4503</v>
      </c>
      <c r="W271" s="160">
        <f>IFERROR(VLOOKUP(N271,TD!$B$50:$F$54,4,0)," ")</f>
        <v>20240255</v>
      </c>
      <c r="X271" s="159" t="s">
        <v>180</v>
      </c>
      <c r="Y271" s="160" t="str">
        <f>IFERROR(VLOOKUP(X271,TD!$J$51:$K$64,2,0)," ")</f>
        <v>Servicio de apoyo   logístico  en eventos operativos y/o emergencias.</v>
      </c>
      <c r="Z271" s="161" t="str">
        <f>CONCATENATE(X271,"-",Y271)</f>
        <v>12-Servicio de apoyo   logístico  en eventos operativos y/o emergencias.</v>
      </c>
      <c r="AA271" s="159" t="s">
        <v>221</v>
      </c>
      <c r="AB271" s="160" t="str">
        <f>IFERROR(VLOOKUP(AA271,TD!$N$51:$O$66,2,0)," ")</f>
        <v>Servicio de atención a emergencias y desastres</v>
      </c>
      <c r="AC271" s="161" t="str">
        <f>CONCATENATE(AA271,"_",AB271)</f>
        <v>004_Servicio de atención a emergencias y desastres</v>
      </c>
      <c r="AD271" s="161" t="str">
        <f>CONCATENATE(Z271," ",AC271)</f>
        <v>12-Servicio de apoyo   logístico  en eventos operativos y/o emergencias. 004_Servicio de atención a emergencias y desastres</v>
      </c>
      <c r="AE271" s="160" t="str">
        <f>CONCATENATE(U271,V271,W271,X271,AA271)</f>
        <v>O23011745032024025512004</v>
      </c>
      <c r="AF271" s="160" t="str">
        <f>IFERROR(VLOOKUP(AD271,TD!$J$66:$K$89,2,0)," ")</f>
        <v>PM/0131/0112/45030040255</v>
      </c>
      <c r="AG271" s="118" t="s">
        <v>385</v>
      </c>
      <c r="AH271" s="159" t="s">
        <v>193</v>
      </c>
      <c r="AI271" s="162" t="str">
        <f>CONCATENATE(PAA[[#This Row],[Id Interno]],"-",PAA[[#This Row],[tipo de Contrato (TH talento humano - B/S bienes y/o servicios)]],"-",S271,"-",T271,"-",PAA[[#This Row],[Objeto de la contratación]])</f>
        <v>20260230-TH-8173-4-Prestar servicios profesionales apoyando a la gestión, seguimiento y control administrativo, financiero y contractual de las actividades necesarias para garantizar los insumos y suministros, para la operación durante las emergencias, eventos y capacitaciones a cargo de la Subdirección Logística - SBLG.</v>
      </c>
    </row>
    <row r="272" spans="2:35" ht="56" x14ac:dyDescent="0.35">
      <c r="B272" s="23">
        <v>20260231</v>
      </c>
      <c r="C272" s="99" t="s">
        <v>854</v>
      </c>
      <c r="D272" s="23" t="s">
        <v>105</v>
      </c>
      <c r="E272" s="23" t="s">
        <v>363</v>
      </c>
      <c r="F272" s="156" t="s">
        <v>145</v>
      </c>
      <c r="G272" s="157" t="s">
        <v>373</v>
      </c>
      <c r="H272" s="158">
        <v>6</v>
      </c>
      <c r="I272" s="158">
        <v>0</v>
      </c>
      <c r="J272" s="127">
        <v>21600000</v>
      </c>
      <c r="K272" s="88" t="s">
        <v>398</v>
      </c>
      <c r="L272" s="156" t="s">
        <v>157</v>
      </c>
      <c r="M272" s="159" t="s">
        <v>512</v>
      </c>
      <c r="N272" s="23" t="s">
        <v>198</v>
      </c>
      <c r="O272" s="151" t="s">
        <v>964</v>
      </c>
      <c r="P272" s="156" t="s">
        <v>348</v>
      </c>
      <c r="Q272" s="53">
        <v>80111600</v>
      </c>
      <c r="R272" s="159" t="s">
        <v>213</v>
      </c>
      <c r="S272" s="159" t="str">
        <f>MID(PAA[[#This Row],[Meta Proyecto de Inversión]],1,4)</f>
        <v>8173</v>
      </c>
      <c r="T272" s="159" t="str">
        <f>MID(PAA[[#This Row],[Meta Proyecto de Inversión]],6,1)</f>
        <v>4</v>
      </c>
      <c r="U272" s="160" t="str">
        <f>IFERROR(VLOOKUP(N272,TD!$B$50:$F$54,2,0)," ")</f>
        <v>O230117</v>
      </c>
      <c r="V272" s="160" t="str">
        <f>IFERROR(VLOOKUP(N272,TD!$B$50:$F$54,3,0)," ")</f>
        <v>4503</v>
      </c>
      <c r="W272" s="160">
        <f>IFERROR(VLOOKUP(N272,TD!$B$50:$F$54,4,0)," ")</f>
        <v>20240255</v>
      </c>
      <c r="X272" s="159" t="s">
        <v>180</v>
      </c>
      <c r="Y272" s="160" t="str">
        <f>IFERROR(VLOOKUP(X272,TD!$J$51:$K$64,2,0)," ")</f>
        <v>Servicio de apoyo   logístico  en eventos operativos y/o emergencias.</v>
      </c>
      <c r="Z272" s="161" t="str">
        <f>CONCATENATE(X272,"-",Y272)</f>
        <v>12-Servicio de apoyo   logístico  en eventos operativos y/o emergencias.</v>
      </c>
      <c r="AA272" s="159" t="s">
        <v>221</v>
      </c>
      <c r="AB272" s="160" t="str">
        <f>IFERROR(VLOOKUP(AA272,TD!$N$51:$O$66,2,0)," ")</f>
        <v>Servicio de atención a emergencias y desastres</v>
      </c>
      <c r="AC272" s="161" t="str">
        <f>CONCATENATE(AA272,"_",AB272)</f>
        <v>004_Servicio de atención a emergencias y desastres</v>
      </c>
      <c r="AD272" s="161" t="str">
        <f>CONCATENATE(Z272," ",AC272)</f>
        <v>12-Servicio de apoyo   logístico  en eventos operativos y/o emergencias. 004_Servicio de atención a emergencias y desastres</v>
      </c>
      <c r="AE272" s="160" t="str">
        <f>CONCATENATE(U272,V272,W272,X272,AA272)</f>
        <v>O23011745032024025512004</v>
      </c>
      <c r="AF272" s="160" t="str">
        <f>IFERROR(VLOOKUP(AD272,TD!$J$66:$K$89,2,0)," ")</f>
        <v>PM/0131/0112/45030040255</v>
      </c>
      <c r="AG272" s="118" t="s">
        <v>385</v>
      </c>
      <c r="AH272" s="159" t="s">
        <v>193</v>
      </c>
      <c r="AI272" s="162" t="str">
        <f>CONCATENATE(PAA[[#This Row],[Id Interno]],"-",PAA[[#This Row],[tipo de Contrato (TH talento humano - B/S bienes y/o servicios)]],"-",S272,"-",T272,"-",PAA[[#This Row],[Objeto de la contratación]])</f>
        <v>20260231-TH-8173-4-Prestar servicios de apoyo a la gestión para el seguimiento y control de los suministros y consumibles  necesarios para la oportuna disponibilidad en la atención de emergencias -SBLG</v>
      </c>
    </row>
    <row r="273" spans="2:35" ht="56" x14ac:dyDescent="0.35">
      <c r="B273" s="23">
        <v>20260232</v>
      </c>
      <c r="C273" s="99" t="s">
        <v>855</v>
      </c>
      <c r="D273" s="23" t="s">
        <v>105</v>
      </c>
      <c r="E273" s="23" t="s">
        <v>363</v>
      </c>
      <c r="F273" s="156" t="s">
        <v>144</v>
      </c>
      <c r="G273" s="157" t="s">
        <v>373</v>
      </c>
      <c r="H273" s="158">
        <v>6</v>
      </c>
      <c r="I273" s="158">
        <v>0</v>
      </c>
      <c r="J273" s="127">
        <v>35000000</v>
      </c>
      <c r="K273" s="88" t="s">
        <v>398</v>
      </c>
      <c r="L273" s="156" t="s">
        <v>157</v>
      </c>
      <c r="M273" s="159" t="s">
        <v>512</v>
      </c>
      <c r="N273" s="23" t="s">
        <v>198</v>
      </c>
      <c r="O273" s="151" t="s">
        <v>964</v>
      </c>
      <c r="P273" s="156" t="s">
        <v>348</v>
      </c>
      <c r="Q273" s="53">
        <v>80111600</v>
      </c>
      <c r="R273" s="159" t="s">
        <v>213</v>
      </c>
      <c r="S273" s="159" t="str">
        <f>MID(PAA[[#This Row],[Meta Proyecto de Inversión]],1,4)</f>
        <v>8173</v>
      </c>
      <c r="T273" s="159" t="str">
        <f>MID(PAA[[#This Row],[Meta Proyecto de Inversión]],6,1)</f>
        <v>4</v>
      </c>
      <c r="U273" s="160" t="str">
        <f>IFERROR(VLOOKUP(N273,TD!$B$50:$F$54,2,0)," ")</f>
        <v>O230117</v>
      </c>
      <c r="V273" s="160" t="str">
        <f>IFERROR(VLOOKUP(N273,TD!$B$50:$F$54,3,0)," ")</f>
        <v>4503</v>
      </c>
      <c r="W273" s="160">
        <f>IFERROR(VLOOKUP(N273,TD!$B$50:$F$54,4,0)," ")</f>
        <v>20240255</v>
      </c>
      <c r="X273" s="159" t="s">
        <v>180</v>
      </c>
      <c r="Y273" s="160" t="str">
        <f>IFERROR(VLOOKUP(X273,TD!$J$51:$K$64,2,0)," ")</f>
        <v>Servicio de apoyo   logístico  en eventos operativos y/o emergencias.</v>
      </c>
      <c r="Z273" s="161" t="str">
        <f>CONCATENATE(X273,"-",Y273)</f>
        <v>12-Servicio de apoyo   logístico  en eventos operativos y/o emergencias.</v>
      </c>
      <c r="AA273" s="159" t="s">
        <v>221</v>
      </c>
      <c r="AB273" s="160" t="str">
        <f>IFERROR(VLOOKUP(AA273,TD!$N$51:$O$66,2,0)," ")</f>
        <v>Servicio de atención a emergencias y desastres</v>
      </c>
      <c r="AC273" s="161" t="str">
        <f>CONCATENATE(AA273,"_",AB273)</f>
        <v>004_Servicio de atención a emergencias y desastres</v>
      </c>
      <c r="AD273" s="161" t="str">
        <f>CONCATENATE(Z273," ",AC273)</f>
        <v>12-Servicio de apoyo   logístico  en eventos operativos y/o emergencias. 004_Servicio de atención a emergencias y desastres</v>
      </c>
      <c r="AE273" s="160" t="str">
        <f>CONCATENATE(U273,V273,W273,X273,AA273)</f>
        <v>O23011745032024025512004</v>
      </c>
      <c r="AF273" s="160" t="str">
        <f>IFERROR(VLOOKUP(AD273,TD!$J$66:$K$89,2,0)," ")</f>
        <v>PM/0131/0112/45030040255</v>
      </c>
      <c r="AG273" s="118" t="s">
        <v>385</v>
      </c>
      <c r="AH273" s="159" t="s">
        <v>193</v>
      </c>
      <c r="AI273" s="162" t="str">
        <f>CONCATENATE(PAA[[#This Row],[Id Interno]],"-",PAA[[#This Row],[tipo de Contrato (TH talento humano - B/S bienes y/o servicios)]],"-",S273,"-",T273,"-",PAA[[#This Row],[Objeto de la contratación]])</f>
        <v>20260232-TH-8173-4-Prestar servicios profesionales para el seguimiento y control en la cadena de suministros e insumos para la atención de emergencias garantizando la entrega oportuna de los bienes y servicios de la Subdirección Logística. SBLG</v>
      </c>
    </row>
    <row r="274" spans="2:35" ht="56" x14ac:dyDescent="0.35">
      <c r="B274" s="23">
        <v>20260233</v>
      </c>
      <c r="C274" s="99" t="s">
        <v>856</v>
      </c>
      <c r="D274" s="23" t="s">
        <v>105</v>
      </c>
      <c r="E274" s="23" t="s">
        <v>363</v>
      </c>
      <c r="F274" s="156" t="s">
        <v>144</v>
      </c>
      <c r="G274" s="157" t="s">
        <v>373</v>
      </c>
      <c r="H274" s="158">
        <v>8</v>
      </c>
      <c r="I274" s="158">
        <v>0</v>
      </c>
      <c r="J274" s="127">
        <v>52000000</v>
      </c>
      <c r="K274" s="88" t="s">
        <v>398</v>
      </c>
      <c r="L274" s="156" t="s">
        <v>157</v>
      </c>
      <c r="M274" s="159" t="s">
        <v>512</v>
      </c>
      <c r="N274" s="23" t="s">
        <v>198</v>
      </c>
      <c r="O274" s="151" t="s">
        <v>964</v>
      </c>
      <c r="P274" s="156" t="s">
        <v>348</v>
      </c>
      <c r="Q274" s="53">
        <v>80111600</v>
      </c>
      <c r="R274" s="159" t="s">
        <v>213</v>
      </c>
      <c r="S274" s="159" t="str">
        <f>MID(PAA[[#This Row],[Meta Proyecto de Inversión]],1,4)</f>
        <v>8173</v>
      </c>
      <c r="T274" s="159" t="str">
        <f>MID(PAA[[#This Row],[Meta Proyecto de Inversión]],6,1)</f>
        <v>4</v>
      </c>
      <c r="U274" s="160" t="str">
        <f>IFERROR(VLOOKUP(N274,TD!$B$50:$F$54,2,0)," ")</f>
        <v>O230117</v>
      </c>
      <c r="V274" s="160" t="str">
        <f>IFERROR(VLOOKUP(N274,TD!$B$50:$F$54,3,0)," ")</f>
        <v>4503</v>
      </c>
      <c r="W274" s="160">
        <f>IFERROR(VLOOKUP(N274,TD!$B$50:$F$54,4,0)," ")</f>
        <v>20240255</v>
      </c>
      <c r="X274" s="159" t="s">
        <v>180</v>
      </c>
      <c r="Y274" s="160" t="str">
        <f>IFERROR(VLOOKUP(X274,TD!$J$51:$K$64,2,0)," ")</f>
        <v>Servicio de apoyo   logístico  en eventos operativos y/o emergencias.</v>
      </c>
      <c r="Z274" s="161" t="str">
        <f>CONCATENATE(X274,"-",Y274)</f>
        <v>12-Servicio de apoyo   logístico  en eventos operativos y/o emergencias.</v>
      </c>
      <c r="AA274" s="159" t="s">
        <v>221</v>
      </c>
      <c r="AB274" s="160" t="str">
        <f>IFERROR(VLOOKUP(AA274,TD!$N$51:$O$66,2,0)," ")</f>
        <v>Servicio de atención a emergencias y desastres</v>
      </c>
      <c r="AC274" s="161" t="str">
        <f>CONCATENATE(AA274,"_",AB274)</f>
        <v>004_Servicio de atención a emergencias y desastres</v>
      </c>
      <c r="AD274" s="161" t="str">
        <f>CONCATENATE(Z274," ",AC274)</f>
        <v>12-Servicio de apoyo   logístico  en eventos operativos y/o emergencias. 004_Servicio de atención a emergencias y desastres</v>
      </c>
      <c r="AE274" s="160" t="str">
        <f>CONCATENATE(U274,V274,W274,X274,AA274)</f>
        <v>O23011745032024025512004</v>
      </c>
      <c r="AF274" s="160" t="str">
        <f>IFERROR(VLOOKUP(AD274,TD!$J$66:$K$89,2,0)," ")</f>
        <v>PM/0131/0112/45030040255</v>
      </c>
      <c r="AG274" s="118" t="s">
        <v>385</v>
      </c>
      <c r="AH274" s="159" t="s">
        <v>193</v>
      </c>
      <c r="AI274" s="162" t="str">
        <f>CONCATENATE(PAA[[#This Row],[Id Interno]],"-",PAA[[#This Row],[tipo de Contrato (TH talento humano - B/S bienes y/o servicios)]],"-",S274,"-",T274,"-",PAA[[#This Row],[Objeto de la contratación]])</f>
        <v>20260233-TH-8173-4-Prestar servicios profesionales para el seguimiento administrativo, financiero y de control en la cadena de suministros e insumos en la atención de emergencias garantizando la entrega de los bienes y servicios de la Subdirección Logística. SBLG</v>
      </c>
    </row>
    <row r="275" spans="2:35" ht="56" x14ac:dyDescent="0.35">
      <c r="B275" s="23">
        <v>20260234</v>
      </c>
      <c r="C275" s="99" t="s">
        <v>673</v>
      </c>
      <c r="D275" s="23" t="s">
        <v>105</v>
      </c>
      <c r="E275" s="23" t="s">
        <v>363</v>
      </c>
      <c r="F275" s="156" t="s">
        <v>144</v>
      </c>
      <c r="G275" s="157" t="s">
        <v>373</v>
      </c>
      <c r="H275" s="158">
        <v>10</v>
      </c>
      <c r="I275" s="158">
        <v>0</v>
      </c>
      <c r="J275" s="127">
        <v>90000000</v>
      </c>
      <c r="K275" s="88" t="s">
        <v>398</v>
      </c>
      <c r="L275" s="156" t="s">
        <v>157</v>
      </c>
      <c r="M275" s="159" t="s">
        <v>512</v>
      </c>
      <c r="N275" s="23" t="s">
        <v>198</v>
      </c>
      <c r="O275" s="151" t="s">
        <v>964</v>
      </c>
      <c r="P275" s="156" t="s">
        <v>348</v>
      </c>
      <c r="Q275" s="53">
        <v>80111600</v>
      </c>
      <c r="R275" s="159" t="s">
        <v>213</v>
      </c>
      <c r="S275" s="159" t="str">
        <f>MID(PAA[[#This Row],[Meta Proyecto de Inversión]],1,4)</f>
        <v>8173</v>
      </c>
      <c r="T275" s="159" t="str">
        <f>MID(PAA[[#This Row],[Meta Proyecto de Inversión]],6,1)</f>
        <v>4</v>
      </c>
      <c r="U275" s="160" t="str">
        <f>IFERROR(VLOOKUP(N275,TD!$B$50:$F$54,2,0)," ")</f>
        <v>O230117</v>
      </c>
      <c r="V275" s="160" t="str">
        <f>IFERROR(VLOOKUP(N275,TD!$B$50:$F$54,3,0)," ")</f>
        <v>4503</v>
      </c>
      <c r="W275" s="160">
        <f>IFERROR(VLOOKUP(N275,TD!$B$50:$F$54,4,0)," ")</f>
        <v>20240255</v>
      </c>
      <c r="X275" s="159" t="s">
        <v>176</v>
      </c>
      <c r="Y275" s="160" t="str">
        <f>IFERROR(VLOOKUP(X275,TD!$J$51:$K$64,2,0)," ")</f>
        <v>Servicio de mantenimiento, dotación (HEA´s y equipo menor) y adquisición de vehiculos   especializados para la atención de emergencias.</v>
      </c>
      <c r="Z275" s="161" t="str">
        <f>CONCATENATE(X275,"-",Y275)</f>
        <v>09-Servicio de mantenimiento, dotación (HEA´s y equipo menor) y adquisición de vehiculos   especializados para la atención de emergencias.</v>
      </c>
      <c r="AA275" s="159" t="s">
        <v>221</v>
      </c>
      <c r="AB275" s="160" t="str">
        <f>IFERROR(VLOOKUP(AA275,TD!$N$51:$O$66,2,0)," ")</f>
        <v>Servicio de atención a emergencias y desastres</v>
      </c>
      <c r="AC275" s="161" t="str">
        <f>CONCATENATE(AA275,"_",AB275)</f>
        <v>004_Servicio de atención a emergencias y desastres</v>
      </c>
      <c r="AD275" s="161" t="str">
        <f>CONCATENATE(Z275," ",AC275)</f>
        <v>09-Servicio de mantenimiento, dotación (HEA´s y equipo menor) y adquisición de vehiculos   especializados para la atención de emergencias. 004_Servicio de atención a emergencias y desastres</v>
      </c>
      <c r="AE275" s="160" t="str">
        <f>CONCATENATE(U275,V275,W275,X275,AA275)</f>
        <v>O23011745032024025509004</v>
      </c>
      <c r="AF275" s="160" t="str">
        <f>IFERROR(VLOOKUP(AD275,TD!$J$66:$K$89,2,0)," ")</f>
        <v>PM/0131/0109/45030040255</v>
      </c>
      <c r="AG275" s="118" t="s">
        <v>385</v>
      </c>
      <c r="AH275" s="159" t="s">
        <v>193</v>
      </c>
      <c r="AI275" s="162" t="str">
        <f>CONCATENATE(PAA[[#This Row],[Id Interno]],"-",PAA[[#This Row],[tipo de Contrato (TH talento humano - B/S bienes y/o servicios)]],"-",S275,"-",T275,"-",PAA[[#This Row],[Objeto de la contratación]])</f>
        <v>20260234-TH-8173-4-Prestación de servicios profesionales para la gestión, seguimiento y control administrativo, técnico y operativo del equipo menor a cargo de la Subdirección Logística. SBLG.</v>
      </c>
    </row>
    <row r="276" spans="2:35" ht="56" x14ac:dyDescent="0.35">
      <c r="B276" s="23">
        <v>20260235</v>
      </c>
      <c r="C276" s="99" t="s">
        <v>857</v>
      </c>
      <c r="D276" s="23" t="s">
        <v>105</v>
      </c>
      <c r="E276" s="23" t="s">
        <v>363</v>
      </c>
      <c r="F276" s="156" t="s">
        <v>145</v>
      </c>
      <c r="G276" s="157" t="s">
        <v>373</v>
      </c>
      <c r="H276" s="158">
        <v>10</v>
      </c>
      <c r="I276" s="158">
        <v>0</v>
      </c>
      <c r="J276" s="127">
        <v>36000000</v>
      </c>
      <c r="K276" s="88" t="s">
        <v>398</v>
      </c>
      <c r="L276" s="156" t="s">
        <v>157</v>
      </c>
      <c r="M276" s="159" t="s">
        <v>512</v>
      </c>
      <c r="N276" s="23" t="s">
        <v>198</v>
      </c>
      <c r="O276" s="151" t="s">
        <v>964</v>
      </c>
      <c r="P276" s="156" t="s">
        <v>348</v>
      </c>
      <c r="Q276" s="53">
        <v>80111600</v>
      </c>
      <c r="R276" s="159" t="s">
        <v>213</v>
      </c>
      <c r="S276" s="159" t="str">
        <f>MID(PAA[[#This Row],[Meta Proyecto de Inversión]],1,4)</f>
        <v>8173</v>
      </c>
      <c r="T276" s="159" t="str">
        <f>MID(PAA[[#This Row],[Meta Proyecto de Inversión]],6,1)</f>
        <v>4</v>
      </c>
      <c r="U276" s="160" t="str">
        <f>IFERROR(VLOOKUP(N276,TD!$B$50:$F$54,2,0)," ")</f>
        <v>O230117</v>
      </c>
      <c r="V276" s="160" t="str">
        <f>IFERROR(VLOOKUP(N276,TD!$B$50:$F$54,3,0)," ")</f>
        <v>4503</v>
      </c>
      <c r="W276" s="160">
        <f>IFERROR(VLOOKUP(N276,TD!$B$50:$F$54,4,0)," ")</f>
        <v>20240255</v>
      </c>
      <c r="X276" s="159" t="s">
        <v>176</v>
      </c>
      <c r="Y276" s="160" t="str">
        <f>IFERROR(VLOOKUP(X276,TD!$J$51:$K$64,2,0)," ")</f>
        <v>Servicio de mantenimiento, dotación (HEA´s y equipo menor) y adquisición de vehiculos   especializados para la atención de emergencias.</v>
      </c>
      <c r="Z276" s="161" t="str">
        <f>CONCATENATE(X276,"-",Y276)</f>
        <v>09-Servicio de mantenimiento, dotación (HEA´s y equipo menor) y adquisición de vehiculos   especializados para la atención de emergencias.</v>
      </c>
      <c r="AA276" s="159" t="s">
        <v>221</v>
      </c>
      <c r="AB276" s="160" t="str">
        <f>IFERROR(VLOOKUP(AA276,TD!$N$51:$O$66,2,0)," ")</f>
        <v>Servicio de atención a emergencias y desastres</v>
      </c>
      <c r="AC276" s="161" t="str">
        <f>CONCATENATE(AA276,"_",AB276)</f>
        <v>004_Servicio de atención a emergencias y desastres</v>
      </c>
      <c r="AD276" s="161" t="str">
        <f>CONCATENATE(Z276," ",AC276)</f>
        <v>09-Servicio de mantenimiento, dotación (HEA´s y equipo menor) y adquisición de vehiculos   especializados para la atención de emergencias. 004_Servicio de atención a emergencias y desastres</v>
      </c>
      <c r="AE276" s="160" t="str">
        <f>CONCATENATE(U276,V276,W276,X276,AA276)</f>
        <v>O23011745032024025509004</v>
      </c>
      <c r="AF276" s="160" t="str">
        <f>IFERROR(VLOOKUP(AD276,TD!$J$66:$K$89,2,0)," ")</f>
        <v>PM/0131/0109/45030040255</v>
      </c>
      <c r="AG276" s="118" t="s">
        <v>385</v>
      </c>
      <c r="AH276" s="159" t="s">
        <v>193</v>
      </c>
      <c r="AI276" s="162" t="str">
        <f>CONCATENATE(PAA[[#This Row],[Id Interno]],"-",PAA[[#This Row],[tipo de Contrato (TH talento humano - B/S bienes y/o servicios)]],"-",S276,"-",T276,"-",PAA[[#This Row],[Objeto de la contratación]])</f>
        <v>20260235-TH-8173-4-Prestar servicio de apoyo a la gestión para asistir a la Subdirección Logística en el seguimiento técnico y administrativo de los mantenimientos minimos requeridos en la Subdirección Logística - SBLG</v>
      </c>
    </row>
    <row r="277" spans="2:35" ht="56" x14ac:dyDescent="0.35">
      <c r="B277" s="23">
        <v>20260236</v>
      </c>
      <c r="C277" s="99" t="s">
        <v>857</v>
      </c>
      <c r="D277" s="23" t="s">
        <v>105</v>
      </c>
      <c r="E277" s="23" t="s">
        <v>363</v>
      </c>
      <c r="F277" s="156" t="s">
        <v>145</v>
      </c>
      <c r="G277" s="157" t="s">
        <v>373</v>
      </c>
      <c r="H277" s="158">
        <v>9</v>
      </c>
      <c r="I277" s="158">
        <v>0</v>
      </c>
      <c r="J277" s="127">
        <v>32400000</v>
      </c>
      <c r="K277" s="88" t="s">
        <v>398</v>
      </c>
      <c r="L277" s="156" t="s">
        <v>157</v>
      </c>
      <c r="M277" s="159" t="s">
        <v>512</v>
      </c>
      <c r="N277" s="23" t="s">
        <v>198</v>
      </c>
      <c r="O277" s="151" t="s">
        <v>964</v>
      </c>
      <c r="P277" s="156" t="s">
        <v>348</v>
      </c>
      <c r="Q277" s="53">
        <v>80111600</v>
      </c>
      <c r="R277" s="159" t="s">
        <v>213</v>
      </c>
      <c r="S277" s="159" t="str">
        <f>MID(PAA[[#This Row],[Meta Proyecto de Inversión]],1,4)</f>
        <v>8173</v>
      </c>
      <c r="T277" s="159" t="str">
        <f>MID(PAA[[#This Row],[Meta Proyecto de Inversión]],6,1)</f>
        <v>4</v>
      </c>
      <c r="U277" s="160" t="str">
        <f>IFERROR(VLOOKUP(N277,TD!$B$50:$F$54,2,0)," ")</f>
        <v>O230117</v>
      </c>
      <c r="V277" s="160" t="str">
        <f>IFERROR(VLOOKUP(N277,TD!$B$50:$F$54,3,0)," ")</f>
        <v>4503</v>
      </c>
      <c r="W277" s="160">
        <f>IFERROR(VLOOKUP(N277,TD!$B$50:$F$54,4,0)," ")</f>
        <v>20240255</v>
      </c>
      <c r="X277" s="159" t="s">
        <v>176</v>
      </c>
      <c r="Y277" s="160" t="str">
        <f>IFERROR(VLOOKUP(X277,TD!$J$51:$K$64,2,0)," ")</f>
        <v>Servicio de mantenimiento, dotación (HEA´s y equipo menor) y adquisición de vehiculos   especializados para la atención de emergencias.</v>
      </c>
      <c r="Z277" s="161" t="str">
        <f>CONCATENATE(X277,"-",Y277)</f>
        <v>09-Servicio de mantenimiento, dotación (HEA´s y equipo menor) y adquisición de vehiculos   especializados para la atención de emergencias.</v>
      </c>
      <c r="AA277" s="159" t="s">
        <v>221</v>
      </c>
      <c r="AB277" s="160" t="str">
        <f>IFERROR(VLOOKUP(AA277,TD!$N$51:$O$66,2,0)," ")</f>
        <v>Servicio de atención a emergencias y desastres</v>
      </c>
      <c r="AC277" s="161" t="str">
        <f>CONCATENATE(AA277,"_",AB277)</f>
        <v>004_Servicio de atención a emergencias y desastres</v>
      </c>
      <c r="AD277" s="161" t="str">
        <f>CONCATENATE(Z277," ",AC277)</f>
        <v>09-Servicio de mantenimiento, dotación (HEA´s y equipo menor) y adquisición de vehiculos   especializados para la atención de emergencias. 004_Servicio de atención a emergencias y desastres</v>
      </c>
      <c r="AE277" s="160" t="str">
        <f>CONCATENATE(U277,V277,W277,X277,AA277)</f>
        <v>O23011745032024025509004</v>
      </c>
      <c r="AF277" s="160" t="str">
        <f>IFERROR(VLOOKUP(AD277,TD!$J$66:$K$89,2,0)," ")</f>
        <v>PM/0131/0109/45030040255</v>
      </c>
      <c r="AG277" s="118" t="s">
        <v>385</v>
      </c>
      <c r="AH277" s="159" t="s">
        <v>193</v>
      </c>
      <c r="AI277" s="162" t="str">
        <f>CONCATENATE(PAA[[#This Row],[Id Interno]],"-",PAA[[#This Row],[tipo de Contrato (TH talento humano - B/S bienes y/o servicios)]],"-",S277,"-",T277,"-",PAA[[#This Row],[Objeto de la contratación]])</f>
        <v>20260236-TH-8173-4-Prestar servicio de apoyo a la gestión para asistir a la Subdirección Logística en el seguimiento técnico y administrativo de los mantenimientos minimos requeridos en la Subdirección Logística - SBLG</v>
      </c>
    </row>
    <row r="278" spans="2:35" ht="56" x14ac:dyDescent="0.35">
      <c r="B278" s="23">
        <v>20260237</v>
      </c>
      <c r="C278" s="99" t="s">
        <v>540</v>
      </c>
      <c r="D278" s="23" t="s">
        <v>105</v>
      </c>
      <c r="E278" s="23" t="s">
        <v>363</v>
      </c>
      <c r="F278" s="156" t="s">
        <v>144</v>
      </c>
      <c r="G278" s="157" t="s">
        <v>373</v>
      </c>
      <c r="H278" s="158">
        <v>6</v>
      </c>
      <c r="I278" s="158">
        <v>0</v>
      </c>
      <c r="J278" s="127">
        <v>42000000</v>
      </c>
      <c r="K278" s="88" t="s">
        <v>398</v>
      </c>
      <c r="L278" s="156" t="s">
        <v>157</v>
      </c>
      <c r="M278" s="159" t="s">
        <v>512</v>
      </c>
      <c r="N278" s="23" t="s">
        <v>198</v>
      </c>
      <c r="O278" s="151" t="s">
        <v>964</v>
      </c>
      <c r="P278" s="156" t="s">
        <v>348</v>
      </c>
      <c r="Q278" s="53">
        <v>80111600</v>
      </c>
      <c r="R278" s="159" t="s">
        <v>213</v>
      </c>
      <c r="S278" s="159" t="str">
        <f>MID(PAA[[#This Row],[Meta Proyecto de Inversión]],1,4)</f>
        <v>8173</v>
      </c>
      <c r="T278" s="159" t="str">
        <f>MID(PAA[[#This Row],[Meta Proyecto de Inversión]],6,1)</f>
        <v>4</v>
      </c>
      <c r="U278" s="160" t="str">
        <f>IFERROR(VLOOKUP(N278,TD!$B$50:$F$54,2,0)," ")</f>
        <v>O230117</v>
      </c>
      <c r="V278" s="160" t="str">
        <f>IFERROR(VLOOKUP(N278,TD!$B$50:$F$54,3,0)," ")</f>
        <v>4503</v>
      </c>
      <c r="W278" s="160">
        <f>IFERROR(VLOOKUP(N278,TD!$B$50:$F$54,4,0)," ")</f>
        <v>20240255</v>
      </c>
      <c r="X278" s="159" t="s">
        <v>176</v>
      </c>
      <c r="Y278" s="160" t="str">
        <f>IFERROR(VLOOKUP(X278,TD!$J$51:$K$64,2,0)," ")</f>
        <v>Servicio de mantenimiento, dotación (HEA´s y equipo menor) y adquisición de vehiculos   especializados para la atención de emergencias.</v>
      </c>
      <c r="Z278" s="161" t="str">
        <f>CONCATENATE(X278,"-",Y278)</f>
        <v>09-Servicio de mantenimiento, dotación (HEA´s y equipo menor) y adquisición de vehiculos   especializados para la atención de emergencias.</v>
      </c>
      <c r="AA278" s="159" t="s">
        <v>221</v>
      </c>
      <c r="AB278" s="160" t="str">
        <f>IFERROR(VLOOKUP(AA278,TD!$N$51:$O$66,2,0)," ")</f>
        <v>Servicio de atención a emergencias y desastres</v>
      </c>
      <c r="AC278" s="161" t="str">
        <f>CONCATENATE(AA278,"_",AB278)</f>
        <v>004_Servicio de atención a emergencias y desastres</v>
      </c>
      <c r="AD278" s="161" t="str">
        <f>CONCATENATE(Z278," ",AC278)</f>
        <v>09-Servicio de mantenimiento, dotación (HEA´s y equipo menor) y adquisición de vehiculos   especializados para la atención de emergencias. 004_Servicio de atención a emergencias y desastres</v>
      </c>
      <c r="AE278" s="160" t="str">
        <f>CONCATENATE(U278,V278,W278,X278,AA278)</f>
        <v>O23011745032024025509004</v>
      </c>
      <c r="AF278" s="160" t="str">
        <f>IFERROR(VLOOKUP(AD278,TD!$J$66:$K$89,2,0)," ")</f>
        <v>PM/0131/0109/45030040255</v>
      </c>
      <c r="AG278" s="118" t="s">
        <v>385</v>
      </c>
      <c r="AH278" s="159" t="s">
        <v>193</v>
      </c>
      <c r="AI278" s="162" t="str">
        <f>CONCATENATE(PAA[[#This Row],[Id Interno]],"-",PAA[[#This Row],[tipo de Contrato (TH talento humano - B/S bienes y/o servicios)]],"-",S278,"-",T278,"-",PAA[[#This Row],[Objeto de la contratación]])</f>
        <v>20260237-TH-8173-4-Prestación de servicios profesionales para realizar el seguimiento y monitoreo a los diferentes procesos y procedimientos del equipo menor a cargo de la Subdirección Logística - SBLG</v>
      </c>
    </row>
    <row r="279" spans="2:35" ht="56" x14ac:dyDescent="0.35">
      <c r="B279" s="23">
        <v>20260238</v>
      </c>
      <c r="C279" s="99" t="s">
        <v>858</v>
      </c>
      <c r="D279" s="23" t="s">
        <v>105</v>
      </c>
      <c r="E279" s="23" t="s">
        <v>363</v>
      </c>
      <c r="F279" s="156" t="s">
        <v>145</v>
      </c>
      <c r="G279" s="157" t="s">
        <v>373</v>
      </c>
      <c r="H279" s="158">
        <v>9</v>
      </c>
      <c r="I279" s="158">
        <v>0</v>
      </c>
      <c r="J279" s="127">
        <v>32400000</v>
      </c>
      <c r="K279" s="88" t="s">
        <v>398</v>
      </c>
      <c r="L279" s="156" t="s">
        <v>157</v>
      </c>
      <c r="M279" s="159" t="s">
        <v>512</v>
      </c>
      <c r="N279" s="23" t="s">
        <v>198</v>
      </c>
      <c r="O279" s="151" t="s">
        <v>964</v>
      </c>
      <c r="P279" s="156" t="s">
        <v>348</v>
      </c>
      <c r="Q279" s="53">
        <v>80111600</v>
      </c>
      <c r="R279" s="159" t="s">
        <v>213</v>
      </c>
      <c r="S279" s="159" t="str">
        <f>MID(PAA[[#This Row],[Meta Proyecto de Inversión]],1,4)</f>
        <v>8173</v>
      </c>
      <c r="T279" s="159" t="str">
        <f>MID(PAA[[#This Row],[Meta Proyecto de Inversión]],6,1)</f>
        <v>4</v>
      </c>
      <c r="U279" s="160" t="str">
        <f>IFERROR(VLOOKUP(N279,TD!$B$50:$F$54,2,0)," ")</f>
        <v>O230117</v>
      </c>
      <c r="V279" s="160" t="str">
        <f>IFERROR(VLOOKUP(N279,TD!$B$50:$F$54,3,0)," ")</f>
        <v>4503</v>
      </c>
      <c r="W279" s="160">
        <f>IFERROR(VLOOKUP(N279,TD!$B$50:$F$54,4,0)," ")</f>
        <v>20240255</v>
      </c>
      <c r="X279" s="159" t="s">
        <v>176</v>
      </c>
      <c r="Y279" s="160" t="str">
        <f>IFERROR(VLOOKUP(X279,TD!$J$51:$K$64,2,0)," ")</f>
        <v>Servicio de mantenimiento, dotación (HEA´s y equipo menor) y adquisición de vehiculos   especializados para la atención de emergencias.</v>
      </c>
      <c r="Z279" s="161" t="str">
        <f>CONCATENATE(X279,"-",Y279)</f>
        <v>09-Servicio de mantenimiento, dotación (HEA´s y equipo menor) y adquisición de vehiculos   especializados para la atención de emergencias.</v>
      </c>
      <c r="AA279" s="159" t="s">
        <v>221</v>
      </c>
      <c r="AB279" s="160" t="str">
        <f>IFERROR(VLOOKUP(AA279,TD!$N$51:$O$66,2,0)," ")</f>
        <v>Servicio de atención a emergencias y desastres</v>
      </c>
      <c r="AC279" s="161" t="str">
        <f>CONCATENATE(AA279,"_",AB279)</f>
        <v>004_Servicio de atención a emergencias y desastres</v>
      </c>
      <c r="AD279" s="161" t="str">
        <f>CONCATENATE(Z279," ",AC279)</f>
        <v>09-Servicio de mantenimiento, dotación (HEA´s y equipo menor) y adquisición de vehiculos   especializados para la atención de emergencias. 004_Servicio de atención a emergencias y desastres</v>
      </c>
      <c r="AE279" s="160" t="str">
        <f>CONCATENATE(U279,V279,W279,X279,AA279)</f>
        <v>O23011745032024025509004</v>
      </c>
      <c r="AF279" s="160" t="str">
        <f>IFERROR(VLOOKUP(AD279,TD!$J$66:$K$89,2,0)," ")</f>
        <v>PM/0131/0109/45030040255</v>
      </c>
      <c r="AG279" s="118" t="s">
        <v>385</v>
      </c>
      <c r="AH279" s="159" t="s">
        <v>193</v>
      </c>
      <c r="AI279" s="162" t="str">
        <f>CONCATENATE(PAA[[#This Row],[Id Interno]],"-",PAA[[#This Row],[tipo de Contrato (TH talento humano - B/S bienes y/o servicios)]],"-",S279,"-",T279,"-",PAA[[#This Row],[Objeto de la contratación]])</f>
        <v>20260238-TH-8173-4-Prestar servicios de apoyo a la gestión en actividades administrativas y documentales en el procedimiento de equipo menor desarrollo de las estrategías de la Subdirección Logística - SBLG - SBLG</v>
      </c>
    </row>
    <row r="280" spans="2:35" ht="56" x14ac:dyDescent="0.35">
      <c r="B280" s="23">
        <v>20260239</v>
      </c>
      <c r="C280" s="99" t="s">
        <v>540</v>
      </c>
      <c r="D280" s="23" t="s">
        <v>105</v>
      </c>
      <c r="E280" s="23" t="s">
        <v>363</v>
      </c>
      <c r="F280" s="156" t="s">
        <v>144</v>
      </c>
      <c r="G280" s="157" t="s">
        <v>373</v>
      </c>
      <c r="H280" s="158">
        <v>9</v>
      </c>
      <c r="I280" s="158">
        <v>0</v>
      </c>
      <c r="J280" s="127">
        <v>49500000</v>
      </c>
      <c r="K280" s="88" t="s">
        <v>398</v>
      </c>
      <c r="L280" s="156" t="s">
        <v>157</v>
      </c>
      <c r="M280" s="159" t="s">
        <v>512</v>
      </c>
      <c r="N280" s="23" t="s">
        <v>198</v>
      </c>
      <c r="O280" s="151" t="s">
        <v>964</v>
      </c>
      <c r="P280" s="156" t="s">
        <v>348</v>
      </c>
      <c r="Q280" s="53">
        <v>80111600</v>
      </c>
      <c r="R280" s="159" t="s">
        <v>213</v>
      </c>
      <c r="S280" s="159" t="str">
        <f>MID(PAA[[#This Row],[Meta Proyecto de Inversión]],1,4)</f>
        <v>8173</v>
      </c>
      <c r="T280" s="159" t="str">
        <f>MID(PAA[[#This Row],[Meta Proyecto de Inversión]],6,1)</f>
        <v>4</v>
      </c>
      <c r="U280" s="160" t="str">
        <f>IFERROR(VLOOKUP(N280,TD!$B$50:$F$54,2,0)," ")</f>
        <v>O230117</v>
      </c>
      <c r="V280" s="160" t="str">
        <f>IFERROR(VLOOKUP(N280,TD!$B$50:$F$54,3,0)," ")</f>
        <v>4503</v>
      </c>
      <c r="W280" s="160">
        <f>IFERROR(VLOOKUP(N280,TD!$B$50:$F$54,4,0)," ")</f>
        <v>20240255</v>
      </c>
      <c r="X280" s="159" t="s">
        <v>176</v>
      </c>
      <c r="Y280" s="160" t="str">
        <f>IFERROR(VLOOKUP(X280,TD!$J$51:$K$64,2,0)," ")</f>
        <v>Servicio de mantenimiento, dotación (HEA´s y equipo menor) y adquisición de vehiculos   especializados para la atención de emergencias.</v>
      </c>
      <c r="Z280" s="161" t="str">
        <f>CONCATENATE(X280,"-",Y280)</f>
        <v>09-Servicio de mantenimiento, dotación (HEA´s y equipo menor) y adquisición de vehiculos   especializados para la atención de emergencias.</v>
      </c>
      <c r="AA280" s="159" t="s">
        <v>221</v>
      </c>
      <c r="AB280" s="160" t="str">
        <f>IFERROR(VLOOKUP(AA280,TD!$N$51:$O$66,2,0)," ")</f>
        <v>Servicio de atención a emergencias y desastres</v>
      </c>
      <c r="AC280" s="161" t="str">
        <f>CONCATENATE(AA280,"_",AB280)</f>
        <v>004_Servicio de atención a emergencias y desastres</v>
      </c>
      <c r="AD280" s="161" t="str">
        <f>CONCATENATE(Z280," ",AC280)</f>
        <v>09-Servicio de mantenimiento, dotación (HEA´s y equipo menor) y adquisición de vehiculos   especializados para la atención de emergencias. 004_Servicio de atención a emergencias y desastres</v>
      </c>
      <c r="AE280" s="160" t="str">
        <f>CONCATENATE(U280,V280,W280,X280,AA280)</f>
        <v>O23011745032024025509004</v>
      </c>
      <c r="AF280" s="160" t="str">
        <f>IFERROR(VLOOKUP(AD280,TD!$J$66:$K$89,2,0)," ")</f>
        <v>PM/0131/0109/45030040255</v>
      </c>
      <c r="AG280" s="118" t="s">
        <v>385</v>
      </c>
      <c r="AH280" s="159" t="s">
        <v>193</v>
      </c>
      <c r="AI280" s="162" t="str">
        <f>CONCATENATE(PAA[[#This Row],[Id Interno]],"-",PAA[[#This Row],[tipo de Contrato (TH talento humano - B/S bienes y/o servicios)]],"-",S280,"-",T280,"-",PAA[[#This Row],[Objeto de la contratación]])</f>
        <v>20260239-TH-8173-4-Prestación de servicios profesionales para realizar el seguimiento y monitoreo a los diferentes procesos y procedimientos del equipo menor a cargo de la Subdirección Logística - SBLG</v>
      </c>
    </row>
    <row r="281" spans="2:35" ht="56" x14ac:dyDescent="0.35">
      <c r="B281" s="23">
        <v>20260240</v>
      </c>
      <c r="C281" s="99" t="s">
        <v>857</v>
      </c>
      <c r="D281" s="23" t="s">
        <v>105</v>
      </c>
      <c r="E281" s="23" t="s">
        <v>363</v>
      </c>
      <c r="F281" s="156" t="s">
        <v>145</v>
      </c>
      <c r="G281" s="157" t="s">
        <v>373</v>
      </c>
      <c r="H281" s="158">
        <v>7</v>
      </c>
      <c r="I281" s="158">
        <v>0</v>
      </c>
      <c r="J281" s="127">
        <v>25200000</v>
      </c>
      <c r="K281" s="88" t="s">
        <v>398</v>
      </c>
      <c r="L281" s="156" t="s">
        <v>157</v>
      </c>
      <c r="M281" s="159" t="s">
        <v>512</v>
      </c>
      <c r="N281" s="23" t="s">
        <v>198</v>
      </c>
      <c r="O281" s="151" t="s">
        <v>964</v>
      </c>
      <c r="P281" s="156" t="s">
        <v>348</v>
      </c>
      <c r="Q281" s="53">
        <v>80111600</v>
      </c>
      <c r="R281" s="159" t="s">
        <v>213</v>
      </c>
      <c r="S281" s="159" t="str">
        <f>MID(PAA[[#This Row],[Meta Proyecto de Inversión]],1,4)</f>
        <v>8173</v>
      </c>
      <c r="T281" s="159" t="str">
        <f>MID(PAA[[#This Row],[Meta Proyecto de Inversión]],6,1)</f>
        <v>4</v>
      </c>
      <c r="U281" s="160" t="str">
        <f>IFERROR(VLOOKUP(N281,TD!$B$50:$F$54,2,0)," ")</f>
        <v>O230117</v>
      </c>
      <c r="V281" s="160" t="str">
        <f>IFERROR(VLOOKUP(N281,TD!$B$50:$F$54,3,0)," ")</f>
        <v>4503</v>
      </c>
      <c r="W281" s="160">
        <f>IFERROR(VLOOKUP(N281,TD!$B$50:$F$54,4,0)," ")</f>
        <v>20240255</v>
      </c>
      <c r="X281" s="159" t="s">
        <v>176</v>
      </c>
      <c r="Y281" s="160" t="str">
        <f>IFERROR(VLOOKUP(X281,TD!$J$51:$K$64,2,0)," ")</f>
        <v>Servicio de mantenimiento, dotación (HEA´s y equipo menor) y adquisición de vehiculos   especializados para la atención de emergencias.</v>
      </c>
      <c r="Z281" s="161" t="str">
        <f>CONCATENATE(X281,"-",Y281)</f>
        <v>09-Servicio de mantenimiento, dotación (HEA´s y equipo menor) y adquisición de vehiculos   especializados para la atención de emergencias.</v>
      </c>
      <c r="AA281" s="159" t="s">
        <v>221</v>
      </c>
      <c r="AB281" s="160" t="str">
        <f>IFERROR(VLOOKUP(AA281,TD!$N$51:$O$66,2,0)," ")</f>
        <v>Servicio de atención a emergencias y desastres</v>
      </c>
      <c r="AC281" s="161" t="str">
        <f>CONCATENATE(AA281,"_",AB281)</f>
        <v>004_Servicio de atención a emergencias y desastres</v>
      </c>
      <c r="AD281" s="161" t="str">
        <f>CONCATENATE(Z281," ",AC281)</f>
        <v>09-Servicio de mantenimiento, dotación (HEA´s y equipo menor) y adquisición de vehiculos   especializados para la atención de emergencias. 004_Servicio de atención a emergencias y desastres</v>
      </c>
      <c r="AE281" s="160" t="str">
        <f>CONCATENATE(U281,V281,W281,X281,AA281)</f>
        <v>O23011745032024025509004</v>
      </c>
      <c r="AF281" s="160" t="str">
        <f>IFERROR(VLOOKUP(AD281,TD!$J$66:$K$89,2,0)," ")</f>
        <v>PM/0131/0109/45030040255</v>
      </c>
      <c r="AG281" s="118" t="s">
        <v>385</v>
      </c>
      <c r="AH281" s="159" t="s">
        <v>193</v>
      </c>
      <c r="AI281" s="162" t="str">
        <f>CONCATENATE(PAA[[#This Row],[Id Interno]],"-",PAA[[#This Row],[tipo de Contrato (TH talento humano - B/S bienes y/o servicios)]],"-",S281,"-",T281,"-",PAA[[#This Row],[Objeto de la contratación]])</f>
        <v>20260240-TH-8173-4-Prestar servicio de apoyo a la gestión para asistir a la Subdirección Logística en el seguimiento técnico y administrativo de los mantenimientos minimos requeridos en la Subdirección Logística - SBLG</v>
      </c>
    </row>
    <row r="282" spans="2:35" ht="56" x14ac:dyDescent="0.35">
      <c r="B282" s="23">
        <v>20260241</v>
      </c>
      <c r="C282" s="99" t="s">
        <v>859</v>
      </c>
      <c r="D282" s="23" t="s">
        <v>105</v>
      </c>
      <c r="E282" s="23" t="s">
        <v>363</v>
      </c>
      <c r="F282" s="156" t="s">
        <v>144</v>
      </c>
      <c r="G282" s="157" t="s">
        <v>373</v>
      </c>
      <c r="H282" s="158">
        <v>7</v>
      </c>
      <c r="I282" s="158">
        <v>15</v>
      </c>
      <c r="J282" s="127">
        <v>60000000</v>
      </c>
      <c r="K282" s="88" t="s">
        <v>398</v>
      </c>
      <c r="L282" s="156" t="s">
        <v>157</v>
      </c>
      <c r="M282" s="159" t="s">
        <v>512</v>
      </c>
      <c r="N282" s="23" t="s">
        <v>198</v>
      </c>
      <c r="O282" s="151" t="s">
        <v>964</v>
      </c>
      <c r="P282" s="156" t="s">
        <v>348</v>
      </c>
      <c r="Q282" s="53">
        <v>80111600</v>
      </c>
      <c r="R282" s="159" t="s">
        <v>213</v>
      </c>
      <c r="S282" s="159" t="str">
        <f>MID(PAA[[#This Row],[Meta Proyecto de Inversión]],1,4)</f>
        <v>8173</v>
      </c>
      <c r="T282" s="159" t="str">
        <f>MID(PAA[[#This Row],[Meta Proyecto de Inversión]],6,1)</f>
        <v>4</v>
      </c>
      <c r="U282" s="160" t="str">
        <f>IFERROR(VLOOKUP(N282,TD!$B$50:$F$54,2,0)," ")</f>
        <v>O230117</v>
      </c>
      <c r="V282" s="160" t="str">
        <f>IFERROR(VLOOKUP(N282,TD!$B$50:$F$54,3,0)," ")</f>
        <v>4503</v>
      </c>
      <c r="W282" s="160">
        <f>IFERROR(VLOOKUP(N282,TD!$B$50:$F$54,4,0)," ")</f>
        <v>20240255</v>
      </c>
      <c r="X282" s="159" t="s">
        <v>180</v>
      </c>
      <c r="Y282" s="160" t="str">
        <f>IFERROR(VLOOKUP(X282,TD!$J$51:$K$64,2,0)," ")</f>
        <v>Servicio de apoyo   logístico  en eventos operativos y/o emergencias.</v>
      </c>
      <c r="Z282" s="161" t="str">
        <f>CONCATENATE(X282,"-",Y282)</f>
        <v>12-Servicio de apoyo   logístico  en eventos operativos y/o emergencias.</v>
      </c>
      <c r="AA282" s="159" t="s">
        <v>221</v>
      </c>
      <c r="AB282" s="160" t="str">
        <f>IFERROR(VLOOKUP(AA282,TD!$N$51:$O$66,2,0)," ")</f>
        <v>Servicio de atención a emergencias y desastres</v>
      </c>
      <c r="AC282" s="161" t="str">
        <f>CONCATENATE(AA282,"_",AB282)</f>
        <v>004_Servicio de atención a emergencias y desastres</v>
      </c>
      <c r="AD282" s="161" t="str">
        <f>CONCATENATE(Z282," ",AC282)</f>
        <v>12-Servicio de apoyo   logístico  en eventos operativos y/o emergencias. 004_Servicio de atención a emergencias y desastres</v>
      </c>
      <c r="AE282" s="160" t="str">
        <f>CONCATENATE(U282,V282,W282,X282,AA282)</f>
        <v>O23011745032024025512004</v>
      </c>
      <c r="AF282" s="160" t="str">
        <f>IFERROR(VLOOKUP(AD282,TD!$J$66:$K$89,2,0)," ")</f>
        <v>PM/0131/0112/45030040255</v>
      </c>
      <c r="AG282" s="118" t="s">
        <v>385</v>
      </c>
      <c r="AH282" s="159" t="s">
        <v>193</v>
      </c>
      <c r="AI282" s="162" t="str">
        <f>CONCATENATE(PAA[[#This Row],[Id Interno]],"-",PAA[[#This Row],[tipo de Contrato (TH talento humano - B/S bienes y/o servicios)]],"-",S282,"-",T282,"-",PAA[[#This Row],[Objeto de la contratación]])</f>
        <v>20260241-TH-8173-4-Prestación de servicios profesionales para realizar el seguimiento, verificación y asignación de las solicitudes recepcionadas atraves de las herramientas tecnológicas  asociadas a la Subdirección Logística - SBLG</v>
      </c>
    </row>
    <row r="283" spans="2:35" ht="56" x14ac:dyDescent="0.35">
      <c r="B283" s="23">
        <v>20260242</v>
      </c>
      <c r="C283" s="99" t="s">
        <v>934</v>
      </c>
      <c r="D283" s="23" t="s">
        <v>105</v>
      </c>
      <c r="E283" s="23" t="s">
        <v>363</v>
      </c>
      <c r="F283" s="156" t="s">
        <v>144</v>
      </c>
      <c r="G283" s="157" t="s">
        <v>373</v>
      </c>
      <c r="H283" s="158">
        <v>7</v>
      </c>
      <c r="I283" s="158">
        <v>0</v>
      </c>
      <c r="J283" s="127">
        <v>31500000</v>
      </c>
      <c r="K283" s="88" t="s">
        <v>398</v>
      </c>
      <c r="L283" s="156" t="s">
        <v>157</v>
      </c>
      <c r="M283" s="159" t="s">
        <v>512</v>
      </c>
      <c r="N283" s="23" t="s">
        <v>198</v>
      </c>
      <c r="O283" s="151" t="s">
        <v>964</v>
      </c>
      <c r="P283" s="156" t="s">
        <v>348</v>
      </c>
      <c r="Q283" s="53">
        <v>80111600</v>
      </c>
      <c r="R283" s="159" t="s">
        <v>213</v>
      </c>
      <c r="S283" s="159" t="str">
        <f>MID(PAA[[#This Row],[Meta Proyecto de Inversión]],1,4)</f>
        <v>8173</v>
      </c>
      <c r="T283" s="159" t="str">
        <f>MID(PAA[[#This Row],[Meta Proyecto de Inversión]],6,1)</f>
        <v>4</v>
      </c>
      <c r="U283" s="160" t="str">
        <f>IFERROR(VLOOKUP(N283,TD!$B$50:$F$54,2,0)," ")</f>
        <v>O230117</v>
      </c>
      <c r="V283" s="160" t="str">
        <f>IFERROR(VLOOKUP(N283,TD!$B$50:$F$54,3,0)," ")</f>
        <v>4503</v>
      </c>
      <c r="W283" s="160">
        <f>IFERROR(VLOOKUP(N283,TD!$B$50:$F$54,4,0)," ")</f>
        <v>20240255</v>
      </c>
      <c r="X283" s="159" t="s">
        <v>180</v>
      </c>
      <c r="Y283" s="160" t="str">
        <f>IFERROR(VLOOKUP(X283,TD!$J$51:$K$64,2,0)," ")</f>
        <v>Servicio de apoyo   logístico  en eventos operativos y/o emergencias.</v>
      </c>
      <c r="Z283" s="161" t="str">
        <f>CONCATENATE(X283,"-",Y283)</f>
        <v>12-Servicio de apoyo   logístico  en eventos operativos y/o emergencias.</v>
      </c>
      <c r="AA283" s="159" t="s">
        <v>221</v>
      </c>
      <c r="AB283" s="160" t="str">
        <f>IFERROR(VLOOKUP(AA283,TD!$N$51:$O$66,2,0)," ")</f>
        <v>Servicio de atención a emergencias y desastres</v>
      </c>
      <c r="AC283" s="161" t="str">
        <f>CONCATENATE(AA283,"_",AB283)</f>
        <v>004_Servicio de atención a emergencias y desastres</v>
      </c>
      <c r="AD283" s="161" t="str">
        <f>CONCATENATE(Z283," ",AC283)</f>
        <v>12-Servicio de apoyo   logístico  en eventos operativos y/o emergencias. 004_Servicio de atención a emergencias y desastres</v>
      </c>
      <c r="AE283" s="160" t="str">
        <f>CONCATENATE(U283,V283,W283,X283,AA283)</f>
        <v>O23011745032024025512004</v>
      </c>
      <c r="AF283" s="160" t="str">
        <f>IFERROR(VLOOKUP(AD283,TD!$J$66:$K$89,2,0)," ")</f>
        <v>PM/0131/0112/45030040255</v>
      </c>
      <c r="AG283" s="118" t="s">
        <v>385</v>
      </c>
      <c r="AH283" s="159" t="s">
        <v>193</v>
      </c>
      <c r="AI283" s="162" t="str">
        <f>CONCATENATE(PAA[[#This Row],[Id Interno]],"-",PAA[[#This Row],[tipo de Contrato (TH talento humano - B/S bienes y/o servicios)]],"-",S283,"-",T283,"-",PAA[[#This Row],[Objeto de la contratación]])</f>
        <v>20260242-TH-8173-4-Prestar servicios profesionales para el seguimiento y gestión de las actividades establecidas en los planes de acción y estratégicos; así como, de los procesos de planeación y administrativos propios de Subdirección Logística - SBLG"</v>
      </c>
    </row>
    <row r="284" spans="2:35" ht="56" x14ac:dyDescent="0.35">
      <c r="B284" s="23">
        <v>20260243</v>
      </c>
      <c r="C284" s="99" t="s">
        <v>860</v>
      </c>
      <c r="D284" s="23" t="s">
        <v>105</v>
      </c>
      <c r="E284" s="23" t="s">
        <v>363</v>
      </c>
      <c r="F284" s="156" t="s">
        <v>144</v>
      </c>
      <c r="G284" s="157" t="s">
        <v>373</v>
      </c>
      <c r="H284" s="158">
        <v>8</v>
      </c>
      <c r="I284" s="158">
        <v>0</v>
      </c>
      <c r="J284" s="127">
        <v>48000000</v>
      </c>
      <c r="K284" s="88" t="s">
        <v>398</v>
      </c>
      <c r="L284" s="156" t="s">
        <v>157</v>
      </c>
      <c r="M284" s="159" t="s">
        <v>512</v>
      </c>
      <c r="N284" s="23" t="s">
        <v>198</v>
      </c>
      <c r="O284" s="151" t="s">
        <v>964</v>
      </c>
      <c r="P284" s="156" t="s">
        <v>348</v>
      </c>
      <c r="Q284" s="53">
        <v>80111600</v>
      </c>
      <c r="R284" s="159" t="s">
        <v>213</v>
      </c>
      <c r="S284" s="159" t="str">
        <f>MID(PAA[[#This Row],[Meta Proyecto de Inversión]],1,4)</f>
        <v>8173</v>
      </c>
      <c r="T284" s="159" t="str">
        <f>MID(PAA[[#This Row],[Meta Proyecto de Inversión]],6,1)</f>
        <v>4</v>
      </c>
      <c r="U284" s="160" t="str">
        <f>IFERROR(VLOOKUP(N284,TD!$B$50:$F$54,2,0)," ")</f>
        <v>O230117</v>
      </c>
      <c r="V284" s="160" t="str">
        <f>IFERROR(VLOOKUP(N284,TD!$B$50:$F$54,3,0)," ")</f>
        <v>4503</v>
      </c>
      <c r="W284" s="160">
        <f>IFERROR(VLOOKUP(N284,TD!$B$50:$F$54,4,0)," ")</f>
        <v>20240255</v>
      </c>
      <c r="X284" s="159" t="s">
        <v>180</v>
      </c>
      <c r="Y284" s="160" t="str">
        <f>IFERROR(VLOOKUP(X284,TD!$J$51:$K$64,2,0)," ")</f>
        <v>Servicio de apoyo   logístico  en eventos operativos y/o emergencias.</v>
      </c>
      <c r="Z284" s="161" t="str">
        <f>CONCATENATE(X284,"-",Y284)</f>
        <v>12-Servicio de apoyo   logístico  en eventos operativos y/o emergencias.</v>
      </c>
      <c r="AA284" s="159" t="s">
        <v>221</v>
      </c>
      <c r="AB284" s="160" t="str">
        <f>IFERROR(VLOOKUP(AA284,TD!$N$51:$O$66,2,0)," ")</f>
        <v>Servicio de atención a emergencias y desastres</v>
      </c>
      <c r="AC284" s="161" t="str">
        <f>CONCATENATE(AA284,"_",AB284)</f>
        <v>004_Servicio de atención a emergencias y desastres</v>
      </c>
      <c r="AD284" s="161" t="str">
        <f>CONCATENATE(Z284," ",AC284)</f>
        <v>12-Servicio de apoyo   logístico  en eventos operativos y/o emergencias. 004_Servicio de atención a emergencias y desastres</v>
      </c>
      <c r="AE284" s="160" t="str">
        <f>CONCATENATE(U284,V284,W284,X284,AA284)</f>
        <v>O23011745032024025512004</v>
      </c>
      <c r="AF284" s="160" t="str">
        <f>IFERROR(VLOOKUP(AD284,TD!$J$66:$K$89,2,0)," ")</f>
        <v>PM/0131/0112/45030040255</v>
      </c>
      <c r="AG284" s="118" t="s">
        <v>385</v>
      </c>
      <c r="AH284" s="159" t="s">
        <v>193</v>
      </c>
      <c r="AI284" s="162" t="str">
        <f>CONCATENATE(PAA[[#This Row],[Id Interno]],"-",PAA[[#This Row],[tipo de Contrato (TH talento humano - B/S bienes y/o servicios)]],"-",S284,"-",T284,"-",PAA[[#This Row],[Objeto de la contratación]])</f>
        <v>20260243-TH-8173-4-Prestar servicios profesionales apoyando las estrategias de comunicación, capacitación y gestión administrativa que promueva el uso y apropiación de los programas desarrollados en cada una de las estrategías de la Subdirección Logística - SBLG</v>
      </c>
    </row>
    <row r="285" spans="2:35" ht="56" x14ac:dyDescent="0.35">
      <c r="B285" s="23">
        <v>20260244</v>
      </c>
      <c r="C285" s="99" t="s">
        <v>514</v>
      </c>
      <c r="D285" s="23" t="s">
        <v>114</v>
      </c>
      <c r="E285" s="23" t="s">
        <v>402</v>
      </c>
      <c r="F285" s="156" t="s">
        <v>111</v>
      </c>
      <c r="G285" s="157" t="s">
        <v>375</v>
      </c>
      <c r="H285" s="158">
        <v>10</v>
      </c>
      <c r="I285" s="158">
        <v>0</v>
      </c>
      <c r="J285" s="127">
        <v>111000000</v>
      </c>
      <c r="K285" s="88" t="s">
        <v>398</v>
      </c>
      <c r="L285" s="156" t="s">
        <v>157</v>
      </c>
      <c r="M285" s="159" t="s">
        <v>512</v>
      </c>
      <c r="N285" s="23" t="s">
        <v>198</v>
      </c>
      <c r="O285" s="151" t="s">
        <v>964</v>
      </c>
      <c r="P285" s="156" t="s">
        <v>161</v>
      </c>
      <c r="Q285" s="53">
        <v>15101500</v>
      </c>
      <c r="R285" s="159" t="s">
        <v>213</v>
      </c>
      <c r="S285" s="159" t="str">
        <f>MID(PAA[[#This Row],[Meta Proyecto de Inversión]],1,4)</f>
        <v>8173</v>
      </c>
      <c r="T285" s="159" t="str">
        <f>MID(PAA[[#This Row],[Meta Proyecto de Inversión]],6,1)</f>
        <v>4</v>
      </c>
      <c r="U285" s="160" t="str">
        <f>IFERROR(VLOOKUP(N285,TD!$B$50:$F$54,2,0)," ")</f>
        <v>O230117</v>
      </c>
      <c r="V285" s="160" t="str">
        <f>IFERROR(VLOOKUP(N285,TD!$B$50:$F$54,3,0)," ")</f>
        <v>4503</v>
      </c>
      <c r="W285" s="160">
        <f>IFERROR(VLOOKUP(N285,TD!$B$50:$F$54,4,0)," ")</f>
        <v>20240255</v>
      </c>
      <c r="X285" s="159" t="s">
        <v>180</v>
      </c>
      <c r="Y285" s="160" t="str">
        <f>IFERROR(VLOOKUP(X285,TD!$J$51:$K$64,2,0)," ")</f>
        <v>Servicio de apoyo   logístico  en eventos operativos y/o emergencias.</v>
      </c>
      <c r="Z285" s="161" t="str">
        <f>CONCATENATE(X285,"-",Y285)</f>
        <v>12-Servicio de apoyo   logístico  en eventos operativos y/o emergencias.</v>
      </c>
      <c r="AA285" s="159" t="s">
        <v>221</v>
      </c>
      <c r="AB285" s="160" t="str">
        <f>IFERROR(VLOOKUP(AA285,TD!$N$51:$O$66,2,0)," ")</f>
        <v>Servicio de atención a emergencias y desastres</v>
      </c>
      <c r="AC285" s="161" t="str">
        <f>CONCATENATE(AA285,"_",AB285)</f>
        <v>004_Servicio de atención a emergencias y desastres</v>
      </c>
      <c r="AD285" s="161" t="str">
        <f>CONCATENATE(Z285," ",AC285)</f>
        <v>12-Servicio de apoyo   logístico  en eventos operativos y/o emergencias. 004_Servicio de atención a emergencias y desastres</v>
      </c>
      <c r="AE285" s="160" t="str">
        <f>CONCATENATE(U285,V285,W285,X285,AA285)</f>
        <v>O23011745032024025512004</v>
      </c>
      <c r="AF285" s="160" t="str">
        <f>IFERROR(VLOOKUP(AD285,TD!$J$66:$K$89,2,0)," ")</f>
        <v>PM/0131/0112/45030040255</v>
      </c>
      <c r="AG285" s="118" t="s">
        <v>85</v>
      </c>
      <c r="AH285" s="159" t="s">
        <v>193</v>
      </c>
      <c r="AI285" s="162" t="str">
        <f>CONCATENATE(PAA[[#This Row],[Id Interno]],"-",PAA[[#This Row],[tipo de Contrato (TH talento humano - B/S bienes y/o servicios)]],"-",S285,"-",T285,"-",PAA[[#This Row],[Objeto de la contratación]])</f>
        <v>20260244-BS-8173-4-Suministrar combustible para los vehículos, y equipos especializados de la U.A.E. Cuerpo Oficial de Bomberos Bogotá dentro y fuera del perímetro del Distrito Capital - SBLG</v>
      </c>
    </row>
    <row r="286" spans="2:35" ht="56" x14ac:dyDescent="0.35">
      <c r="B286" s="23">
        <v>20260245</v>
      </c>
      <c r="C286" s="99" t="s">
        <v>515</v>
      </c>
      <c r="D286" s="23" t="s">
        <v>88</v>
      </c>
      <c r="E286" s="23" t="s">
        <v>402</v>
      </c>
      <c r="F286" s="156" t="s">
        <v>89</v>
      </c>
      <c r="G286" s="157" t="s">
        <v>375</v>
      </c>
      <c r="H286" s="158">
        <v>10</v>
      </c>
      <c r="I286" s="158">
        <v>0</v>
      </c>
      <c r="J286" s="127">
        <v>25000000</v>
      </c>
      <c r="K286" s="88" t="s">
        <v>398</v>
      </c>
      <c r="L286" s="156" t="s">
        <v>157</v>
      </c>
      <c r="M286" s="159" t="s">
        <v>512</v>
      </c>
      <c r="N286" s="23" t="s">
        <v>198</v>
      </c>
      <c r="O286" s="151" t="s">
        <v>964</v>
      </c>
      <c r="P286" s="156" t="s">
        <v>348</v>
      </c>
      <c r="Q286" s="53" t="s">
        <v>516</v>
      </c>
      <c r="R286" s="159" t="s">
        <v>213</v>
      </c>
      <c r="S286" s="159" t="str">
        <f>MID(PAA[[#This Row],[Meta Proyecto de Inversión]],1,4)</f>
        <v>8173</v>
      </c>
      <c r="T286" s="159" t="str">
        <f>MID(PAA[[#This Row],[Meta Proyecto de Inversión]],6,1)</f>
        <v>4</v>
      </c>
      <c r="U286" s="160" t="str">
        <f>IFERROR(VLOOKUP(N286,TD!$B$50:$F$54,2,0)," ")</f>
        <v>O230117</v>
      </c>
      <c r="V286" s="160" t="str">
        <f>IFERROR(VLOOKUP(N286,TD!$B$50:$F$54,3,0)," ")</f>
        <v>4503</v>
      </c>
      <c r="W286" s="160">
        <f>IFERROR(VLOOKUP(N286,TD!$B$50:$F$54,4,0)," ")</f>
        <v>20240255</v>
      </c>
      <c r="X286" s="159" t="s">
        <v>176</v>
      </c>
      <c r="Y286" s="160" t="str">
        <f>IFERROR(VLOOKUP(X286,TD!$J$51:$K$64,2,0)," ")</f>
        <v>Servicio de mantenimiento, dotación (HEA´s y equipo menor) y adquisición de vehiculos   especializados para la atención de emergencias.</v>
      </c>
      <c r="Z286" s="161" t="str">
        <f>CONCATENATE(X286,"-",Y286)</f>
        <v>09-Servicio de mantenimiento, dotación (HEA´s y equipo menor) y adquisición de vehiculos   especializados para la atención de emergencias.</v>
      </c>
      <c r="AA286" s="159" t="s">
        <v>221</v>
      </c>
      <c r="AB286" s="160" t="str">
        <f>IFERROR(VLOOKUP(AA286,TD!$N$51:$O$66,2,0)," ")</f>
        <v>Servicio de atención a emergencias y desastres</v>
      </c>
      <c r="AC286" s="161" t="str">
        <f>CONCATENATE(AA286,"_",AB286)</f>
        <v>004_Servicio de atención a emergencias y desastres</v>
      </c>
      <c r="AD286" s="161" t="str">
        <f>CONCATENATE(Z286," ",AC286)</f>
        <v>09-Servicio de mantenimiento, dotación (HEA´s y equipo menor) y adquisición de vehiculos   especializados para la atención de emergencias. 004_Servicio de atención a emergencias y desastres</v>
      </c>
      <c r="AE286" s="160" t="str">
        <f>CONCATENATE(U286,V286,W286,X286,AA286)</f>
        <v>O23011745032024025509004</v>
      </c>
      <c r="AF286" s="160" t="str">
        <f>IFERROR(VLOOKUP(AD286,TD!$J$66:$K$89,2,0)," ")</f>
        <v>PM/0131/0109/45030040255</v>
      </c>
      <c r="AG286" s="118" t="s">
        <v>80</v>
      </c>
      <c r="AH286" s="159" t="s">
        <v>193</v>
      </c>
      <c r="AI286" s="162" t="str">
        <f>CONCATENATE(PAA[[#This Row],[Id Interno]],"-",PAA[[#This Row],[tipo de Contrato (TH talento humano - B/S bienes y/o servicios)]],"-",S286,"-",T286,"-",PAA[[#This Row],[Objeto de la contratación]])</f>
        <v>20260245-BS-8173-4-Mantenimiento correctivo y preventivo de los equipos menores con suministro, repuestos, accesorios e insumos de propiedad de la UAECOB. – SBLG </v>
      </c>
    </row>
    <row r="287" spans="2:35" ht="56" x14ac:dyDescent="0.35">
      <c r="B287" s="23">
        <v>20260246</v>
      </c>
      <c r="C287" s="99" t="s">
        <v>524</v>
      </c>
      <c r="D287" s="23" t="s">
        <v>92</v>
      </c>
      <c r="E287" s="23" t="s">
        <v>402</v>
      </c>
      <c r="F287" s="156" t="s">
        <v>111</v>
      </c>
      <c r="G287" s="157" t="s">
        <v>376</v>
      </c>
      <c r="H287" s="158">
        <v>8</v>
      </c>
      <c r="I287" s="158">
        <v>0</v>
      </c>
      <c r="J287" s="127">
        <v>25000000</v>
      </c>
      <c r="K287" s="88" t="s">
        <v>398</v>
      </c>
      <c r="L287" s="156" t="s">
        <v>157</v>
      </c>
      <c r="M287" s="159" t="s">
        <v>512</v>
      </c>
      <c r="N287" s="23" t="s">
        <v>198</v>
      </c>
      <c r="O287" s="151" t="s">
        <v>964</v>
      </c>
      <c r="P287" s="156" t="s">
        <v>348</v>
      </c>
      <c r="Q287" s="53" t="s">
        <v>525</v>
      </c>
      <c r="R287" s="159" t="s">
        <v>213</v>
      </c>
      <c r="S287" s="159" t="str">
        <f>MID(PAA[[#This Row],[Meta Proyecto de Inversión]],1,4)</f>
        <v>8173</v>
      </c>
      <c r="T287" s="159" t="str">
        <f>MID(PAA[[#This Row],[Meta Proyecto de Inversión]],6,1)</f>
        <v>4</v>
      </c>
      <c r="U287" s="160" t="str">
        <f>IFERROR(VLOOKUP(N287,TD!$B$50:$F$54,2,0)," ")</f>
        <v>O230117</v>
      </c>
      <c r="V287" s="160" t="str">
        <f>IFERROR(VLOOKUP(N287,TD!$B$50:$F$54,3,0)," ")</f>
        <v>4503</v>
      </c>
      <c r="W287" s="160">
        <f>IFERROR(VLOOKUP(N287,TD!$B$50:$F$54,4,0)," ")</f>
        <v>20240255</v>
      </c>
      <c r="X287" s="159" t="s">
        <v>180</v>
      </c>
      <c r="Y287" s="160" t="str">
        <f>IFERROR(VLOOKUP(X287,TD!$J$51:$K$64,2,0)," ")</f>
        <v>Servicio de apoyo   logístico  en eventos operativos y/o emergencias.</v>
      </c>
      <c r="Z287" s="161" t="str">
        <f>CONCATENATE(X287,"-",Y287)</f>
        <v>12-Servicio de apoyo   logístico  en eventos operativos y/o emergencias.</v>
      </c>
      <c r="AA287" s="159" t="s">
        <v>221</v>
      </c>
      <c r="AB287" s="160" t="str">
        <f>IFERROR(VLOOKUP(AA287,TD!$N$51:$O$66,2,0)," ")</f>
        <v>Servicio de atención a emergencias y desastres</v>
      </c>
      <c r="AC287" s="161" t="str">
        <f>CONCATENATE(AA287,"_",AB287)</f>
        <v>004_Servicio de atención a emergencias y desastres</v>
      </c>
      <c r="AD287" s="161" t="str">
        <f>CONCATENATE(Z287," ",AC287)</f>
        <v>12-Servicio de apoyo   logístico  en eventos operativos y/o emergencias. 004_Servicio de atención a emergencias y desastres</v>
      </c>
      <c r="AE287" s="160" t="str">
        <f>CONCATENATE(U287,V287,W287,X287,AA287)</f>
        <v>O23011745032024025512004</v>
      </c>
      <c r="AF287" s="160" t="str">
        <f>IFERROR(VLOOKUP(AD287,TD!$J$66:$K$89,2,0)," ")</f>
        <v>PM/0131/0112/45030040255</v>
      </c>
      <c r="AG287" s="118" t="s">
        <v>125</v>
      </c>
      <c r="AH287" s="159" t="s">
        <v>193</v>
      </c>
      <c r="AI287" s="162" t="str">
        <f>CONCATENATE(PAA[[#This Row],[Id Interno]],"-",PAA[[#This Row],[tipo de Contrato (TH talento humano - B/S bienes y/o servicios)]],"-",S287,"-",T287,"-",PAA[[#This Row],[Objeto de la contratación]])</f>
        <v>20260246-BS-8173-4-Contratar el suministro de alimentación para los caninos del cuerpo oficial y animales rescatados por la U.A.E. del Cuerpo Oficial de Bomberos de Bogotá –  SBLG</v>
      </c>
    </row>
    <row r="288" spans="2:35" ht="56" x14ac:dyDescent="0.35">
      <c r="B288" s="23">
        <v>20260247</v>
      </c>
      <c r="C288" s="99" t="s">
        <v>520</v>
      </c>
      <c r="D288" s="23" t="s">
        <v>92</v>
      </c>
      <c r="E288" s="23" t="s">
        <v>402</v>
      </c>
      <c r="F288" s="156" t="s">
        <v>111</v>
      </c>
      <c r="G288" s="157" t="s">
        <v>377</v>
      </c>
      <c r="H288" s="158">
        <v>8</v>
      </c>
      <c r="I288" s="158">
        <v>0</v>
      </c>
      <c r="J288" s="127">
        <v>10000000</v>
      </c>
      <c r="K288" s="88" t="s">
        <v>398</v>
      </c>
      <c r="L288" s="156" t="s">
        <v>157</v>
      </c>
      <c r="M288" s="159" t="s">
        <v>512</v>
      </c>
      <c r="N288" s="23" t="s">
        <v>198</v>
      </c>
      <c r="O288" s="151" t="s">
        <v>964</v>
      </c>
      <c r="P288" s="156" t="s">
        <v>348</v>
      </c>
      <c r="Q288" s="53" t="s">
        <v>521</v>
      </c>
      <c r="R288" s="159" t="s">
        <v>213</v>
      </c>
      <c r="S288" s="159" t="str">
        <f>MID(PAA[[#This Row],[Meta Proyecto de Inversión]],1,4)</f>
        <v>8173</v>
      </c>
      <c r="T288" s="159" t="str">
        <f>MID(PAA[[#This Row],[Meta Proyecto de Inversión]],6,1)</f>
        <v>4</v>
      </c>
      <c r="U288" s="160" t="str">
        <f>IFERROR(VLOOKUP(N288,TD!$B$50:$F$54,2,0)," ")</f>
        <v>O230117</v>
      </c>
      <c r="V288" s="160" t="str">
        <f>IFERROR(VLOOKUP(N288,TD!$B$50:$F$54,3,0)," ")</f>
        <v>4503</v>
      </c>
      <c r="W288" s="160">
        <f>IFERROR(VLOOKUP(N288,TD!$B$50:$F$54,4,0)," ")</f>
        <v>20240255</v>
      </c>
      <c r="X288" s="159" t="s">
        <v>180</v>
      </c>
      <c r="Y288" s="160" t="str">
        <f>IFERROR(VLOOKUP(X288,TD!$J$51:$K$64,2,0)," ")</f>
        <v>Servicio de apoyo   logístico  en eventos operativos y/o emergencias.</v>
      </c>
      <c r="Z288" s="161" t="str">
        <f>CONCATENATE(X288,"-",Y288)</f>
        <v>12-Servicio de apoyo   logístico  en eventos operativos y/o emergencias.</v>
      </c>
      <c r="AA288" s="159" t="s">
        <v>221</v>
      </c>
      <c r="AB288" s="160" t="str">
        <f>IFERROR(VLOOKUP(AA288,TD!$N$51:$O$66,2,0)," ")</f>
        <v>Servicio de atención a emergencias y desastres</v>
      </c>
      <c r="AC288" s="161" t="str">
        <f>CONCATENATE(AA288,"_",AB288)</f>
        <v>004_Servicio de atención a emergencias y desastres</v>
      </c>
      <c r="AD288" s="161" t="str">
        <f>CONCATENATE(Z288," ",AC288)</f>
        <v>12-Servicio de apoyo   logístico  en eventos operativos y/o emergencias. 004_Servicio de atención a emergencias y desastres</v>
      </c>
      <c r="AE288" s="160" t="str">
        <f>CONCATENATE(U288,V288,W288,X288,AA288)</f>
        <v>O23011745032024025512004</v>
      </c>
      <c r="AF288" s="160" t="str">
        <f>IFERROR(VLOOKUP(AD288,TD!$J$66:$K$89,2,0)," ")</f>
        <v>PM/0131/0112/45030040255</v>
      </c>
      <c r="AG288" s="118" t="s">
        <v>939</v>
      </c>
      <c r="AH288" s="159" t="s">
        <v>193</v>
      </c>
      <c r="AI288" s="162" t="str">
        <f>CONCATENATE(PAA[[#This Row],[Id Interno]],"-",PAA[[#This Row],[tipo de Contrato (TH talento humano - B/S bienes y/o servicios)]],"-",S288,"-",T288,"-",PAA[[#This Row],[Objeto de la contratación]])</f>
        <v>20260247-BS-8173-4-Proveer el suministro de elementos de bioseguridad e insumos médicos básicos y otros para la atención de emergencias. - SBLG</v>
      </c>
    </row>
    <row r="289" spans="2:35" ht="56" x14ac:dyDescent="0.35">
      <c r="B289" s="23">
        <v>20260248</v>
      </c>
      <c r="C289" s="99" t="s">
        <v>522</v>
      </c>
      <c r="D289" s="23" t="s">
        <v>88</v>
      </c>
      <c r="E289" s="23" t="s">
        <v>402</v>
      </c>
      <c r="F289" s="156" t="s">
        <v>111</v>
      </c>
      <c r="G289" s="157" t="s">
        <v>377</v>
      </c>
      <c r="H289" s="158">
        <v>8</v>
      </c>
      <c r="I289" s="158">
        <v>0</v>
      </c>
      <c r="J289" s="127">
        <v>75000000</v>
      </c>
      <c r="K289" s="88" t="s">
        <v>398</v>
      </c>
      <c r="L289" s="156" t="s">
        <v>157</v>
      </c>
      <c r="M289" s="159" t="s">
        <v>512</v>
      </c>
      <c r="N289" s="23" t="s">
        <v>198</v>
      </c>
      <c r="O289" s="151" t="s">
        <v>964</v>
      </c>
      <c r="P289" s="156" t="s">
        <v>348</v>
      </c>
      <c r="Q289" s="53" t="s">
        <v>523</v>
      </c>
      <c r="R289" s="159" t="s">
        <v>213</v>
      </c>
      <c r="S289" s="159" t="str">
        <f>MID(PAA[[#This Row],[Meta Proyecto de Inversión]],1,4)</f>
        <v>8173</v>
      </c>
      <c r="T289" s="159" t="str">
        <f>MID(PAA[[#This Row],[Meta Proyecto de Inversión]],6,1)</f>
        <v>4</v>
      </c>
      <c r="U289" s="160" t="str">
        <f>IFERROR(VLOOKUP(N289,TD!$B$50:$F$54,2,0)," ")</f>
        <v>O230117</v>
      </c>
      <c r="V289" s="160" t="str">
        <f>IFERROR(VLOOKUP(N289,TD!$B$50:$F$54,3,0)," ")</f>
        <v>4503</v>
      </c>
      <c r="W289" s="160">
        <f>IFERROR(VLOOKUP(N289,TD!$B$50:$F$54,4,0)," ")</f>
        <v>20240255</v>
      </c>
      <c r="X289" s="159" t="s">
        <v>180</v>
      </c>
      <c r="Y289" s="160" t="str">
        <f>IFERROR(VLOOKUP(X289,TD!$J$51:$K$64,2,0)," ")</f>
        <v>Servicio de apoyo   logístico  en eventos operativos y/o emergencias.</v>
      </c>
      <c r="Z289" s="161" t="str">
        <f>CONCATENATE(X289,"-",Y289)</f>
        <v>12-Servicio de apoyo   logístico  en eventos operativos y/o emergencias.</v>
      </c>
      <c r="AA289" s="159" t="s">
        <v>221</v>
      </c>
      <c r="AB289" s="160" t="str">
        <f>IFERROR(VLOOKUP(AA289,TD!$N$51:$O$66,2,0)," ")</f>
        <v>Servicio de atención a emergencias y desastres</v>
      </c>
      <c r="AC289" s="161" t="str">
        <f>CONCATENATE(AA289,"_",AB289)</f>
        <v>004_Servicio de atención a emergencias y desastres</v>
      </c>
      <c r="AD289" s="161" t="str">
        <f>CONCATENATE(Z289," ",AC289)</f>
        <v>12-Servicio de apoyo   logístico  en eventos operativos y/o emergencias. 004_Servicio de atención a emergencias y desastres</v>
      </c>
      <c r="AE289" s="160" t="str">
        <f>CONCATENATE(U289,V289,W289,X289,AA289)</f>
        <v>O23011745032024025512004</v>
      </c>
      <c r="AF289" s="160" t="str">
        <f>IFERROR(VLOOKUP(AD289,TD!$J$66:$K$89,2,0)," ")</f>
        <v>PM/0131/0112/45030040255</v>
      </c>
      <c r="AG289" s="118" t="s">
        <v>102</v>
      </c>
      <c r="AH289" s="159" t="s">
        <v>193</v>
      </c>
      <c r="AI289" s="162" t="str">
        <f>CONCATENATE(PAA[[#This Row],[Id Interno]],"-",PAA[[#This Row],[tipo de Contrato (TH talento humano - B/S bienes y/o servicios)]],"-",S289,"-",T289,"-",PAA[[#This Row],[Objeto de la contratación]])</f>
        <v>20260248-BS-8173-4-Suministro de alimentación e hidratación para el cuerpo operativo en la atención de emergencias, entrenamientos, capacitaciones y actividades de prevención.-SBLG </v>
      </c>
    </row>
    <row r="290" spans="2:35" ht="56" x14ac:dyDescent="0.35">
      <c r="B290" s="23">
        <v>20260249</v>
      </c>
      <c r="C290" s="99" t="s">
        <v>530</v>
      </c>
      <c r="D290" s="23" t="s">
        <v>92</v>
      </c>
      <c r="E290" s="23" t="s">
        <v>402</v>
      </c>
      <c r="F290" s="156" t="s">
        <v>89</v>
      </c>
      <c r="G290" s="157" t="s">
        <v>377</v>
      </c>
      <c r="H290" s="158">
        <v>8</v>
      </c>
      <c r="I290" s="158">
        <v>0</v>
      </c>
      <c r="J290" s="127">
        <v>25000000</v>
      </c>
      <c r="K290" s="88" t="s">
        <v>398</v>
      </c>
      <c r="L290" s="156" t="s">
        <v>157</v>
      </c>
      <c r="M290" s="159" t="s">
        <v>512</v>
      </c>
      <c r="N290" s="23" t="s">
        <v>198</v>
      </c>
      <c r="O290" s="151" t="s">
        <v>964</v>
      </c>
      <c r="P290" s="156" t="s">
        <v>348</v>
      </c>
      <c r="Q290" s="53" t="s">
        <v>531</v>
      </c>
      <c r="R290" s="159" t="s">
        <v>213</v>
      </c>
      <c r="S290" s="159" t="str">
        <f>MID(PAA[[#This Row],[Meta Proyecto de Inversión]],1,4)</f>
        <v>8173</v>
      </c>
      <c r="T290" s="159" t="str">
        <f>MID(PAA[[#This Row],[Meta Proyecto de Inversión]],6,1)</f>
        <v>4</v>
      </c>
      <c r="U290" s="160" t="str">
        <f>IFERROR(VLOOKUP(N290,TD!$B$50:$F$54,2,0)," ")</f>
        <v>O230117</v>
      </c>
      <c r="V290" s="160" t="str">
        <f>IFERROR(VLOOKUP(N290,TD!$B$50:$F$54,3,0)," ")</f>
        <v>4503</v>
      </c>
      <c r="W290" s="160">
        <f>IFERROR(VLOOKUP(N290,TD!$B$50:$F$54,4,0)," ")</f>
        <v>20240255</v>
      </c>
      <c r="X290" s="159" t="s">
        <v>180</v>
      </c>
      <c r="Y290" s="160" t="str">
        <f>IFERROR(VLOOKUP(X290,TD!$J$51:$K$64,2,0)," ")</f>
        <v>Servicio de apoyo   logístico  en eventos operativos y/o emergencias.</v>
      </c>
      <c r="Z290" s="161" t="str">
        <f>CONCATENATE(X290,"-",Y290)</f>
        <v>12-Servicio de apoyo   logístico  en eventos operativos y/o emergencias.</v>
      </c>
      <c r="AA290" s="159" t="s">
        <v>221</v>
      </c>
      <c r="AB290" s="160" t="str">
        <f>IFERROR(VLOOKUP(AA290,TD!$N$51:$O$66,2,0)," ")</f>
        <v>Servicio de atención a emergencias y desastres</v>
      </c>
      <c r="AC290" s="161" t="str">
        <f>CONCATENATE(AA290,"_",AB290)</f>
        <v>004_Servicio de atención a emergencias y desastres</v>
      </c>
      <c r="AD290" s="161" t="str">
        <f>CONCATENATE(Z290," ",AC290)</f>
        <v>12-Servicio de apoyo   logístico  en eventos operativos y/o emergencias. 004_Servicio de atención a emergencias y desastres</v>
      </c>
      <c r="AE290" s="160" t="str">
        <f>CONCATENATE(U290,V290,W290,X290,AA290)</f>
        <v>O23011745032024025512004</v>
      </c>
      <c r="AF290" s="160" t="str">
        <f>IFERROR(VLOOKUP(AD290,TD!$J$66:$K$89,2,0)," ")</f>
        <v>PM/0131/0112/45030040255</v>
      </c>
      <c r="AG290" s="118" t="s">
        <v>125</v>
      </c>
      <c r="AH290" s="159" t="s">
        <v>193</v>
      </c>
      <c r="AI290" s="162" t="str">
        <f>CONCATENATE(PAA[[#This Row],[Id Interno]],"-",PAA[[#This Row],[tipo de Contrato (TH talento humano - B/S bienes y/o servicios)]],"-",S290,"-",T290,"-",PAA[[#This Row],[Objeto de la contratación]])</f>
        <v>20260249-BS-8173-4-Prestación de servicios médicos veterinarios, con suministro de medicamentos e insumos veterinarios y otros, para los caninos de la U.A.E. Cuerpo Oficial de Bomberos de Bogotá -  SBLG</v>
      </c>
    </row>
    <row r="291" spans="2:35" ht="70" x14ac:dyDescent="0.35">
      <c r="B291" s="23">
        <v>20260250</v>
      </c>
      <c r="C291" s="99" t="s">
        <v>535</v>
      </c>
      <c r="D291" s="23" t="s">
        <v>105</v>
      </c>
      <c r="E291" s="23" t="s">
        <v>402</v>
      </c>
      <c r="F291" s="156" t="s">
        <v>111</v>
      </c>
      <c r="G291" s="157" t="s">
        <v>377</v>
      </c>
      <c r="H291" s="158">
        <v>8</v>
      </c>
      <c r="I291" s="158">
        <v>0</v>
      </c>
      <c r="J291" s="127">
        <v>20000000</v>
      </c>
      <c r="K291" s="88" t="s">
        <v>398</v>
      </c>
      <c r="L291" s="156" t="s">
        <v>157</v>
      </c>
      <c r="M291" s="159" t="s">
        <v>512</v>
      </c>
      <c r="N291" s="23" t="s">
        <v>198</v>
      </c>
      <c r="O291" s="151" t="s">
        <v>964</v>
      </c>
      <c r="P291" s="156" t="s">
        <v>348</v>
      </c>
      <c r="Q291" s="53" t="s">
        <v>536</v>
      </c>
      <c r="R291" s="159" t="s">
        <v>213</v>
      </c>
      <c r="S291" s="159" t="str">
        <f>MID(PAA[[#This Row],[Meta Proyecto de Inversión]],1,4)</f>
        <v>8173</v>
      </c>
      <c r="T291" s="159" t="str">
        <f>MID(PAA[[#This Row],[Meta Proyecto de Inversión]],6,1)</f>
        <v>4</v>
      </c>
      <c r="U291" s="160" t="str">
        <f>IFERROR(VLOOKUP(N291,TD!$B$50:$F$54,2,0)," ")</f>
        <v>O230117</v>
      </c>
      <c r="V291" s="160" t="str">
        <f>IFERROR(VLOOKUP(N291,TD!$B$50:$F$54,3,0)," ")</f>
        <v>4503</v>
      </c>
      <c r="W291" s="160">
        <f>IFERROR(VLOOKUP(N291,TD!$B$50:$F$54,4,0)," ")</f>
        <v>20240255</v>
      </c>
      <c r="X291" s="159" t="s">
        <v>176</v>
      </c>
      <c r="Y291" s="160" t="str">
        <f>IFERROR(VLOOKUP(X291,TD!$J$51:$K$64,2,0)," ")</f>
        <v>Servicio de mantenimiento, dotación (HEA´s y equipo menor) y adquisición de vehiculos   especializados para la atención de emergencias.</v>
      </c>
      <c r="Z291" s="161" t="str">
        <f>CONCATENATE(X291,"-",Y291)</f>
        <v>09-Servicio de mantenimiento, dotación (HEA´s y equipo menor) y adquisición de vehiculos   especializados para la atención de emergencias.</v>
      </c>
      <c r="AA291" s="159" t="s">
        <v>221</v>
      </c>
      <c r="AB291" s="160" t="str">
        <f>IFERROR(VLOOKUP(AA291,TD!$N$51:$O$66,2,0)," ")</f>
        <v>Servicio de atención a emergencias y desastres</v>
      </c>
      <c r="AC291" s="161" t="str">
        <f>CONCATENATE(AA291,"_",AB291)</f>
        <v>004_Servicio de atención a emergencias y desastres</v>
      </c>
      <c r="AD291" s="161" t="str">
        <f>CONCATENATE(Z291," ",AC291)</f>
        <v>09-Servicio de mantenimiento, dotación (HEA´s y equipo menor) y adquisición de vehiculos   especializados para la atención de emergencias. 004_Servicio de atención a emergencias y desastres</v>
      </c>
      <c r="AE291" s="160" t="str">
        <f>CONCATENATE(U291,V291,W291,X291,AA291)</f>
        <v>O23011745032024025509004</v>
      </c>
      <c r="AF291" s="160" t="str">
        <f>IFERROR(VLOOKUP(AD291,TD!$J$66:$K$89,2,0)," ")</f>
        <v>PM/0131/0109/45030040255</v>
      </c>
      <c r="AG291" s="118" t="s">
        <v>587</v>
      </c>
      <c r="AH291" s="159" t="s">
        <v>193</v>
      </c>
      <c r="AI291" s="162" t="str">
        <f>CONCATENATE(PAA[[#This Row],[Id Interno]],"-",PAA[[#This Row],[tipo de Contrato (TH talento humano - B/S bienes y/o servicios)]],"-",S291,"-",T291,"-",PAA[[#This Row],[Objeto de la contratación]])</f>
        <v>20260250-BS-8173-4-Prestar el servicio de mantenimiento preventivo y correctivo de los compresores BAUER propiedad de la U.A.E. Cuerpo Oficial de Bomberos de Bogotá, incluido el suministro de repuestos, insumos y mano de obra especializada.  - SBLG</v>
      </c>
    </row>
    <row r="292" spans="2:35" ht="70" x14ac:dyDescent="0.35">
      <c r="B292" s="23">
        <v>20260251</v>
      </c>
      <c r="C292" s="99" t="s">
        <v>674</v>
      </c>
      <c r="D292" s="23" t="s">
        <v>88</v>
      </c>
      <c r="E292" s="23" t="s">
        <v>402</v>
      </c>
      <c r="F292" s="156" t="s">
        <v>89</v>
      </c>
      <c r="G292" s="157" t="s">
        <v>377</v>
      </c>
      <c r="H292" s="158">
        <v>8</v>
      </c>
      <c r="I292" s="158">
        <v>0</v>
      </c>
      <c r="J292" s="127">
        <v>3419000</v>
      </c>
      <c r="K292" s="88" t="s">
        <v>398</v>
      </c>
      <c r="L292" s="156" t="s">
        <v>157</v>
      </c>
      <c r="M292" s="159" t="s">
        <v>512</v>
      </c>
      <c r="N292" s="23" t="s">
        <v>198</v>
      </c>
      <c r="O292" s="151" t="s">
        <v>964</v>
      </c>
      <c r="P292" s="156" t="s">
        <v>161</v>
      </c>
      <c r="Q292" s="53" t="s">
        <v>537</v>
      </c>
      <c r="R292" s="159" t="s">
        <v>213</v>
      </c>
      <c r="S292" s="159" t="str">
        <f>MID(PAA[[#This Row],[Meta Proyecto de Inversión]],1,4)</f>
        <v>8173</v>
      </c>
      <c r="T292" s="159" t="str">
        <f>MID(PAA[[#This Row],[Meta Proyecto de Inversión]],6,1)</f>
        <v>4</v>
      </c>
      <c r="U292" s="160" t="str">
        <f>IFERROR(VLOOKUP(N292,TD!$B$50:$F$54,2,0)," ")</f>
        <v>O230117</v>
      </c>
      <c r="V292" s="160" t="str">
        <f>IFERROR(VLOOKUP(N292,TD!$B$50:$F$54,3,0)," ")</f>
        <v>4503</v>
      </c>
      <c r="W292" s="160">
        <f>IFERROR(VLOOKUP(N292,TD!$B$50:$F$54,4,0)," ")</f>
        <v>20240255</v>
      </c>
      <c r="X292" s="159" t="s">
        <v>176</v>
      </c>
      <c r="Y292" s="160" t="str">
        <f>IFERROR(VLOOKUP(X292,TD!$J$51:$K$64,2,0)," ")</f>
        <v>Servicio de mantenimiento, dotación (HEA´s y equipo menor) y adquisición de vehiculos   especializados para la atención de emergencias.</v>
      </c>
      <c r="Z292" s="161" t="str">
        <f>CONCATENATE(X292,"-",Y292)</f>
        <v>09-Servicio de mantenimiento, dotación (HEA´s y equipo menor) y adquisición de vehiculos   especializados para la atención de emergencias.</v>
      </c>
      <c r="AA292" s="163" t="s">
        <v>221</v>
      </c>
      <c r="AB292" s="160" t="str">
        <f>IFERROR(VLOOKUP(AA292,TD!$N$51:$O$66,2,0)," ")</f>
        <v>Servicio de atención a emergencias y desastres</v>
      </c>
      <c r="AC292" s="161" t="str">
        <f>CONCATENATE(AA292,"_",AB292)</f>
        <v>004_Servicio de atención a emergencias y desastres</v>
      </c>
      <c r="AD292" s="161" t="str">
        <f>CONCATENATE(Z292," ",AC292)</f>
        <v>09-Servicio de mantenimiento, dotación (HEA´s y equipo menor) y adquisición de vehiculos   especializados para la atención de emergencias. 004_Servicio de atención a emergencias y desastres</v>
      </c>
      <c r="AE292" s="160" t="str">
        <f>CONCATENATE(U292,V292,W292,X292,AA292)</f>
        <v>O23011745032024025509004</v>
      </c>
      <c r="AF292" s="160" t="str">
        <f>IFERROR(VLOOKUP(AD292,TD!$J$66:$K$89,2,0)," ")</f>
        <v>PM/0131/0109/45030040255</v>
      </c>
      <c r="AG292" s="118" t="s">
        <v>80</v>
      </c>
      <c r="AH292" s="159" t="s">
        <v>193</v>
      </c>
      <c r="AI292" s="162" t="str">
        <f>CONCATENATE(PAA[[#This Row],[Id Interno]],"-",PAA[[#This Row],[tipo de Contrato (TH talento humano - B/S bienes y/o servicios)]],"-",S292,"-",T292,"-",PAA[[#This Row],[Objeto de la contratación]])</f>
        <v>20260251-BS-8173-4-Prestar el servicio de  mantenimiento y recarga de extintores, cilindros y tanques de las maquinas extintoras de la UAECOB.  - SBLG</v>
      </c>
    </row>
    <row r="293" spans="2:35" ht="70" x14ac:dyDescent="0.35">
      <c r="B293" s="23">
        <v>20260252</v>
      </c>
      <c r="C293" s="99" t="s">
        <v>518</v>
      </c>
      <c r="D293" s="23" t="s">
        <v>105</v>
      </c>
      <c r="E293" s="23" t="s">
        <v>402</v>
      </c>
      <c r="F293" s="156" t="s">
        <v>89</v>
      </c>
      <c r="G293" s="157" t="s">
        <v>381</v>
      </c>
      <c r="H293" s="158">
        <v>8</v>
      </c>
      <c r="I293" s="158">
        <v>0</v>
      </c>
      <c r="J293" s="127">
        <v>20000000</v>
      </c>
      <c r="K293" s="88" t="s">
        <v>398</v>
      </c>
      <c r="L293" s="156" t="s">
        <v>157</v>
      </c>
      <c r="M293" s="159" t="s">
        <v>512</v>
      </c>
      <c r="N293" s="23" t="s">
        <v>198</v>
      </c>
      <c r="O293" s="151" t="s">
        <v>964</v>
      </c>
      <c r="P293" s="156" t="s">
        <v>348</v>
      </c>
      <c r="Q293" s="53" t="s">
        <v>519</v>
      </c>
      <c r="R293" s="159" t="s">
        <v>213</v>
      </c>
      <c r="S293" s="159" t="str">
        <f>MID(PAA[[#This Row],[Meta Proyecto de Inversión]],1,4)</f>
        <v>8173</v>
      </c>
      <c r="T293" s="159" t="str">
        <f>MID(PAA[[#This Row],[Meta Proyecto de Inversión]],6,1)</f>
        <v>4</v>
      </c>
      <c r="U293" s="160" t="str">
        <f>IFERROR(VLOOKUP(N293,TD!$B$50:$F$54,2,0)," ")</f>
        <v>O230117</v>
      </c>
      <c r="V293" s="160" t="str">
        <f>IFERROR(VLOOKUP(N293,TD!$B$50:$F$54,3,0)," ")</f>
        <v>4503</v>
      </c>
      <c r="W293" s="160">
        <f>IFERROR(VLOOKUP(N293,TD!$B$50:$F$54,4,0)," ")</f>
        <v>20240255</v>
      </c>
      <c r="X293" s="159" t="s">
        <v>176</v>
      </c>
      <c r="Y293" s="160" t="str">
        <f>IFERROR(VLOOKUP(X293,TD!$J$51:$K$64,2,0)," ")</f>
        <v>Servicio de mantenimiento, dotación (HEA´s y equipo menor) y adquisición de vehiculos   especializados para la atención de emergencias.</v>
      </c>
      <c r="Z293" s="161" t="str">
        <f>CONCATENATE(X293,"-",Y293)</f>
        <v>09-Servicio de mantenimiento, dotación (HEA´s y equipo menor) y adquisición de vehiculos   especializados para la atención de emergencias.</v>
      </c>
      <c r="AA293" s="163" t="s">
        <v>221</v>
      </c>
      <c r="AB293" s="160" t="str">
        <f>IFERROR(VLOOKUP(AA293,TD!$N$51:$O$66,2,0)," ")</f>
        <v>Servicio de atención a emergencias y desastres</v>
      </c>
      <c r="AC293" s="161" t="str">
        <f>CONCATENATE(AA293,"_",AB293)</f>
        <v>004_Servicio de atención a emergencias y desastres</v>
      </c>
      <c r="AD293" s="161" t="str">
        <f>CONCATENATE(Z293," ",AC293)</f>
        <v>09-Servicio de mantenimiento, dotación (HEA´s y equipo menor) y adquisición de vehiculos   especializados para la atención de emergencias. 004_Servicio de atención a emergencias y desastres</v>
      </c>
      <c r="AE293" s="160" t="str">
        <f>CONCATENATE(U293,V293,W293,X293,AA293)</f>
        <v>O23011745032024025509004</v>
      </c>
      <c r="AF293" s="160" t="str">
        <f>IFERROR(VLOOKUP(AD293,TD!$J$66:$K$89,2,0)," ")</f>
        <v>PM/0131/0109/45030040255</v>
      </c>
      <c r="AG293" s="118" t="s">
        <v>587</v>
      </c>
      <c r="AH293" s="159" t="s">
        <v>193</v>
      </c>
      <c r="AI293" s="162" t="str">
        <f>CONCATENATE(PAA[[#This Row],[Id Interno]],"-",PAA[[#This Row],[tipo de Contrato (TH talento humano - B/S bienes y/o servicios)]],"-",S293,"-",T293,"-",PAA[[#This Row],[Objeto de la contratación]])</f>
        <v>20260252-BS-8173-4-Prestar el servicio de mantenimiento preventivo y correctivo, incluyendo el suministro de repuestos, insumos y mano de obra especializada para las motobombas forestales FOX, propiedad de la Unidad Administrativa Especial Cuerpo Oficial de Bomberos de Bogotá D.C. (UAECOB). - SBLG</v>
      </c>
    </row>
    <row r="294" spans="2:35" ht="70" x14ac:dyDescent="0.35">
      <c r="B294" s="23">
        <v>20260253</v>
      </c>
      <c r="C294" s="99" t="s">
        <v>526</v>
      </c>
      <c r="D294" s="23" t="s">
        <v>105</v>
      </c>
      <c r="E294" s="23" t="s">
        <v>402</v>
      </c>
      <c r="F294" s="156" t="s">
        <v>111</v>
      </c>
      <c r="G294" s="157" t="s">
        <v>381</v>
      </c>
      <c r="H294" s="158">
        <v>5</v>
      </c>
      <c r="I294" s="158">
        <v>0</v>
      </c>
      <c r="J294" s="127">
        <v>10000000</v>
      </c>
      <c r="K294" s="88" t="s">
        <v>398</v>
      </c>
      <c r="L294" s="156" t="s">
        <v>157</v>
      </c>
      <c r="M294" s="159" t="s">
        <v>512</v>
      </c>
      <c r="N294" s="23" t="s">
        <v>198</v>
      </c>
      <c r="O294" s="151" t="s">
        <v>964</v>
      </c>
      <c r="P294" s="156" t="s">
        <v>348</v>
      </c>
      <c r="Q294" s="53" t="s">
        <v>527</v>
      </c>
      <c r="R294" s="159" t="s">
        <v>213</v>
      </c>
      <c r="S294" s="159" t="str">
        <f>MID(PAA[[#This Row],[Meta Proyecto de Inversión]],1,4)</f>
        <v>8173</v>
      </c>
      <c r="T294" s="159" t="str">
        <f>MID(PAA[[#This Row],[Meta Proyecto de Inversión]],6,1)</f>
        <v>4</v>
      </c>
      <c r="U294" s="160" t="str">
        <f>IFERROR(VLOOKUP(N294,TD!$B$50:$F$54,2,0)," ")</f>
        <v>O230117</v>
      </c>
      <c r="V294" s="160" t="str">
        <f>IFERROR(VLOOKUP(N294,TD!$B$50:$F$54,3,0)," ")</f>
        <v>4503</v>
      </c>
      <c r="W294" s="160">
        <f>IFERROR(VLOOKUP(N294,TD!$B$50:$F$54,4,0)," ")</f>
        <v>20240255</v>
      </c>
      <c r="X294" s="159" t="s">
        <v>176</v>
      </c>
      <c r="Y294" s="160" t="str">
        <f>IFERROR(VLOOKUP(X294,TD!$J$51:$K$64,2,0)," ")</f>
        <v>Servicio de mantenimiento, dotación (HEA´s y equipo menor) y adquisición de vehiculos   especializados para la atención de emergencias.</v>
      </c>
      <c r="Z294" s="161" t="str">
        <f>CONCATENATE(X294,"-",Y294)</f>
        <v>09-Servicio de mantenimiento, dotación (HEA´s y equipo menor) y adquisición de vehiculos   especializados para la atención de emergencias.</v>
      </c>
      <c r="AA294" s="163" t="s">
        <v>221</v>
      </c>
      <c r="AB294" s="160" t="str">
        <f>IFERROR(VLOOKUP(AA294,TD!$N$51:$O$66,2,0)," ")</f>
        <v>Servicio de atención a emergencias y desastres</v>
      </c>
      <c r="AC294" s="161" t="str">
        <f>CONCATENATE(AA294,"_",AB294)</f>
        <v>004_Servicio de atención a emergencias y desastres</v>
      </c>
      <c r="AD294" s="161" t="str">
        <f>CONCATENATE(Z294," ",AC294)</f>
        <v>09-Servicio de mantenimiento, dotación (HEA´s y equipo menor) y adquisición de vehiculos   especializados para la atención de emergencias. 004_Servicio de atención a emergencias y desastres</v>
      </c>
      <c r="AE294" s="160" t="str">
        <f>CONCATENATE(U294,V294,W294,X294,AA294)</f>
        <v>O23011745032024025509004</v>
      </c>
      <c r="AF294" s="160" t="str">
        <f>IFERROR(VLOOKUP(AD294,TD!$J$66:$K$89,2,0)," ")</f>
        <v>PM/0131/0109/45030040255</v>
      </c>
      <c r="AG294" s="118" t="s">
        <v>80</v>
      </c>
      <c r="AH294" s="159" t="s">
        <v>193</v>
      </c>
      <c r="AI294" s="162" t="str">
        <f>CONCATENATE(PAA[[#This Row],[Id Interno]],"-",PAA[[#This Row],[tipo de Contrato (TH talento humano - B/S bienes y/o servicios)]],"-",S294,"-",T294,"-",PAA[[#This Row],[Objeto de la contratación]])</f>
        <v>20260253-BS-8173-4-Suministrar los repuestos, accesorios e insumos de los equipos de rescate vehicular liviano y pesado marca LUKAS-  SBLG</v>
      </c>
    </row>
    <row r="295" spans="2:35" ht="84" x14ac:dyDescent="0.35">
      <c r="B295" s="23">
        <v>20260254</v>
      </c>
      <c r="C295" s="99" t="s">
        <v>528</v>
      </c>
      <c r="D295" s="23" t="s">
        <v>105</v>
      </c>
      <c r="E295" s="23" t="s">
        <v>402</v>
      </c>
      <c r="F295" s="156" t="s">
        <v>146</v>
      </c>
      <c r="G295" s="157" t="s">
        <v>381</v>
      </c>
      <c r="H295" s="158">
        <v>6</v>
      </c>
      <c r="I295" s="158">
        <v>0</v>
      </c>
      <c r="J295" s="127">
        <v>20000000</v>
      </c>
      <c r="K295" s="88" t="s">
        <v>398</v>
      </c>
      <c r="L295" s="156" t="s">
        <v>157</v>
      </c>
      <c r="M295" s="159" t="s">
        <v>512</v>
      </c>
      <c r="N295" s="23" t="s">
        <v>198</v>
      </c>
      <c r="O295" s="151" t="s">
        <v>964</v>
      </c>
      <c r="P295" s="156" t="s">
        <v>348</v>
      </c>
      <c r="Q295" s="53" t="s">
        <v>529</v>
      </c>
      <c r="R295" s="159" t="s">
        <v>213</v>
      </c>
      <c r="S295" s="159" t="str">
        <f>MID(PAA[[#This Row],[Meta Proyecto de Inversión]],1,4)</f>
        <v>8173</v>
      </c>
      <c r="T295" s="159" t="str">
        <f>MID(PAA[[#This Row],[Meta Proyecto de Inversión]],6,1)</f>
        <v>4</v>
      </c>
      <c r="U295" s="160" t="str">
        <f>IFERROR(VLOOKUP(N295,TD!$B$50:$F$54,2,0)," ")</f>
        <v>O230117</v>
      </c>
      <c r="V295" s="160" t="str">
        <f>IFERROR(VLOOKUP(N295,TD!$B$50:$F$54,3,0)," ")</f>
        <v>4503</v>
      </c>
      <c r="W295" s="160">
        <f>IFERROR(VLOOKUP(N295,TD!$B$50:$F$54,4,0)," ")</f>
        <v>20240255</v>
      </c>
      <c r="X295" s="159" t="s">
        <v>176</v>
      </c>
      <c r="Y295" s="160" t="str">
        <f>IFERROR(VLOOKUP(X295,TD!$J$51:$K$64,2,0)," ")</f>
        <v>Servicio de mantenimiento, dotación (HEA´s y equipo menor) y adquisición de vehiculos   especializados para la atención de emergencias.</v>
      </c>
      <c r="Z295" s="161" t="str">
        <f>CONCATENATE(X295,"-",Y295)</f>
        <v>09-Servicio de mantenimiento, dotación (HEA´s y equipo menor) y adquisición de vehiculos   especializados para la atención de emergencias.</v>
      </c>
      <c r="AA295" s="163" t="s">
        <v>221</v>
      </c>
      <c r="AB295" s="160" t="str">
        <f>IFERROR(VLOOKUP(AA295,TD!$N$51:$O$66,2,0)," ")</f>
        <v>Servicio de atención a emergencias y desastres</v>
      </c>
      <c r="AC295" s="161" t="str">
        <f>CONCATENATE(AA295,"_",AB295)</f>
        <v>004_Servicio de atención a emergencias y desastres</v>
      </c>
      <c r="AD295" s="161" t="str">
        <f>CONCATENATE(Z295," ",AC295)</f>
        <v>09-Servicio de mantenimiento, dotación (HEA´s y equipo menor) y adquisición de vehiculos   especializados para la atención de emergencias. 004_Servicio de atención a emergencias y desastres</v>
      </c>
      <c r="AE295" s="160" t="str">
        <f>CONCATENATE(U295,V295,W295,X295,AA295)</f>
        <v>O23011745032024025509004</v>
      </c>
      <c r="AF295" s="160" t="str">
        <f>IFERROR(VLOOKUP(AD295,TD!$J$66:$K$89,2,0)," ")</f>
        <v>PM/0131/0109/45030040255</v>
      </c>
      <c r="AG295" s="118" t="s">
        <v>80</v>
      </c>
      <c r="AH295" s="159" t="s">
        <v>193</v>
      </c>
      <c r="AI295" s="162" t="str">
        <f>CONCATENATE(PAA[[#This Row],[Id Interno]],"-",PAA[[#This Row],[tipo de Contrato (TH talento humano - B/S bienes y/o servicios)]],"-",S295,"-",T295,"-",PAA[[#This Row],[Objeto de la contratación]])</f>
        <v>20260254-BS-8173-4-Prestar el servicio de mantenimiento preventivo y correctivo, incluido el suministro de repuestos e insumos y mano de obra especializada para los equipos detectores de atmosfera y respiración autónoma marca Dräger, propiedad de la U.A.E. Cuerpo Oficial de Bomberos de Bogotá - SBLG</v>
      </c>
    </row>
    <row r="296" spans="2:35" ht="84" x14ac:dyDescent="0.35">
      <c r="B296" s="23">
        <v>20260255</v>
      </c>
      <c r="C296" s="99" t="s">
        <v>532</v>
      </c>
      <c r="D296" s="23" t="s">
        <v>105</v>
      </c>
      <c r="E296" s="23" t="s">
        <v>402</v>
      </c>
      <c r="F296" s="156" t="s">
        <v>89</v>
      </c>
      <c r="G296" s="157" t="s">
        <v>382</v>
      </c>
      <c r="H296" s="158">
        <v>4</v>
      </c>
      <c r="I296" s="158">
        <v>0</v>
      </c>
      <c r="J296" s="127">
        <v>21104301</v>
      </c>
      <c r="K296" s="88" t="s">
        <v>398</v>
      </c>
      <c r="L296" s="156" t="s">
        <v>157</v>
      </c>
      <c r="M296" s="159" t="s">
        <v>512</v>
      </c>
      <c r="N296" s="23" t="s">
        <v>198</v>
      </c>
      <c r="O296" s="151" t="s">
        <v>964</v>
      </c>
      <c r="P296" s="156" t="s">
        <v>348</v>
      </c>
      <c r="Q296" s="53">
        <v>72101509</v>
      </c>
      <c r="R296" s="159" t="s">
        <v>213</v>
      </c>
      <c r="S296" s="159" t="str">
        <f>MID(PAA[[#This Row],[Meta Proyecto de Inversión]],1,4)</f>
        <v>8173</v>
      </c>
      <c r="T296" s="159" t="str">
        <f>MID(PAA[[#This Row],[Meta Proyecto de Inversión]],6,1)</f>
        <v>4</v>
      </c>
      <c r="U296" s="160" t="str">
        <f>IFERROR(VLOOKUP(N296,TD!$B$50:$F$54,2,0)," ")</f>
        <v>O230117</v>
      </c>
      <c r="V296" s="160" t="str">
        <f>IFERROR(VLOOKUP(N296,TD!$B$50:$F$54,3,0)," ")</f>
        <v>4503</v>
      </c>
      <c r="W296" s="160">
        <f>IFERROR(VLOOKUP(N296,TD!$B$50:$F$54,4,0)," ")</f>
        <v>20240255</v>
      </c>
      <c r="X296" s="159" t="s">
        <v>176</v>
      </c>
      <c r="Y296" s="160" t="str">
        <f>IFERROR(VLOOKUP(X296,TD!$J$51:$K$64,2,0)," ")</f>
        <v>Servicio de mantenimiento, dotación (HEA´s y equipo menor) y adquisición de vehiculos   especializados para la atención de emergencias.</v>
      </c>
      <c r="Z296" s="161" t="str">
        <f>CONCATENATE(X296,"-",Y296)</f>
        <v>09-Servicio de mantenimiento, dotación (HEA´s y equipo menor) y adquisición de vehiculos   especializados para la atención de emergencias.</v>
      </c>
      <c r="AA296" s="163" t="s">
        <v>221</v>
      </c>
      <c r="AB296" s="160" t="str">
        <f>IFERROR(VLOOKUP(AA296,TD!$N$51:$O$66,2,0)," ")</f>
        <v>Servicio de atención a emergencias y desastres</v>
      </c>
      <c r="AC296" s="161" t="str">
        <f>CONCATENATE(AA296,"_",AB296)</f>
        <v>004_Servicio de atención a emergencias y desastres</v>
      </c>
      <c r="AD296" s="161" t="str">
        <f>CONCATENATE(Z296," ",AC296)</f>
        <v>09-Servicio de mantenimiento, dotación (HEA´s y equipo menor) y adquisición de vehiculos   especializados para la atención de emergencias. 004_Servicio de atención a emergencias y desastres</v>
      </c>
      <c r="AE296" s="160" t="str">
        <f>CONCATENATE(U296,V296,W296,X296,AA296)</f>
        <v>O23011745032024025509004</v>
      </c>
      <c r="AF296" s="160" t="str">
        <f>IFERROR(VLOOKUP(AD296,TD!$J$66:$K$89,2,0)," ")</f>
        <v>PM/0131/0109/45030040255</v>
      </c>
      <c r="AG296" s="118" t="s">
        <v>80</v>
      </c>
      <c r="AH296" s="159" t="s">
        <v>193</v>
      </c>
      <c r="AI296" s="162" t="str">
        <f>CONCATENATE(PAA[[#This Row],[Id Interno]],"-",PAA[[#This Row],[tipo de Contrato (TH talento humano - B/S bienes y/o servicios)]],"-",S296,"-",T296,"-",PAA[[#This Row],[Objeto de la contratación]])</f>
        <v>20260255-BS-8173-4-Prestación del servicio de mantenimiento preventivo y correctivo de los equipos de respiración autónoma interspiro propiedad de la UAECOB, incluido el suministro de repuestos, insumos y mano de obra especializada  - SBLG</v>
      </c>
    </row>
    <row r="297" spans="2:35" ht="56" x14ac:dyDescent="0.35">
      <c r="B297" s="23">
        <v>20260256</v>
      </c>
      <c r="C297" s="99" t="s">
        <v>533</v>
      </c>
      <c r="D297" s="23" t="s">
        <v>105</v>
      </c>
      <c r="E297" s="23" t="s">
        <v>402</v>
      </c>
      <c r="F297" s="156" t="s">
        <v>111</v>
      </c>
      <c r="G297" s="157" t="s">
        <v>382</v>
      </c>
      <c r="H297" s="158">
        <v>5</v>
      </c>
      <c r="I297" s="158">
        <v>0</v>
      </c>
      <c r="J297" s="127">
        <v>20000000</v>
      </c>
      <c r="K297" s="88" t="s">
        <v>398</v>
      </c>
      <c r="L297" s="156" t="s">
        <v>157</v>
      </c>
      <c r="M297" s="159" t="s">
        <v>512</v>
      </c>
      <c r="N297" s="23" t="s">
        <v>198</v>
      </c>
      <c r="O297" s="151" t="s">
        <v>964</v>
      </c>
      <c r="P297" s="156" t="s">
        <v>348</v>
      </c>
      <c r="Q297" s="53" t="s">
        <v>534</v>
      </c>
      <c r="R297" s="159" t="s">
        <v>213</v>
      </c>
      <c r="S297" s="159" t="str">
        <f>MID(PAA[[#This Row],[Meta Proyecto de Inversión]],1,4)</f>
        <v>8173</v>
      </c>
      <c r="T297" s="159" t="str">
        <f>MID(PAA[[#This Row],[Meta Proyecto de Inversión]],6,1)</f>
        <v>4</v>
      </c>
      <c r="U297" s="160" t="str">
        <f>IFERROR(VLOOKUP(N297,TD!$B$50:$F$54,2,0)," ")</f>
        <v>O230117</v>
      </c>
      <c r="V297" s="160" t="str">
        <f>IFERROR(VLOOKUP(N297,TD!$B$50:$F$54,3,0)," ")</f>
        <v>4503</v>
      </c>
      <c r="W297" s="160">
        <f>IFERROR(VLOOKUP(N297,TD!$B$50:$F$54,4,0)," ")</f>
        <v>20240255</v>
      </c>
      <c r="X297" s="159" t="s">
        <v>176</v>
      </c>
      <c r="Y297" s="160" t="str">
        <f>IFERROR(VLOOKUP(X297,TD!$J$51:$K$64,2,0)," ")</f>
        <v>Servicio de mantenimiento, dotación (HEA´s y equipo menor) y adquisición de vehiculos   especializados para la atención de emergencias.</v>
      </c>
      <c r="Z297" s="161" t="str">
        <f>CONCATENATE(X297,"-",Y297)</f>
        <v>09-Servicio de mantenimiento, dotación (HEA´s y equipo menor) y adquisición de vehiculos   especializados para la atención de emergencias.</v>
      </c>
      <c r="AA297" s="163" t="s">
        <v>221</v>
      </c>
      <c r="AB297" s="160" t="str">
        <f>IFERROR(VLOOKUP(AA297,TD!$N$51:$O$66,2,0)," ")</f>
        <v>Servicio de atención a emergencias y desastres</v>
      </c>
      <c r="AC297" s="161" t="str">
        <f>CONCATENATE(AA297,"_",AB297)</f>
        <v>004_Servicio de atención a emergencias y desastres</v>
      </c>
      <c r="AD297" s="161" t="str">
        <f>CONCATENATE(Z297," ",AC297)</f>
        <v>09-Servicio de mantenimiento, dotación (HEA´s y equipo menor) y adquisición de vehiculos   especializados para la atención de emergencias. 004_Servicio de atención a emergencias y desastres</v>
      </c>
      <c r="AE297" s="160" t="str">
        <f>CONCATENATE(U297,V297,W297,X297,AA297)</f>
        <v>O23011745032024025509004</v>
      </c>
      <c r="AF297" s="160" t="str">
        <f>IFERROR(VLOOKUP(AD297,TD!$J$66:$K$89,2,0)," ")</f>
        <v>PM/0131/0109/45030040255</v>
      </c>
      <c r="AG297" s="118" t="s">
        <v>80</v>
      </c>
      <c r="AH297" s="159" t="s">
        <v>193</v>
      </c>
      <c r="AI297" s="162" t="str">
        <f>CONCATENATE(PAA[[#This Row],[Id Interno]],"-",PAA[[#This Row],[tipo de Contrato (TH talento humano - B/S bienes y/o servicios)]],"-",S297,"-",T297,"-",PAA[[#This Row],[Objeto de la contratación]])</f>
        <v>20260256-BS-8173-4-Prestar el servicio de mantenimiento preventivo y correctivo de los Equipos de Rescate Vehicular HOLMATRO propiedad de la UAECOB, incluido el suministro de repuestos, insumos y mano de obra especializada -  SBLG</v>
      </c>
    </row>
    <row r="298" spans="2:35" ht="56" x14ac:dyDescent="0.35">
      <c r="B298" s="23">
        <v>20260257</v>
      </c>
      <c r="C298" s="99" t="s">
        <v>675</v>
      </c>
      <c r="D298" s="23" t="s">
        <v>92</v>
      </c>
      <c r="E298" s="23" t="s">
        <v>402</v>
      </c>
      <c r="F298" s="156" t="s">
        <v>89</v>
      </c>
      <c r="G298" s="157" t="s">
        <v>375</v>
      </c>
      <c r="H298" s="158">
        <v>12</v>
      </c>
      <c r="I298" s="158">
        <v>0</v>
      </c>
      <c r="J298" s="127">
        <v>49000000</v>
      </c>
      <c r="K298" s="88" t="s">
        <v>398</v>
      </c>
      <c r="L298" s="156" t="s">
        <v>157</v>
      </c>
      <c r="M298" s="159" t="s">
        <v>512</v>
      </c>
      <c r="N298" s="23" t="s">
        <v>330</v>
      </c>
      <c r="O298" s="151" t="s">
        <v>963</v>
      </c>
      <c r="P298" s="156" t="s">
        <v>161</v>
      </c>
      <c r="Q298" s="53">
        <v>78181505</v>
      </c>
      <c r="R298" s="159" t="s">
        <v>331</v>
      </c>
      <c r="S298" s="159" t="str">
        <f>MID(PAA[[#This Row],[Meta Proyecto de Inversión]],1,4)</f>
        <v>No a</v>
      </c>
      <c r="T298" s="159" t="str">
        <f>MID(PAA[[#This Row],[Meta Proyecto de Inversión]],6,1)</f>
        <v>l</v>
      </c>
      <c r="U298" s="160" t="str">
        <f>IFERROR(VLOOKUP(N298,TD!$B$50:$F$54,2,0)," ")</f>
        <v>NA</v>
      </c>
      <c r="V298" s="160" t="str">
        <f>IFERROR(VLOOKUP(N298,TD!$B$50:$F$54,3,0)," ")</f>
        <v>NA</v>
      </c>
      <c r="W298" s="160" t="str">
        <f>IFERROR(VLOOKUP(N298,TD!$B$50:$F$54,4,0)," ")</f>
        <v>NA</v>
      </c>
      <c r="X298" s="159" t="s">
        <v>335</v>
      </c>
      <c r="Y298" s="160" t="str">
        <f>IFERROR(VLOOKUP(X298,TD!$J$51:$K$64,2,0)," ")</f>
        <v>N/A</v>
      </c>
      <c r="Z298" s="161" t="str">
        <f>CONCATENATE(X298,"-",Y298)</f>
        <v>N/A-N/A</v>
      </c>
      <c r="AA298" s="163" t="s">
        <v>335</v>
      </c>
      <c r="AB298" s="160" t="str">
        <f>IFERROR(VLOOKUP(AA298,TD!$N$51:$O$66,2,0)," ")</f>
        <v>N/A</v>
      </c>
      <c r="AC298" s="161" t="str">
        <f>CONCATENATE(AA298,"_",AB298)</f>
        <v>N/A_N/A</v>
      </c>
      <c r="AD298" s="161" t="str">
        <f>CONCATENATE(Z298," ",AC298)</f>
        <v>N/A-N/A N/A_N/A</v>
      </c>
      <c r="AE298" s="160" t="str">
        <f>CONCATENATE(U298,V298,W298,X298,AA298)</f>
        <v>NANANAN/AN/A</v>
      </c>
      <c r="AF298" s="160" t="str">
        <f>IFERROR(VLOOKUP(AD298,TD!$J$66:$K$89,2,0)," ")</f>
        <v>N/A</v>
      </c>
      <c r="AG298" s="118" t="s">
        <v>332</v>
      </c>
      <c r="AH298" s="159" t="s">
        <v>193</v>
      </c>
      <c r="AI298" s="162" t="str">
        <f>CONCATENATE(PAA[[#This Row],[Id Interno]],"-",PAA[[#This Row],[tipo de Contrato (TH talento humano - B/S bienes y/o servicios)]],"-",S298,"-",T298,"-",PAA[[#This Row],[Objeto de la contratación]])</f>
        <v>20260257-BS-No a-l-Contratar el servicio de revision técnico mecánica y de emision de gases contaminantes para los vehiculos que forman parte del parque automotor de la Unidad Administrativa Especial Cuerpo Oficial de Bomberos de Bogotá - UAECOB-SBLG</v>
      </c>
    </row>
    <row r="299" spans="2:35" ht="70" x14ac:dyDescent="0.35">
      <c r="B299" s="23">
        <v>20260258</v>
      </c>
      <c r="C299" s="99" t="s">
        <v>880</v>
      </c>
      <c r="D299" s="99" t="s">
        <v>105</v>
      </c>
      <c r="E299" s="99" t="s">
        <v>363</v>
      </c>
      <c r="F299" s="157" t="s">
        <v>145</v>
      </c>
      <c r="G299" s="157" t="s">
        <v>373</v>
      </c>
      <c r="H299" s="164">
        <v>10</v>
      </c>
      <c r="I299" s="164">
        <v>0</v>
      </c>
      <c r="J299" s="118">
        <v>31000000</v>
      </c>
      <c r="K299" s="126" t="s">
        <v>398</v>
      </c>
      <c r="L299" s="157" t="s">
        <v>158</v>
      </c>
      <c r="M299" s="163" t="s">
        <v>421</v>
      </c>
      <c r="N299" s="99" t="s">
        <v>198</v>
      </c>
      <c r="O299" s="151" t="s">
        <v>964</v>
      </c>
      <c r="P299" s="157" t="s">
        <v>348</v>
      </c>
      <c r="Q299" s="128">
        <v>80111600</v>
      </c>
      <c r="R299" s="163" t="s">
        <v>211</v>
      </c>
      <c r="S299" s="159" t="str">
        <f>MID(PAA[[#This Row],[Meta Proyecto de Inversión]],1,4)</f>
        <v>8173</v>
      </c>
      <c r="T299" s="159" t="str">
        <f>MID(PAA[[#This Row],[Meta Proyecto de Inversión]],6,1)</f>
        <v>2</v>
      </c>
      <c r="U299" s="160" t="str">
        <f>IFERROR(VLOOKUP(N299,TD!$B$50:$F$54,2,0)," ")</f>
        <v>O230117</v>
      </c>
      <c r="V299" s="160" t="str">
        <f>IFERROR(VLOOKUP(N299,TD!$B$50:$F$54,3,0)," ")</f>
        <v>4503</v>
      </c>
      <c r="W299" s="160">
        <f>IFERROR(VLOOKUP(N299,TD!$B$50:$F$54,4,0)," ")</f>
        <v>20240255</v>
      </c>
      <c r="X299" s="159" t="s">
        <v>164</v>
      </c>
      <c r="Y299" s="160" t="str">
        <f>IFERROR(VLOOKUP(X299,TD!$J$51:$K$64,2,0)," ")</f>
        <v>Servicio de atención a incidentes y emergencias.</v>
      </c>
      <c r="Z299" s="161" t="str">
        <f>CONCATENATE(X299,"-",Y299)</f>
        <v>04-Servicio de atención a incidentes y emergencias.</v>
      </c>
      <c r="AA299" s="163" t="s">
        <v>221</v>
      </c>
      <c r="AB299" s="160" t="str">
        <f>IFERROR(VLOOKUP(AA299,TD!$N$51:$O$66,2,0)," ")</f>
        <v>Servicio de atención a emergencias y desastres</v>
      </c>
      <c r="AC299" s="161" t="str">
        <f>CONCATENATE(AA299,"_",AB299)</f>
        <v>004_Servicio de atención a emergencias y desastres</v>
      </c>
      <c r="AD299" s="161" t="str">
        <f>CONCATENATE(Z299," ",AC299)</f>
        <v>04-Servicio de atención a incidentes y emergencias. 004_Servicio de atención a emergencias y desastres</v>
      </c>
      <c r="AE299" s="160" t="str">
        <f>CONCATENATE(U299,V299,W299,X299,AA299)</f>
        <v>O23011745032024025504004</v>
      </c>
      <c r="AF299" s="160" t="str">
        <f>IFERROR(VLOOKUP(AD299,TD!$J$66:$K$89,2,0)," ")</f>
        <v>PM/0131/0104/45030040255</v>
      </c>
      <c r="AG299" s="118" t="s">
        <v>385</v>
      </c>
      <c r="AH299" s="159" t="s">
        <v>193</v>
      </c>
      <c r="AI299" s="162" t="str">
        <f>CONCATENATE(PAA[[#This Row],[Id Interno]],"-",PAA[[#This Row],[tipo de Contrato (TH talento humano - B/S bienes y/o servicios)]],"-",S299,"-",T299,"-",PAA[[#This Row],[Objeto de la contratación]])</f>
        <v>20260258-TH-8173-2-Prestación de servicios de apoyo al proceso de comunicaciones en emergencias del centro de coordinación y comunicaciones (c.c.c.), para el desarrollo de los programas a cargo de la Subdirección Operativa-S.O.</v>
      </c>
    </row>
    <row r="300" spans="2:35" ht="56" x14ac:dyDescent="0.35">
      <c r="B300" s="23">
        <v>20260259</v>
      </c>
      <c r="C300" s="99" t="s">
        <v>880</v>
      </c>
      <c r="D300" s="99" t="s">
        <v>105</v>
      </c>
      <c r="E300" s="99" t="s">
        <v>363</v>
      </c>
      <c r="F300" s="157" t="s">
        <v>145</v>
      </c>
      <c r="G300" s="157" t="s">
        <v>373</v>
      </c>
      <c r="H300" s="164">
        <v>10</v>
      </c>
      <c r="I300" s="164">
        <v>0</v>
      </c>
      <c r="J300" s="118">
        <v>31000000</v>
      </c>
      <c r="K300" s="126" t="s">
        <v>398</v>
      </c>
      <c r="L300" s="157" t="s">
        <v>158</v>
      </c>
      <c r="M300" s="163" t="s">
        <v>421</v>
      </c>
      <c r="N300" s="99" t="s">
        <v>198</v>
      </c>
      <c r="O300" s="151" t="s">
        <v>964</v>
      </c>
      <c r="P300" s="157" t="s">
        <v>348</v>
      </c>
      <c r="Q300" s="128">
        <v>80111600</v>
      </c>
      <c r="R300" s="163" t="s">
        <v>211</v>
      </c>
      <c r="S300" s="159" t="str">
        <f>MID(PAA[[#This Row],[Meta Proyecto de Inversión]],1,4)</f>
        <v>8173</v>
      </c>
      <c r="T300" s="159" t="str">
        <f>MID(PAA[[#This Row],[Meta Proyecto de Inversión]],6,1)</f>
        <v>2</v>
      </c>
      <c r="U300" s="160" t="str">
        <f>IFERROR(VLOOKUP(N300,TD!$B$50:$F$54,2,0)," ")</f>
        <v>O230117</v>
      </c>
      <c r="V300" s="160" t="str">
        <f>IFERROR(VLOOKUP(N300,TD!$B$50:$F$54,3,0)," ")</f>
        <v>4503</v>
      </c>
      <c r="W300" s="160">
        <f>IFERROR(VLOOKUP(N300,TD!$B$50:$F$54,4,0)," ")</f>
        <v>20240255</v>
      </c>
      <c r="X300" s="159" t="s">
        <v>164</v>
      </c>
      <c r="Y300" s="160" t="str">
        <f>IFERROR(VLOOKUP(X300,TD!$J$51:$K$64,2,0)," ")</f>
        <v>Servicio de atención a incidentes y emergencias.</v>
      </c>
      <c r="Z300" s="161" t="str">
        <f>CONCATENATE(X300,"-",Y300)</f>
        <v>04-Servicio de atención a incidentes y emergencias.</v>
      </c>
      <c r="AA300" s="163" t="s">
        <v>221</v>
      </c>
      <c r="AB300" s="160" t="str">
        <f>IFERROR(VLOOKUP(AA300,TD!$N$51:$O$66,2,0)," ")</f>
        <v>Servicio de atención a emergencias y desastres</v>
      </c>
      <c r="AC300" s="161" t="str">
        <f>CONCATENATE(AA300,"_",AB300)</f>
        <v>004_Servicio de atención a emergencias y desastres</v>
      </c>
      <c r="AD300" s="161" t="str">
        <f>CONCATENATE(Z300," ",AC300)</f>
        <v>04-Servicio de atención a incidentes y emergencias. 004_Servicio de atención a emergencias y desastres</v>
      </c>
      <c r="AE300" s="160" t="str">
        <f>CONCATENATE(U300,V300,W300,X300,AA300)</f>
        <v>O23011745032024025504004</v>
      </c>
      <c r="AF300" s="160" t="str">
        <f>IFERROR(VLOOKUP(AD300,TD!$J$66:$K$89,2,0)," ")</f>
        <v>PM/0131/0104/45030040255</v>
      </c>
      <c r="AG300" s="118" t="s">
        <v>385</v>
      </c>
      <c r="AH300" s="159" t="s">
        <v>193</v>
      </c>
      <c r="AI300" s="162" t="str">
        <f>CONCATENATE(PAA[[#This Row],[Id Interno]],"-",PAA[[#This Row],[tipo de Contrato (TH talento humano - B/S bienes y/o servicios)]],"-",S300,"-",T300,"-",PAA[[#This Row],[Objeto de la contratación]])</f>
        <v>20260259-TH-8173-2-Prestación de servicios de apoyo al proceso de comunicaciones en emergencias del centro de coordinación y comunicaciones (c.c.c.), para el desarrollo de los programas a cargo de la Subdirección Operativa-S.O.</v>
      </c>
    </row>
    <row r="301" spans="2:35" ht="70" x14ac:dyDescent="0.35">
      <c r="B301" s="23">
        <v>20260260</v>
      </c>
      <c r="C301" s="99" t="s">
        <v>880</v>
      </c>
      <c r="D301" s="99" t="s">
        <v>105</v>
      </c>
      <c r="E301" s="99" t="s">
        <v>363</v>
      </c>
      <c r="F301" s="157" t="s">
        <v>145</v>
      </c>
      <c r="G301" s="157" t="s">
        <v>373</v>
      </c>
      <c r="H301" s="164">
        <v>10</v>
      </c>
      <c r="I301" s="164">
        <v>0</v>
      </c>
      <c r="J301" s="118">
        <v>31000000</v>
      </c>
      <c r="K301" s="126" t="s">
        <v>398</v>
      </c>
      <c r="L301" s="157" t="s">
        <v>158</v>
      </c>
      <c r="M301" s="163" t="s">
        <v>421</v>
      </c>
      <c r="N301" s="99" t="s">
        <v>198</v>
      </c>
      <c r="O301" s="151" t="s">
        <v>964</v>
      </c>
      <c r="P301" s="157" t="s">
        <v>348</v>
      </c>
      <c r="Q301" s="128">
        <v>80111600</v>
      </c>
      <c r="R301" s="163" t="s">
        <v>211</v>
      </c>
      <c r="S301" s="159" t="str">
        <f>MID(PAA[[#This Row],[Meta Proyecto de Inversión]],1,4)</f>
        <v>8173</v>
      </c>
      <c r="T301" s="159" t="str">
        <f>MID(PAA[[#This Row],[Meta Proyecto de Inversión]],6,1)</f>
        <v>2</v>
      </c>
      <c r="U301" s="160" t="str">
        <f>IFERROR(VLOOKUP(N301,TD!$B$50:$F$54,2,0)," ")</f>
        <v>O230117</v>
      </c>
      <c r="V301" s="160" t="str">
        <f>IFERROR(VLOOKUP(N301,TD!$B$50:$F$54,3,0)," ")</f>
        <v>4503</v>
      </c>
      <c r="W301" s="160">
        <f>IFERROR(VLOOKUP(N301,TD!$B$50:$F$54,4,0)," ")</f>
        <v>20240255</v>
      </c>
      <c r="X301" s="159" t="s">
        <v>164</v>
      </c>
      <c r="Y301" s="160" t="str">
        <f>IFERROR(VLOOKUP(X301,TD!$J$51:$K$64,2,0)," ")</f>
        <v>Servicio de atención a incidentes y emergencias.</v>
      </c>
      <c r="Z301" s="161" t="str">
        <f>CONCATENATE(X301,"-",Y301)</f>
        <v>04-Servicio de atención a incidentes y emergencias.</v>
      </c>
      <c r="AA301" s="163" t="s">
        <v>221</v>
      </c>
      <c r="AB301" s="160" t="str">
        <f>IFERROR(VLOOKUP(AA301,TD!$N$51:$O$66,2,0)," ")</f>
        <v>Servicio de atención a emergencias y desastres</v>
      </c>
      <c r="AC301" s="161" t="str">
        <f>CONCATENATE(AA301,"_",AB301)</f>
        <v>004_Servicio de atención a emergencias y desastres</v>
      </c>
      <c r="AD301" s="161" t="str">
        <f>CONCATENATE(Z301," ",AC301)</f>
        <v>04-Servicio de atención a incidentes y emergencias. 004_Servicio de atención a emergencias y desastres</v>
      </c>
      <c r="AE301" s="160" t="str">
        <f>CONCATENATE(U301,V301,W301,X301,AA301)</f>
        <v>O23011745032024025504004</v>
      </c>
      <c r="AF301" s="160" t="str">
        <f>IFERROR(VLOOKUP(AD301,TD!$J$66:$K$89,2,0)," ")</f>
        <v>PM/0131/0104/45030040255</v>
      </c>
      <c r="AG301" s="118" t="s">
        <v>385</v>
      </c>
      <c r="AH301" s="159" t="s">
        <v>193</v>
      </c>
      <c r="AI301" s="162" t="str">
        <f>CONCATENATE(PAA[[#This Row],[Id Interno]],"-",PAA[[#This Row],[tipo de Contrato (TH talento humano - B/S bienes y/o servicios)]],"-",S301,"-",T301,"-",PAA[[#This Row],[Objeto de la contratación]])</f>
        <v>20260260-TH-8173-2-Prestación de servicios de apoyo al proceso de comunicaciones en emergencias del centro de coordinación y comunicaciones (c.c.c.), para el desarrollo de los programas a cargo de la Subdirección Operativa-S.O.</v>
      </c>
    </row>
    <row r="302" spans="2:35" ht="70" x14ac:dyDescent="0.35">
      <c r="B302" s="23">
        <v>20260261</v>
      </c>
      <c r="C302" s="99" t="s">
        <v>880</v>
      </c>
      <c r="D302" s="99" t="s">
        <v>105</v>
      </c>
      <c r="E302" s="99" t="s">
        <v>363</v>
      </c>
      <c r="F302" s="157" t="s">
        <v>145</v>
      </c>
      <c r="G302" s="157" t="s">
        <v>373</v>
      </c>
      <c r="H302" s="164">
        <v>10</v>
      </c>
      <c r="I302" s="164">
        <v>0</v>
      </c>
      <c r="J302" s="118">
        <v>31000000</v>
      </c>
      <c r="K302" s="126" t="s">
        <v>398</v>
      </c>
      <c r="L302" s="157" t="s">
        <v>158</v>
      </c>
      <c r="M302" s="163" t="s">
        <v>421</v>
      </c>
      <c r="N302" s="99" t="s">
        <v>198</v>
      </c>
      <c r="O302" s="151" t="s">
        <v>964</v>
      </c>
      <c r="P302" s="157" t="s">
        <v>348</v>
      </c>
      <c r="Q302" s="128">
        <v>80111600</v>
      </c>
      <c r="R302" s="163" t="s">
        <v>211</v>
      </c>
      <c r="S302" s="159" t="str">
        <f>MID(PAA[[#This Row],[Meta Proyecto de Inversión]],1,4)</f>
        <v>8173</v>
      </c>
      <c r="T302" s="159" t="str">
        <f>MID(PAA[[#This Row],[Meta Proyecto de Inversión]],6,1)</f>
        <v>2</v>
      </c>
      <c r="U302" s="160" t="str">
        <f>IFERROR(VLOOKUP(N302,TD!$B$50:$F$54,2,0)," ")</f>
        <v>O230117</v>
      </c>
      <c r="V302" s="160" t="str">
        <f>IFERROR(VLOOKUP(N302,TD!$B$50:$F$54,3,0)," ")</f>
        <v>4503</v>
      </c>
      <c r="W302" s="160">
        <f>IFERROR(VLOOKUP(N302,TD!$B$50:$F$54,4,0)," ")</f>
        <v>20240255</v>
      </c>
      <c r="X302" s="159" t="s">
        <v>164</v>
      </c>
      <c r="Y302" s="160" t="str">
        <f>IFERROR(VLOOKUP(X302,TD!$J$51:$K$64,2,0)," ")</f>
        <v>Servicio de atención a incidentes y emergencias.</v>
      </c>
      <c r="Z302" s="161" t="str">
        <f>CONCATENATE(X302,"-",Y302)</f>
        <v>04-Servicio de atención a incidentes y emergencias.</v>
      </c>
      <c r="AA302" s="163" t="s">
        <v>221</v>
      </c>
      <c r="AB302" s="160" t="str">
        <f>IFERROR(VLOOKUP(AA302,TD!$N$51:$O$66,2,0)," ")</f>
        <v>Servicio de atención a emergencias y desastres</v>
      </c>
      <c r="AC302" s="161" t="str">
        <f>CONCATENATE(AA302,"_",AB302)</f>
        <v>004_Servicio de atención a emergencias y desastres</v>
      </c>
      <c r="AD302" s="161" t="str">
        <f>CONCATENATE(Z302," ",AC302)</f>
        <v>04-Servicio de atención a incidentes y emergencias. 004_Servicio de atención a emergencias y desastres</v>
      </c>
      <c r="AE302" s="160" t="str">
        <f>CONCATENATE(U302,V302,W302,X302,AA302)</f>
        <v>O23011745032024025504004</v>
      </c>
      <c r="AF302" s="160" t="str">
        <f>IFERROR(VLOOKUP(AD302,TD!$J$66:$K$89,2,0)," ")</f>
        <v>PM/0131/0104/45030040255</v>
      </c>
      <c r="AG302" s="118" t="s">
        <v>385</v>
      </c>
      <c r="AH302" s="159" t="s">
        <v>193</v>
      </c>
      <c r="AI302" s="162" t="str">
        <f>CONCATENATE(PAA[[#This Row],[Id Interno]],"-",PAA[[#This Row],[tipo de Contrato (TH talento humano - B/S bienes y/o servicios)]],"-",S302,"-",T302,"-",PAA[[#This Row],[Objeto de la contratación]])</f>
        <v>20260261-TH-8173-2-Prestación de servicios de apoyo al proceso de comunicaciones en emergencias del centro de coordinación y comunicaciones (c.c.c.), para el desarrollo de los programas a cargo de la Subdirección Operativa-S.O.</v>
      </c>
    </row>
    <row r="303" spans="2:35" ht="56" x14ac:dyDescent="0.35">
      <c r="B303" s="23">
        <v>20260262</v>
      </c>
      <c r="C303" s="99" t="s">
        <v>880</v>
      </c>
      <c r="D303" s="99" t="s">
        <v>105</v>
      </c>
      <c r="E303" s="99" t="s">
        <v>363</v>
      </c>
      <c r="F303" s="157" t="s">
        <v>145</v>
      </c>
      <c r="G303" s="157" t="s">
        <v>373</v>
      </c>
      <c r="H303" s="164">
        <v>10</v>
      </c>
      <c r="I303" s="164">
        <v>0</v>
      </c>
      <c r="J303" s="118">
        <v>31000000</v>
      </c>
      <c r="K303" s="126" t="s">
        <v>398</v>
      </c>
      <c r="L303" s="157" t="s">
        <v>158</v>
      </c>
      <c r="M303" s="163" t="s">
        <v>421</v>
      </c>
      <c r="N303" s="99" t="s">
        <v>198</v>
      </c>
      <c r="O303" s="151" t="s">
        <v>964</v>
      </c>
      <c r="P303" s="157" t="s">
        <v>348</v>
      </c>
      <c r="Q303" s="128">
        <v>80111600</v>
      </c>
      <c r="R303" s="163" t="s">
        <v>211</v>
      </c>
      <c r="S303" s="159" t="str">
        <f>MID(PAA[[#This Row],[Meta Proyecto de Inversión]],1,4)</f>
        <v>8173</v>
      </c>
      <c r="T303" s="159" t="str">
        <f>MID(PAA[[#This Row],[Meta Proyecto de Inversión]],6,1)</f>
        <v>2</v>
      </c>
      <c r="U303" s="160" t="str">
        <f>IFERROR(VLOOKUP(N303,TD!$B$50:$F$54,2,0)," ")</f>
        <v>O230117</v>
      </c>
      <c r="V303" s="160" t="str">
        <f>IFERROR(VLOOKUP(N303,TD!$B$50:$F$54,3,0)," ")</f>
        <v>4503</v>
      </c>
      <c r="W303" s="160">
        <f>IFERROR(VLOOKUP(N303,TD!$B$50:$F$54,4,0)," ")</f>
        <v>20240255</v>
      </c>
      <c r="X303" s="159" t="s">
        <v>164</v>
      </c>
      <c r="Y303" s="160" t="str">
        <f>IFERROR(VLOOKUP(X303,TD!$J$51:$K$64,2,0)," ")</f>
        <v>Servicio de atención a incidentes y emergencias.</v>
      </c>
      <c r="Z303" s="161" t="str">
        <f>CONCATENATE(X303,"-",Y303)</f>
        <v>04-Servicio de atención a incidentes y emergencias.</v>
      </c>
      <c r="AA303" s="163" t="s">
        <v>221</v>
      </c>
      <c r="AB303" s="160" t="str">
        <f>IFERROR(VLOOKUP(AA303,TD!$N$51:$O$66,2,0)," ")</f>
        <v>Servicio de atención a emergencias y desastres</v>
      </c>
      <c r="AC303" s="161" t="str">
        <f>CONCATENATE(AA303,"_",AB303)</f>
        <v>004_Servicio de atención a emergencias y desastres</v>
      </c>
      <c r="AD303" s="161" t="str">
        <f>CONCATENATE(Z303," ",AC303)</f>
        <v>04-Servicio de atención a incidentes y emergencias. 004_Servicio de atención a emergencias y desastres</v>
      </c>
      <c r="AE303" s="160" t="str">
        <f>CONCATENATE(U303,V303,W303,X303,AA303)</f>
        <v>O23011745032024025504004</v>
      </c>
      <c r="AF303" s="160" t="str">
        <f>IFERROR(VLOOKUP(AD303,TD!$J$66:$K$89,2,0)," ")</f>
        <v>PM/0131/0104/45030040255</v>
      </c>
      <c r="AG303" s="118" t="s">
        <v>385</v>
      </c>
      <c r="AH303" s="159" t="s">
        <v>193</v>
      </c>
      <c r="AI303" s="162" t="str">
        <f>CONCATENATE(PAA[[#This Row],[Id Interno]],"-",PAA[[#This Row],[tipo de Contrato (TH talento humano - B/S bienes y/o servicios)]],"-",S303,"-",T303,"-",PAA[[#This Row],[Objeto de la contratación]])</f>
        <v>20260262-TH-8173-2-Prestación de servicios de apoyo al proceso de comunicaciones en emergencias del centro de coordinación y comunicaciones (c.c.c.), para el desarrollo de los programas a cargo de la Subdirección Operativa-S.O.</v>
      </c>
    </row>
    <row r="304" spans="2:35" ht="84" x14ac:dyDescent="0.35">
      <c r="B304" s="23">
        <v>20260263</v>
      </c>
      <c r="C304" s="99" t="s">
        <v>881</v>
      </c>
      <c r="D304" s="99" t="s">
        <v>105</v>
      </c>
      <c r="E304" s="99" t="s">
        <v>363</v>
      </c>
      <c r="F304" s="157" t="s">
        <v>145</v>
      </c>
      <c r="G304" s="157" t="s">
        <v>373</v>
      </c>
      <c r="H304" s="164">
        <v>9</v>
      </c>
      <c r="I304" s="164">
        <v>0</v>
      </c>
      <c r="J304" s="118">
        <v>26910000</v>
      </c>
      <c r="K304" s="126" t="s">
        <v>398</v>
      </c>
      <c r="L304" s="157" t="s">
        <v>158</v>
      </c>
      <c r="M304" s="163" t="s">
        <v>421</v>
      </c>
      <c r="N304" s="99" t="s">
        <v>198</v>
      </c>
      <c r="O304" s="151" t="s">
        <v>964</v>
      </c>
      <c r="P304" s="157" t="s">
        <v>348</v>
      </c>
      <c r="Q304" s="128">
        <v>80111600</v>
      </c>
      <c r="R304" s="163" t="s">
        <v>211</v>
      </c>
      <c r="S304" s="159" t="str">
        <f>MID(PAA[[#This Row],[Meta Proyecto de Inversión]],1,4)</f>
        <v>8173</v>
      </c>
      <c r="T304" s="159" t="str">
        <f>MID(PAA[[#This Row],[Meta Proyecto de Inversión]],6,1)</f>
        <v>2</v>
      </c>
      <c r="U304" s="160" t="str">
        <f>IFERROR(VLOOKUP(N304,TD!$B$50:$F$54,2,0)," ")</f>
        <v>O230117</v>
      </c>
      <c r="V304" s="160" t="str">
        <f>IFERROR(VLOOKUP(N304,TD!$B$50:$F$54,3,0)," ")</f>
        <v>4503</v>
      </c>
      <c r="W304" s="160">
        <f>IFERROR(VLOOKUP(N304,TD!$B$50:$F$54,4,0)," ")</f>
        <v>20240255</v>
      </c>
      <c r="X304" s="159" t="s">
        <v>164</v>
      </c>
      <c r="Y304" s="160" t="str">
        <f>IFERROR(VLOOKUP(X304,TD!$J$51:$K$64,2,0)," ")</f>
        <v>Servicio de atención a incidentes y emergencias.</v>
      </c>
      <c r="Z304" s="161" t="str">
        <f>CONCATENATE(X304,"-",Y304)</f>
        <v>04-Servicio de atención a incidentes y emergencias.</v>
      </c>
      <c r="AA304" s="159" t="s">
        <v>221</v>
      </c>
      <c r="AB304" s="160" t="str">
        <f>IFERROR(VLOOKUP(AA304,TD!$N$51:$O$66,2,0)," ")</f>
        <v>Servicio de atención a emergencias y desastres</v>
      </c>
      <c r="AC304" s="161" t="str">
        <f>CONCATENATE(AA304,"_",AB304)</f>
        <v>004_Servicio de atención a emergencias y desastres</v>
      </c>
      <c r="AD304" s="161" t="str">
        <f>CONCATENATE(Z304," ",AC304)</f>
        <v>04-Servicio de atención a incidentes y emergencias. 004_Servicio de atención a emergencias y desastres</v>
      </c>
      <c r="AE304" s="160" t="str">
        <f>CONCATENATE(U304,V304,W304,X304,AA304)</f>
        <v>O23011745032024025504004</v>
      </c>
      <c r="AF304" s="160" t="str">
        <f>IFERROR(VLOOKUP(AD304,TD!$J$66:$K$89,2,0)," ")</f>
        <v>PM/0131/0104/45030040255</v>
      </c>
      <c r="AG304" s="118" t="s">
        <v>385</v>
      </c>
      <c r="AH304" s="159" t="s">
        <v>193</v>
      </c>
      <c r="AI304" s="162" t="str">
        <f>CONCATENATE(PAA[[#This Row],[Id Interno]],"-",PAA[[#This Row],[tipo de Contrato (TH talento humano - B/S bienes y/o servicios)]],"-",S304,"-",T304,"-",PAA[[#This Row],[Objeto de la contratación]])</f>
        <v>20260263-TH-8173-2-Prestación de servicios para realizar la gestión administrativa requerida en la estación de bomberos asignada, para el desarrollo de los programas a cargo de la Subdirección Operativa-S.O.</v>
      </c>
    </row>
    <row r="305" spans="2:35" ht="84" x14ac:dyDescent="0.35">
      <c r="B305" s="23">
        <v>20260264</v>
      </c>
      <c r="C305" s="99" t="s">
        <v>881</v>
      </c>
      <c r="D305" s="99" t="s">
        <v>105</v>
      </c>
      <c r="E305" s="99" t="s">
        <v>363</v>
      </c>
      <c r="F305" s="157" t="s">
        <v>145</v>
      </c>
      <c r="G305" s="157" t="s">
        <v>373</v>
      </c>
      <c r="H305" s="164">
        <v>9</v>
      </c>
      <c r="I305" s="164">
        <v>0</v>
      </c>
      <c r="J305" s="118">
        <v>26910000</v>
      </c>
      <c r="K305" s="126" t="s">
        <v>398</v>
      </c>
      <c r="L305" s="157" t="s">
        <v>158</v>
      </c>
      <c r="M305" s="163" t="s">
        <v>421</v>
      </c>
      <c r="N305" s="99" t="s">
        <v>198</v>
      </c>
      <c r="O305" s="151" t="s">
        <v>964</v>
      </c>
      <c r="P305" s="157" t="s">
        <v>348</v>
      </c>
      <c r="Q305" s="128">
        <v>80111600</v>
      </c>
      <c r="R305" s="163" t="s">
        <v>211</v>
      </c>
      <c r="S305" s="159" t="str">
        <f>MID(PAA[[#This Row],[Meta Proyecto de Inversión]],1,4)</f>
        <v>8173</v>
      </c>
      <c r="T305" s="159" t="str">
        <f>MID(PAA[[#This Row],[Meta Proyecto de Inversión]],6,1)</f>
        <v>2</v>
      </c>
      <c r="U305" s="160" t="str">
        <f>IFERROR(VLOOKUP(N305,TD!$B$50:$F$54,2,0)," ")</f>
        <v>O230117</v>
      </c>
      <c r="V305" s="160" t="str">
        <f>IFERROR(VLOOKUP(N305,TD!$B$50:$F$54,3,0)," ")</f>
        <v>4503</v>
      </c>
      <c r="W305" s="160">
        <f>IFERROR(VLOOKUP(N305,TD!$B$50:$F$54,4,0)," ")</f>
        <v>20240255</v>
      </c>
      <c r="X305" s="159" t="s">
        <v>164</v>
      </c>
      <c r="Y305" s="160" t="str">
        <f>IFERROR(VLOOKUP(X305,TD!$J$51:$K$64,2,0)," ")</f>
        <v>Servicio de atención a incidentes y emergencias.</v>
      </c>
      <c r="Z305" s="161" t="str">
        <f>CONCATENATE(X305,"-",Y305)</f>
        <v>04-Servicio de atención a incidentes y emergencias.</v>
      </c>
      <c r="AA305" s="159" t="s">
        <v>221</v>
      </c>
      <c r="AB305" s="160" t="str">
        <f>IFERROR(VLOOKUP(AA305,TD!$N$51:$O$66,2,0)," ")</f>
        <v>Servicio de atención a emergencias y desastres</v>
      </c>
      <c r="AC305" s="161" t="str">
        <f>CONCATENATE(AA305,"_",AB305)</f>
        <v>004_Servicio de atención a emergencias y desastres</v>
      </c>
      <c r="AD305" s="161" t="str">
        <f>CONCATENATE(Z305," ",AC305)</f>
        <v>04-Servicio de atención a incidentes y emergencias. 004_Servicio de atención a emergencias y desastres</v>
      </c>
      <c r="AE305" s="160" t="str">
        <f>CONCATENATE(U305,V305,W305,X305,AA305)</f>
        <v>O23011745032024025504004</v>
      </c>
      <c r="AF305" s="160" t="str">
        <f>IFERROR(VLOOKUP(AD305,TD!$J$66:$K$89,2,0)," ")</f>
        <v>PM/0131/0104/45030040255</v>
      </c>
      <c r="AG305" s="118" t="s">
        <v>385</v>
      </c>
      <c r="AH305" s="159" t="s">
        <v>193</v>
      </c>
      <c r="AI305" s="162" t="str">
        <f>CONCATENATE(PAA[[#This Row],[Id Interno]],"-",PAA[[#This Row],[tipo de Contrato (TH talento humano - B/S bienes y/o servicios)]],"-",S305,"-",T305,"-",PAA[[#This Row],[Objeto de la contratación]])</f>
        <v>20260264-TH-8173-2-Prestación de servicios para realizar la gestión administrativa requerida en la estación de bomberos asignada, para el desarrollo de los programas a cargo de la Subdirección Operativa-S.O.</v>
      </c>
    </row>
    <row r="306" spans="2:35" ht="84" x14ac:dyDescent="0.35">
      <c r="B306" s="23">
        <v>20260265</v>
      </c>
      <c r="C306" s="99" t="s">
        <v>881</v>
      </c>
      <c r="D306" s="99" t="s">
        <v>105</v>
      </c>
      <c r="E306" s="99" t="s">
        <v>363</v>
      </c>
      <c r="F306" s="157" t="s">
        <v>145</v>
      </c>
      <c r="G306" s="157" t="s">
        <v>373</v>
      </c>
      <c r="H306" s="164">
        <v>9</v>
      </c>
      <c r="I306" s="164">
        <v>0</v>
      </c>
      <c r="J306" s="118">
        <v>26910000</v>
      </c>
      <c r="K306" s="126" t="s">
        <v>398</v>
      </c>
      <c r="L306" s="157" t="s">
        <v>158</v>
      </c>
      <c r="M306" s="163" t="s">
        <v>421</v>
      </c>
      <c r="N306" s="99" t="s">
        <v>198</v>
      </c>
      <c r="O306" s="151" t="s">
        <v>964</v>
      </c>
      <c r="P306" s="157" t="s">
        <v>348</v>
      </c>
      <c r="Q306" s="128">
        <v>80111600</v>
      </c>
      <c r="R306" s="163" t="s">
        <v>211</v>
      </c>
      <c r="S306" s="159" t="str">
        <f>MID(PAA[[#This Row],[Meta Proyecto de Inversión]],1,4)</f>
        <v>8173</v>
      </c>
      <c r="T306" s="159" t="str">
        <f>MID(PAA[[#This Row],[Meta Proyecto de Inversión]],6,1)</f>
        <v>2</v>
      </c>
      <c r="U306" s="160" t="str">
        <f>IFERROR(VLOOKUP(N306,TD!$B$50:$F$54,2,0)," ")</f>
        <v>O230117</v>
      </c>
      <c r="V306" s="160" t="str">
        <f>IFERROR(VLOOKUP(N306,TD!$B$50:$F$54,3,0)," ")</f>
        <v>4503</v>
      </c>
      <c r="W306" s="160">
        <f>IFERROR(VLOOKUP(N306,TD!$B$50:$F$54,4,0)," ")</f>
        <v>20240255</v>
      </c>
      <c r="X306" s="159" t="s">
        <v>164</v>
      </c>
      <c r="Y306" s="160" t="str">
        <f>IFERROR(VLOOKUP(X306,TD!$J$51:$K$64,2,0)," ")</f>
        <v>Servicio de atención a incidentes y emergencias.</v>
      </c>
      <c r="Z306" s="161" t="str">
        <f>CONCATENATE(X306,"-",Y306)</f>
        <v>04-Servicio de atención a incidentes y emergencias.</v>
      </c>
      <c r="AA306" s="159" t="s">
        <v>221</v>
      </c>
      <c r="AB306" s="160" t="str">
        <f>IFERROR(VLOOKUP(AA306,TD!$N$51:$O$66,2,0)," ")</f>
        <v>Servicio de atención a emergencias y desastres</v>
      </c>
      <c r="AC306" s="161" t="str">
        <f>CONCATENATE(AA306,"_",AB306)</f>
        <v>004_Servicio de atención a emergencias y desastres</v>
      </c>
      <c r="AD306" s="161" t="str">
        <f>CONCATENATE(Z306," ",AC306)</f>
        <v>04-Servicio de atención a incidentes y emergencias. 004_Servicio de atención a emergencias y desastres</v>
      </c>
      <c r="AE306" s="160" t="str">
        <f>CONCATENATE(U306,V306,W306,X306,AA306)</f>
        <v>O23011745032024025504004</v>
      </c>
      <c r="AF306" s="160" t="str">
        <f>IFERROR(VLOOKUP(AD306,TD!$J$66:$K$89,2,0)," ")</f>
        <v>PM/0131/0104/45030040255</v>
      </c>
      <c r="AG306" s="118" t="s">
        <v>385</v>
      </c>
      <c r="AH306" s="159" t="s">
        <v>193</v>
      </c>
      <c r="AI306" s="162" t="str">
        <f>CONCATENATE(PAA[[#This Row],[Id Interno]],"-",PAA[[#This Row],[tipo de Contrato (TH talento humano - B/S bienes y/o servicios)]],"-",S306,"-",T306,"-",PAA[[#This Row],[Objeto de la contratación]])</f>
        <v>20260265-TH-8173-2-Prestación de servicios para realizar la gestión administrativa requerida en la estación de bomberos asignada, para el desarrollo de los programas a cargo de la Subdirección Operativa-S.O.</v>
      </c>
    </row>
    <row r="307" spans="2:35" ht="112" x14ac:dyDescent="0.35">
      <c r="B307" s="23">
        <v>20260266</v>
      </c>
      <c r="C307" s="99" t="s">
        <v>881</v>
      </c>
      <c r="D307" s="99" t="s">
        <v>105</v>
      </c>
      <c r="E307" s="99" t="s">
        <v>363</v>
      </c>
      <c r="F307" s="157" t="s">
        <v>145</v>
      </c>
      <c r="G307" s="157" t="s">
        <v>373</v>
      </c>
      <c r="H307" s="164">
        <v>9</v>
      </c>
      <c r="I307" s="164">
        <v>0</v>
      </c>
      <c r="J307" s="118">
        <v>26910000</v>
      </c>
      <c r="K307" s="126" t="s">
        <v>398</v>
      </c>
      <c r="L307" s="157" t="s">
        <v>158</v>
      </c>
      <c r="M307" s="163" t="s">
        <v>421</v>
      </c>
      <c r="N307" s="99" t="s">
        <v>198</v>
      </c>
      <c r="O307" s="151" t="s">
        <v>964</v>
      </c>
      <c r="P307" s="157" t="s">
        <v>348</v>
      </c>
      <c r="Q307" s="128">
        <v>80111600</v>
      </c>
      <c r="R307" s="163" t="s">
        <v>211</v>
      </c>
      <c r="S307" s="159" t="str">
        <f>MID(PAA[[#This Row],[Meta Proyecto de Inversión]],1,4)</f>
        <v>8173</v>
      </c>
      <c r="T307" s="159" t="str">
        <f>MID(PAA[[#This Row],[Meta Proyecto de Inversión]],6,1)</f>
        <v>2</v>
      </c>
      <c r="U307" s="160" t="str">
        <f>IFERROR(VLOOKUP(N307,TD!$B$50:$F$54,2,0)," ")</f>
        <v>O230117</v>
      </c>
      <c r="V307" s="160" t="str">
        <f>IFERROR(VLOOKUP(N307,TD!$B$50:$F$54,3,0)," ")</f>
        <v>4503</v>
      </c>
      <c r="W307" s="160">
        <f>IFERROR(VLOOKUP(N307,TD!$B$50:$F$54,4,0)," ")</f>
        <v>20240255</v>
      </c>
      <c r="X307" s="159" t="s">
        <v>164</v>
      </c>
      <c r="Y307" s="160" t="str">
        <f>IFERROR(VLOOKUP(X307,TD!$J$51:$K$64,2,0)," ")</f>
        <v>Servicio de atención a incidentes y emergencias.</v>
      </c>
      <c r="Z307" s="161" t="str">
        <f>CONCATENATE(X307,"-",Y307)</f>
        <v>04-Servicio de atención a incidentes y emergencias.</v>
      </c>
      <c r="AA307" s="159" t="s">
        <v>221</v>
      </c>
      <c r="AB307" s="160" t="str">
        <f>IFERROR(VLOOKUP(AA307,TD!$N$51:$O$66,2,0)," ")</f>
        <v>Servicio de atención a emergencias y desastres</v>
      </c>
      <c r="AC307" s="161" t="str">
        <f>CONCATENATE(AA307,"_",AB307)</f>
        <v>004_Servicio de atención a emergencias y desastres</v>
      </c>
      <c r="AD307" s="161" t="str">
        <f>CONCATENATE(Z307," ",AC307)</f>
        <v>04-Servicio de atención a incidentes y emergencias. 004_Servicio de atención a emergencias y desastres</v>
      </c>
      <c r="AE307" s="160" t="str">
        <f>CONCATENATE(U307,V307,W307,X307,AA307)</f>
        <v>O23011745032024025504004</v>
      </c>
      <c r="AF307" s="160" t="str">
        <f>IFERROR(VLOOKUP(AD307,TD!$J$66:$K$89,2,0)," ")</f>
        <v>PM/0131/0104/45030040255</v>
      </c>
      <c r="AG307" s="118" t="s">
        <v>385</v>
      </c>
      <c r="AH307" s="159" t="s">
        <v>193</v>
      </c>
      <c r="AI307" s="162" t="str">
        <f>CONCATENATE(PAA[[#This Row],[Id Interno]],"-",PAA[[#This Row],[tipo de Contrato (TH talento humano - B/S bienes y/o servicios)]],"-",S307,"-",T307,"-",PAA[[#This Row],[Objeto de la contratación]])</f>
        <v>20260266-TH-8173-2-Prestación de servicios para realizar la gestión administrativa requerida en la estación de bomberos asignada, para el desarrollo de los programas a cargo de la Subdirección Operativa-S.O.</v>
      </c>
    </row>
    <row r="308" spans="2:35" ht="112" x14ac:dyDescent="0.35">
      <c r="B308" s="23">
        <v>20260267</v>
      </c>
      <c r="C308" s="99" t="s">
        <v>881</v>
      </c>
      <c r="D308" s="99" t="s">
        <v>105</v>
      </c>
      <c r="E308" s="99" t="s">
        <v>363</v>
      </c>
      <c r="F308" s="157" t="s">
        <v>145</v>
      </c>
      <c r="G308" s="157" t="s">
        <v>373</v>
      </c>
      <c r="H308" s="164">
        <v>9</v>
      </c>
      <c r="I308" s="164">
        <v>0</v>
      </c>
      <c r="J308" s="118">
        <v>26910000</v>
      </c>
      <c r="K308" s="126" t="s">
        <v>398</v>
      </c>
      <c r="L308" s="157" t="s">
        <v>158</v>
      </c>
      <c r="M308" s="163" t="s">
        <v>421</v>
      </c>
      <c r="N308" s="99" t="s">
        <v>198</v>
      </c>
      <c r="O308" s="151" t="s">
        <v>964</v>
      </c>
      <c r="P308" s="157" t="s">
        <v>348</v>
      </c>
      <c r="Q308" s="128">
        <v>80111600</v>
      </c>
      <c r="R308" s="163" t="s">
        <v>211</v>
      </c>
      <c r="S308" s="159" t="str">
        <f>MID(PAA[[#This Row],[Meta Proyecto de Inversión]],1,4)</f>
        <v>8173</v>
      </c>
      <c r="T308" s="159" t="str">
        <f>MID(PAA[[#This Row],[Meta Proyecto de Inversión]],6,1)</f>
        <v>2</v>
      </c>
      <c r="U308" s="160" t="str">
        <f>IFERROR(VLOOKUP(N308,TD!$B$50:$F$54,2,0)," ")</f>
        <v>O230117</v>
      </c>
      <c r="V308" s="160" t="str">
        <f>IFERROR(VLOOKUP(N308,TD!$B$50:$F$54,3,0)," ")</f>
        <v>4503</v>
      </c>
      <c r="W308" s="160">
        <f>IFERROR(VLOOKUP(N308,TD!$B$50:$F$54,4,0)," ")</f>
        <v>20240255</v>
      </c>
      <c r="X308" s="159" t="s">
        <v>164</v>
      </c>
      <c r="Y308" s="160" t="str">
        <f>IFERROR(VLOOKUP(X308,TD!$J$51:$K$64,2,0)," ")</f>
        <v>Servicio de atención a incidentes y emergencias.</v>
      </c>
      <c r="Z308" s="161" t="str">
        <f>CONCATENATE(X308,"-",Y308)</f>
        <v>04-Servicio de atención a incidentes y emergencias.</v>
      </c>
      <c r="AA308" s="159" t="s">
        <v>221</v>
      </c>
      <c r="AB308" s="160" t="str">
        <f>IFERROR(VLOOKUP(AA308,TD!$N$51:$O$66,2,0)," ")</f>
        <v>Servicio de atención a emergencias y desastres</v>
      </c>
      <c r="AC308" s="161" t="str">
        <f>CONCATENATE(AA308,"_",AB308)</f>
        <v>004_Servicio de atención a emergencias y desastres</v>
      </c>
      <c r="AD308" s="161" t="str">
        <f>CONCATENATE(Z308," ",AC308)</f>
        <v>04-Servicio de atención a incidentes y emergencias. 004_Servicio de atención a emergencias y desastres</v>
      </c>
      <c r="AE308" s="160" t="str">
        <f>CONCATENATE(U308,V308,W308,X308,AA308)</f>
        <v>O23011745032024025504004</v>
      </c>
      <c r="AF308" s="160" t="str">
        <f>IFERROR(VLOOKUP(AD308,TD!$J$66:$K$89,2,0)," ")</f>
        <v>PM/0131/0104/45030040255</v>
      </c>
      <c r="AG308" s="118" t="s">
        <v>385</v>
      </c>
      <c r="AH308" s="159" t="s">
        <v>193</v>
      </c>
      <c r="AI308" s="162" t="str">
        <f>CONCATENATE(PAA[[#This Row],[Id Interno]],"-",PAA[[#This Row],[tipo de Contrato (TH talento humano - B/S bienes y/o servicios)]],"-",S308,"-",T308,"-",PAA[[#This Row],[Objeto de la contratación]])</f>
        <v>20260267-TH-8173-2-Prestación de servicios para realizar la gestión administrativa requerida en la estación de bomberos asignada, para el desarrollo de los programas a cargo de la Subdirección Operativa-S.O.</v>
      </c>
    </row>
    <row r="309" spans="2:35" ht="98" x14ac:dyDescent="0.35">
      <c r="B309" s="23">
        <v>20260268</v>
      </c>
      <c r="C309" s="99" t="s">
        <v>881</v>
      </c>
      <c r="D309" s="99" t="s">
        <v>105</v>
      </c>
      <c r="E309" s="99" t="s">
        <v>363</v>
      </c>
      <c r="F309" s="157" t="s">
        <v>145</v>
      </c>
      <c r="G309" s="157" t="s">
        <v>373</v>
      </c>
      <c r="H309" s="164">
        <v>9</v>
      </c>
      <c r="I309" s="164">
        <v>0</v>
      </c>
      <c r="J309" s="118">
        <v>26910000</v>
      </c>
      <c r="K309" s="126" t="s">
        <v>398</v>
      </c>
      <c r="L309" s="157" t="s">
        <v>158</v>
      </c>
      <c r="M309" s="163" t="s">
        <v>421</v>
      </c>
      <c r="N309" s="99" t="s">
        <v>198</v>
      </c>
      <c r="O309" s="151" t="s">
        <v>964</v>
      </c>
      <c r="P309" s="157" t="s">
        <v>348</v>
      </c>
      <c r="Q309" s="128">
        <v>80111600</v>
      </c>
      <c r="R309" s="163" t="s">
        <v>211</v>
      </c>
      <c r="S309" s="159" t="str">
        <f>MID(PAA[[#This Row],[Meta Proyecto de Inversión]],1,4)</f>
        <v>8173</v>
      </c>
      <c r="T309" s="159" t="str">
        <f>MID(PAA[[#This Row],[Meta Proyecto de Inversión]],6,1)</f>
        <v>2</v>
      </c>
      <c r="U309" s="160" t="str">
        <f>IFERROR(VLOOKUP(N309,TD!$B$50:$F$54,2,0)," ")</f>
        <v>O230117</v>
      </c>
      <c r="V309" s="160" t="str">
        <f>IFERROR(VLOOKUP(N309,TD!$B$50:$F$54,3,0)," ")</f>
        <v>4503</v>
      </c>
      <c r="W309" s="160">
        <f>IFERROR(VLOOKUP(N309,TD!$B$50:$F$54,4,0)," ")</f>
        <v>20240255</v>
      </c>
      <c r="X309" s="159" t="s">
        <v>164</v>
      </c>
      <c r="Y309" s="160" t="str">
        <f>IFERROR(VLOOKUP(X309,TD!$J$51:$K$64,2,0)," ")</f>
        <v>Servicio de atención a incidentes y emergencias.</v>
      </c>
      <c r="Z309" s="161" t="str">
        <f>CONCATENATE(X309,"-",Y309)</f>
        <v>04-Servicio de atención a incidentes y emergencias.</v>
      </c>
      <c r="AA309" s="159" t="s">
        <v>221</v>
      </c>
      <c r="AB309" s="160" t="str">
        <f>IFERROR(VLOOKUP(AA309,TD!$N$51:$O$66,2,0)," ")</f>
        <v>Servicio de atención a emergencias y desastres</v>
      </c>
      <c r="AC309" s="161" t="str">
        <f>CONCATENATE(AA309,"_",AB309)</f>
        <v>004_Servicio de atención a emergencias y desastres</v>
      </c>
      <c r="AD309" s="161" t="str">
        <f>CONCATENATE(Z309," ",AC309)</f>
        <v>04-Servicio de atención a incidentes y emergencias. 004_Servicio de atención a emergencias y desastres</v>
      </c>
      <c r="AE309" s="160" t="str">
        <f>CONCATENATE(U309,V309,W309,X309,AA309)</f>
        <v>O23011745032024025504004</v>
      </c>
      <c r="AF309" s="160" t="str">
        <f>IFERROR(VLOOKUP(AD309,TD!$J$66:$K$89,2,0)," ")</f>
        <v>PM/0131/0104/45030040255</v>
      </c>
      <c r="AG309" s="118" t="s">
        <v>385</v>
      </c>
      <c r="AH309" s="159" t="s">
        <v>193</v>
      </c>
      <c r="AI309" s="162" t="str">
        <f>CONCATENATE(PAA[[#This Row],[Id Interno]],"-",PAA[[#This Row],[tipo de Contrato (TH talento humano - B/S bienes y/o servicios)]],"-",S309,"-",T309,"-",PAA[[#This Row],[Objeto de la contratación]])</f>
        <v>20260268-TH-8173-2-Prestación de servicios para realizar la gestión administrativa requerida en la estación de bomberos asignada, para el desarrollo de los programas a cargo de la Subdirección Operativa-S.O.</v>
      </c>
    </row>
    <row r="310" spans="2:35" ht="84" x14ac:dyDescent="0.35">
      <c r="B310" s="23">
        <v>20260269</v>
      </c>
      <c r="C310" s="99" t="s">
        <v>881</v>
      </c>
      <c r="D310" s="99" t="s">
        <v>105</v>
      </c>
      <c r="E310" s="99" t="s">
        <v>363</v>
      </c>
      <c r="F310" s="157" t="s">
        <v>145</v>
      </c>
      <c r="G310" s="157" t="s">
        <v>373</v>
      </c>
      <c r="H310" s="164">
        <v>9</v>
      </c>
      <c r="I310" s="164">
        <v>0</v>
      </c>
      <c r="J310" s="118">
        <v>26910000</v>
      </c>
      <c r="K310" s="126" t="s">
        <v>398</v>
      </c>
      <c r="L310" s="157" t="s">
        <v>158</v>
      </c>
      <c r="M310" s="163" t="s">
        <v>421</v>
      </c>
      <c r="N310" s="99" t="s">
        <v>198</v>
      </c>
      <c r="O310" s="151" t="s">
        <v>964</v>
      </c>
      <c r="P310" s="157" t="s">
        <v>348</v>
      </c>
      <c r="Q310" s="128">
        <v>80111600</v>
      </c>
      <c r="R310" s="163" t="s">
        <v>211</v>
      </c>
      <c r="S310" s="159" t="str">
        <f>MID(PAA[[#This Row],[Meta Proyecto de Inversión]],1,4)</f>
        <v>8173</v>
      </c>
      <c r="T310" s="159" t="str">
        <f>MID(PAA[[#This Row],[Meta Proyecto de Inversión]],6,1)</f>
        <v>2</v>
      </c>
      <c r="U310" s="160" t="str">
        <f>IFERROR(VLOOKUP(N310,TD!$B$50:$F$54,2,0)," ")</f>
        <v>O230117</v>
      </c>
      <c r="V310" s="160" t="str">
        <f>IFERROR(VLOOKUP(N310,TD!$B$50:$F$54,3,0)," ")</f>
        <v>4503</v>
      </c>
      <c r="W310" s="160">
        <f>IFERROR(VLOOKUP(N310,TD!$B$50:$F$54,4,0)," ")</f>
        <v>20240255</v>
      </c>
      <c r="X310" s="159" t="s">
        <v>164</v>
      </c>
      <c r="Y310" s="160" t="str">
        <f>IFERROR(VLOOKUP(X310,TD!$J$51:$K$64,2,0)," ")</f>
        <v>Servicio de atención a incidentes y emergencias.</v>
      </c>
      <c r="Z310" s="161" t="str">
        <f>CONCATENATE(X310,"-",Y310)</f>
        <v>04-Servicio de atención a incidentes y emergencias.</v>
      </c>
      <c r="AA310" s="159" t="s">
        <v>221</v>
      </c>
      <c r="AB310" s="160" t="str">
        <f>IFERROR(VLOOKUP(AA310,TD!$N$51:$O$66,2,0)," ")</f>
        <v>Servicio de atención a emergencias y desastres</v>
      </c>
      <c r="AC310" s="161" t="str">
        <f>CONCATENATE(AA310,"_",AB310)</f>
        <v>004_Servicio de atención a emergencias y desastres</v>
      </c>
      <c r="AD310" s="161" t="str">
        <f>CONCATENATE(Z310," ",AC310)</f>
        <v>04-Servicio de atención a incidentes y emergencias. 004_Servicio de atención a emergencias y desastres</v>
      </c>
      <c r="AE310" s="160" t="str">
        <f>CONCATENATE(U310,V310,W310,X310,AA310)</f>
        <v>O23011745032024025504004</v>
      </c>
      <c r="AF310" s="160" t="str">
        <f>IFERROR(VLOOKUP(AD310,TD!$J$66:$K$89,2,0)," ")</f>
        <v>PM/0131/0104/45030040255</v>
      </c>
      <c r="AG310" s="118" t="s">
        <v>385</v>
      </c>
      <c r="AH310" s="159" t="s">
        <v>193</v>
      </c>
      <c r="AI310" s="162" t="str">
        <f>CONCATENATE(PAA[[#This Row],[Id Interno]],"-",PAA[[#This Row],[tipo de Contrato (TH talento humano - B/S bienes y/o servicios)]],"-",S310,"-",T310,"-",PAA[[#This Row],[Objeto de la contratación]])</f>
        <v>20260269-TH-8173-2-Prestación de servicios para realizar la gestión administrativa requerida en la estación de bomberos asignada, para el desarrollo de los programas a cargo de la Subdirección Operativa-S.O.</v>
      </c>
    </row>
    <row r="311" spans="2:35" ht="56" x14ac:dyDescent="0.35">
      <c r="B311" s="23">
        <v>20260270</v>
      </c>
      <c r="C311" s="99" t="s">
        <v>881</v>
      </c>
      <c r="D311" s="99" t="s">
        <v>105</v>
      </c>
      <c r="E311" s="99" t="s">
        <v>363</v>
      </c>
      <c r="F311" s="157" t="s">
        <v>145</v>
      </c>
      <c r="G311" s="157" t="s">
        <v>373</v>
      </c>
      <c r="H311" s="164">
        <v>9</v>
      </c>
      <c r="I311" s="164">
        <v>0</v>
      </c>
      <c r="J311" s="118">
        <v>26910000</v>
      </c>
      <c r="K311" s="126" t="s">
        <v>398</v>
      </c>
      <c r="L311" s="157" t="s">
        <v>158</v>
      </c>
      <c r="M311" s="163" t="s">
        <v>421</v>
      </c>
      <c r="N311" s="99" t="s">
        <v>198</v>
      </c>
      <c r="O311" s="151" t="s">
        <v>964</v>
      </c>
      <c r="P311" s="157" t="s">
        <v>348</v>
      </c>
      <c r="Q311" s="128">
        <v>80111600</v>
      </c>
      <c r="R311" s="163" t="s">
        <v>211</v>
      </c>
      <c r="S311" s="159" t="str">
        <f>MID(PAA[[#This Row],[Meta Proyecto de Inversión]],1,4)</f>
        <v>8173</v>
      </c>
      <c r="T311" s="159" t="str">
        <f>MID(PAA[[#This Row],[Meta Proyecto de Inversión]],6,1)</f>
        <v>2</v>
      </c>
      <c r="U311" s="160" t="str">
        <f>IFERROR(VLOOKUP(N311,TD!$B$50:$F$54,2,0)," ")</f>
        <v>O230117</v>
      </c>
      <c r="V311" s="160" t="str">
        <f>IFERROR(VLOOKUP(N311,TD!$B$50:$F$54,3,0)," ")</f>
        <v>4503</v>
      </c>
      <c r="W311" s="160">
        <f>IFERROR(VLOOKUP(N311,TD!$B$50:$F$54,4,0)," ")</f>
        <v>20240255</v>
      </c>
      <c r="X311" s="159" t="s">
        <v>164</v>
      </c>
      <c r="Y311" s="160" t="str">
        <f>IFERROR(VLOOKUP(X311,TD!$J$51:$K$64,2,0)," ")</f>
        <v>Servicio de atención a incidentes y emergencias.</v>
      </c>
      <c r="Z311" s="161" t="str">
        <f>CONCATENATE(X311,"-",Y311)</f>
        <v>04-Servicio de atención a incidentes y emergencias.</v>
      </c>
      <c r="AA311" s="159" t="s">
        <v>221</v>
      </c>
      <c r="AB311" s="160" t="str">
        <f>IFERROR(VLOOKUP(AA311,TD!$N$51:$O$66,2,0)," ")</f>
        <v>Servicio de atención a emergencias y desastres</v>
      </c>
      <c r="AC311" s="161" t="str">
        <f>CONCATENATE(AA311,"_",AB311)</f>
        <v>004_Servicio de atención a emergencias y desastres</v>
      </c>
      <c r="AD311" s="161" t="str">
        <f>CONCATENATE(Z311," ",AC311)</f>
        <v>04-Servicio de atención a incidentes y emergencias. 004_Servicio de atención a emergencias y desastres</v>
      </c>
      <c r="AE311" s="160" t="str">
        <f>CONCATENATE(U311,V311,W311,X311,AA311)</f>
        <v>O23011745032024025504004</v>
      </c>
      <c r="AF311" s="160" t="str">
        <f>IFERROR(VLOOKUP(AD311,TD!$J$66:$K$89,2,0)," ")</f>
        <v>PM/0131/0104/45030040255</v>
      </c>
      <c r="AG311" s="118" t="s">
        <v>385</v>
      </c>
      <c r="AH311" s="159" t="s">
        <v>193</v>
      </c>
      <c r="AI311" s="162" t="str">
        <f>CONCATENATE(PAA[[#This Row],[Id Interno]],"-",PAA[[#This Row],[tipo de Contrato (TH talento humano - B/S bienes y/o servicios)]],"-",S311,"-",T311,"-",PAA[[#This Row],[Objeto de la contratación]])</f>
        <v>20260270-TH-8173-2-Prestación de servicios para realizar la gestión administrativa requerida en la estación de bomberos asignada, para el desarrollo de los programas a cargo de la Subdirección Operativa-S.O.</v>
      </c>
    </row>
    <row r="312" spans="2:35" ht="56" x14ac:dyDescent="0.35">
      <c r="B312" s="23">
        <v>20260271</v>
      </c>
      <c r="C312" s="99" t="s">
        <v>881</v>
      </c>
      <c r="D312" s="99" t="s">
        <v>105</v>
      </c>
      <c r="E312" s="99" t="s">
        <v>363</v>
      </c>
      <c r="F312" s="157" t="s">
        <v>145</v>
      </c>
      <c r="G312" s="157" t="s">
        <v>373</v>
      </c>
      <c r="H312" s="164">
        <v>9</v>
      </c>
      <c r="I312" s="164">
        <v>0</v>
      </c>
      <c r="J312" s="118">
        <v>26910000</v>
      </c>
      <c r="K312" s="126" t="s">
        <v>398</v>
      </c>
      <c r="L312" s="157" t="s">
        <v>158</v>
      </c>
      <c r="M312" s="163" t="s">
        <v>421</v>
      </c>
      <c r="N312" s="99" t="s">
        <v>198</v>
      </c>
      <c r="O312" s="151" t="s">
        <v>964</v>
      </c>
      <c r="P312" s="157" t="s">
        <v>348</v>
      </c>
      <c r="Q312" s="128">
        <v>80111600</v>
      </c>
      <c r="R312" s="163" t="s">
        <v>211</v>
      </c>
      <c r="S312" s="159" t="str">
        <f>MID(PAA[[#This Row],[Meta Proyecto de Inversión]],1,4)</f>
        <v>8173</v>
      </c>
      <c r="T312" s="159" t="str">
        <f>MID(PAA[[#This Row],[Meta Proyecto de Inversión]],6,1)</f>
        <v>2</v>
      </c>
      <c r="U312" s="160" t="str">
        <f>IFERROR(VLOOKUP(N312,TD!$B$50:$F$54,2,0)," ")</f>
        <v>O230117</v>
      </c>
      <c r="V312" s="160" t="str">
        <f>IFERROR(VLOOKUP(N312,TD!$B$50:$F$54,3,0)," ")</f>
        <v>4503</v>
      </c>
      <c r="W312" s="160">
        <f>IFERROR(VLOOKUP(N312,TD!$B$50:$F$54,4,0)," ")</f>
        <v>20240255</v>
      </c>
      <c r="X312" s="159" t="s">
        <v>164</v>
      </c>
      <c r="Y312" s="160" t="str">
        <f>IFERROR(VLOOKUP(X312,TD!$J$51:$K$64,2,0)," ")</f>
        <v>Servicio de atención a incidentes y emergencias.</v>
      </c>
      <c r="Z312" s="161" t="str">
        <f>CONCATENATE(X312,"-",Y312)</f>
        <v>04-Servicio de atención a incidentes y emergencias.</v>
      </c>
      <c r="AA312" s="159" t="s">
        <v>221</v>
      </c>
      <c r="AB312" s="160" t="str">
        <f>IFERROR(VLOOKUP(AA312,TD!$N$51:$O$66,2,0)," ")</f>
        <v>Servicio de atención a emergencias y desastres</v>
      </c>
      <c r="AC312" s="161" t="str">
        <f>CONCATENATE(AA312,"_",AB312)</f>
        <v>004_Servicio de atención a emergencias y desastres</v>
      </c>
      <c r="AD312" s="161" t="str">
        <f>CONCATENATE(Z312," ",AC312)</f>
        <v>04-Servicio de atención a incidentes y emergencias. 004_Servicio de atención a emergencias y desastres</v>
      </c>
      <c r="AE312" s="160" t="str">
        <f>CONCATENATE(U312,V312,W312,X312,AA312)</f>
        <v>O23011745032024025504004</v>
      </c>
      <c r="AF312" s="160" t="str">
        <f>IFERROR(VLOOKUP(AD312,TD!$J$66:$K$89,2,0)," ")</f>
        <v>PM/0131/0104/45030040255</v>
      </c>
      <c r="AG312" s="118" t="s">
        <v>385</v>
      </c>
      <c r="AH312" s="159" t="s">
        <v>193</v>
      </c>
      <c r="AI312" s="162" t="str">
        <f>CONCATENATE(PAA[[#This Row],[Id Interno]],"-",PAA[[#This Row],[tipo de Contrato (TH talento humano - B/S bienes y/o servicios)]],"-",S312,"-",T312,"-",PAA[[#This Row],[Objeto de la contratación]])</f>
        <v>20260271-TH-8173-2-Prestación de servicios para realizar la gestión administrativa requerida en la estación de bomberos asignada, para el desarrollo de los programas a cargo de la Subdirección Operativa-S.O.</v>
      </c>
    </row>
    <row r="313" spans="2:35" ht="70" x14ac:dyDescent="0.35">
      <c r="B313" s="23">
        <v>20260272</v>
      </c>
      <c r="C313" s="99" t="s">
        <v>881</v>
      </c>
      <c r="D313" s="99" t="s">
        <v>105</v>
      </c>
      <c r="E313" s="99" t="s">
        <v>363</v>
      </c>
      <c r="F313" s="157" t="s">
        <v>145</v>
      </c>
      <c r="G313" s="157" t="s">
        <v>373</v>
      </c>
      <c r="H313" s="164">
        <v>9</v>
      </c>
      <c r="I313" s="164">
        <v>0</v>
      </c>
      <c r="J313" s="118">
        <v>26910000</v>
      </c>
      <c r="K313" s="126" t="s">
        <v>398</v>
      </c>
      <c r="L313" s="157" t="s">
        <v>158</v>
      </c>
      <c r="M313" s="163" t="s">
        <v>421</v>
      </c>
      <c r="N313" s="99" t="s">
        <v>198</v>
      </c>
      <c r="O313" s="151" t="s">
        <v>964</v>
      </c>
      <c r="P313" s="157" t="s">
        <v>348</v>
      </c>
      <c r="Q313" s="128">
        <v>80111600</v>
      </c>
      <c r="R313" s="163" t="s">
        <v>211</v>
      </c>
      <c r="S313" s="159" t="str">
        <f>MID(PAA[[#This Row],[Meta Proyecto de Inversión]],1,4)</f>
        <v>8173</v>
      </c>
      <c r="T313" s="159" t="str">
        <f>MID(PAA[[#This Row],[Meta Proyecto de Inversión]],6,1)</f>
        <v>2</v>
      </c>
      <c r="U313" s="160" t="str">
        <f>IFERROR(VLOOKUP(N313,TD!$B$50:$F$54,2,0)," ")</f>
        <v>O230117</v>
      </c>
      <c r="V313" s="160" t="str">
        <f>IFERROR(VLOOKUP(N313,TD!$B$50:$F$54,3,0)," ")</f>
        <v>4503</v>
      </c>
      <c r="W313" s="160">
        <f>IFERROR(VLOOKUP(N313,TD!$B$50:$F$54,4,0)," ")</f>
        <v>20240255</v>
      </c>
      <c r="X313" s="159" t="s">
        <v>164</v>
      </c>
      <c r="Y313" s="160" t="str">
        <f>IFERROR(VLOOKUP(X313,TD!$J$51:$K$64,2,0)," ")</f>
        <v>Servicio de atención a incidentes y emergencias.</v>
      </c>
      <c r="Z313" s="161" t="str">
        <f>CONCATENATE(X313,"-",Y313)</f>
        <v>04-Servicio de atención a incidentes y emergencias.</v>
      </c>
      <c r="AA313" s="159" t="s">
        <v>221</v>
      </c>
      <c r="AB313" s="160" t="str">
        <f>IFERROR(VLOOKUP(AA313,TD!$N$51:$O$66,2,0)," ")</f>
        <v>Servicio de atención a emergencias y desastres</v>
      </c>
      <c r="AC313" s="161" t="str">
        <f>CONCATENATE(AA313,"_",AB313)</f>
        <v>004_Servicio de atención a emergencias y desastres</v>
      </c>
      <c r="AD313" s="161" t="str">
        <f>CONCATENATE(Z313," ",AC313)</f>
        <v>04-Servicio de atención a incidentes y emergencias. 004_Servicio de atención a emergencias y desastres</v>
      </c>
      <c r="AE313" s="160" t="str">
        <f>CONCATENATE(U313,V313,W313,X313,AA313)</f>
        <v>O23011745032024025504004</v>
      </c>
      <c r="AF313" s="160" t="str">
        <f>IFERROR(VLOOKUP(AD313,TD!$J$66:$K$89,2,0)," ")</f>
        <v>PM/0131/0104/45030040255</v>
      </c>
      <c r="AG313" s="118" t="s">
        <v>385</v>
      </c>
      <c r="AH313" s="159" t="s">
        <v>193</v>
      </c>
      <c r="AI313" s="162" t="str">
        <f>CONCATENATE(PAA[[#This Row],[Id Interno]],"-",PAA[[#This Row],[tipo de Contrato (TH talento humano - B/S bienes y/o servicios)]],"-",S313,"-",T313,"-",PAA[[#This Row],[Objeto de la contratación]])</f>
        <v>20260272-TH-8173-2-Prestación de servicios para realizar la gestión administrativa requerida en la estación de bomberos asignada, para el desarrollo de los programas a cargo de la Subdirección Operativa-S.O.</v>
      </c>
    </row>
    <row r="314" spans="2:35" ht="70" x14ac:dyDescent="0.35">
      <c r="B314" s="23">
        <v>20260273</v>
      </c>
      <c r="C314" s="99" t="s">
        <v>881</v>
      </c>
      <c r="D314" s="99" t="s">
        <v>105</v>
      </c>
      <c r="E314" s="99" t="s">
        <v>363</v>
      </c>
      <c r="F314" s="157" t="s">
        <v>145</v>
      </c>
      <c r="G314" s="157" t="s">
        <v>373</v>
      </c>
      <c r="H314" s="164">
        <v>9</v>
      </c>
      <c r="I314" s="164">
        <v>0</v>
      </c>
      <c r="J314" s="118">
        <v>26910000</v>
      </c>
      <c r="K314" s="126" t="s">
        <v>398</v>
      </c>
      <c r="L314" s="157" t="s">
        <v>158</v>
      </c>
      <c r="M314" s="163" t="s">
        <v>421</v>
      </c>
      <c r="N314" s="99" t="s">
        <v>198</v>
      </c>
      <c r="O314" s="151" t="s">
        <v>964</v>
      </c>
      <c r="P314" s="157" t="s">
        <v>348</v>
      </c>
      <c r="Q314" s="128">
        <v>80111600</v>
      </c>
      <c r="R314" s="163" t="s">
        <v>211</v>
      </c>
      <c r="S314" s="159" t="str">
        <f>MID(PAA[[#This Row],[Meta Proyecto de Inversión]],1,4)</f>
        <v>8173</v>
      </c>
      <c r="T314" s="159" t="str">
        <f>MID(PAA[[#This Row],[Meta Proyecto de Inversión]],6,1)</f>
        <v>2</v>
      </c>
      <c r="U314" s="160" t="str">
        <f>IFERROR(VLOOKUP(N314,TD!$B$50:$F$54,2,0)," ")</f>
        <v>O230117</v>
      </c>
      <c r="V314" s="160" t="str">
        <f>IFERROR(VLOOKUP(N314,TD!$B$50:$F$54,3,0)," ")</f>
        <v>4503</v>
      </c>
      <c r="W314" s="160">
        <f>IFERROR(VLOOKUP(N314,TD!$B$50:$F$54,4,0)," ")</f>
        <v>20240255</v>
      </c>
      <c r="X314" s="159" t="s">
        <v>164</v>
      </c>
      <c r="Y314" s="160" t="str">
        <f>IFERROR(VLOOKUP(X314,TD!$J$51:$K$64,2,0)," ")</f>
        <v>Servicio de atención a incidentes y emergencias.</v>
      </c>
      <c r="Z314" s="161" t="str">
        <f>CONCATENATE(X314,"-",Y314)</f>
        <v>04-Servicio de atención a incidentes y emergencias.</v>
      </c>
      <c r="AA314" s="159" t="s">
        <v>221</v>
      </c>
      <c r="AB314" s="160" t="str">
        <f>IFERROR(VLOOKUP(AA314,TD!$N$51:$O$66,2,0)," ")</f>
        <v>Servicio de atención a emergencias y desastres</v>
      </c>
      <c r="AC314" s="161" t="str">
        <f>CONCATENATE(AA314,"_",AB314)</f>
        <v>004_Servicio de atención a emergencias y desastres</v>
      </c>
      <c r="AD314" s="161" t="str">
        <f>CONCATENATE(Z314," ",AC314)</f>
        <v>04-Servicio de atención a incidentes y emergencias. 004_Servicio de atención a emergencias y desastres</v>
      </c>
      <c r="AE314" s="160" t="str">
        <f>CONCATENATE(U314,V314,W314,X314,AA314)</f>
        <v>O23011745032024025504004</v>
      </c>
      <c r="AF314" s="160" t="str">
        <f>IFERROR(VLOOKUP(AD314,TD!$J$66:$K$89,2,0)," ")</f>
        <v>PM/0131/0104/45030040255</v>
      </c>
      <c r="AG314" s="118" t="s">
        <v>385</v>
      </c>
      <c r="AH314" s="159" t="s">
        <v>193</v>
      </c>
      <c r="AI314" s="162" t="str">
        <f>CONCATENATE(PAA[[#This Row],[Id Interno]],"-",PAA[[#This Row],[tipo de Contrato (TH talento humano - B/S bienes y/o servicios)]],"-",S314,"-",T314,"-",PAA[[#This Row],[Objeto de la contratación]])</f>
        <v>20260273-TH-8173-2-Prestación de servicios para realizar la gestión administrativa requerida en la estación de bomberos asignada, para el desarrollo de los programas a cargo de la Subdirección Operativa-S.O.</v>
      </c>
    </row>
    <row r="315" spans="2:35" ht="70" x14ac:dyDescent="0.35">
      <c r="B315" s="23">
        <v>20260274</v>
      </c>
      <c r="C315" s="99" t="s">
        <v>881</v>
      </c>
      <c r="D315" s="99" t="s">
        <v>105</v>
      </c>
      <c r="E315" s="99" t="s">
        <v>363</v>
      </c>
      <c r="F315" s="157" t="s">
        <v>145</v>
      </c>
      <c r="G315" s="157" t="s">
        <v>373</v>
      </c>
      <c r="H315" s="164">
        <v>9</v>
      </c>
      <c r="I315" s="164">
        <v>0</v>
      </c>
      <c r="J315" s="118">
        <v>26910000</v>
      </c>
      <c r="K315" s="126" t="s">
        <v>398</v>
      </c>
      <c r="L315" s="157" t="s">
        <v>158</v>
      </c>
      <c r="M315" s="163" t="s">
        <v>421</v>
      </c>
      <c r="N315" s="99" t="s">
        <v>198</v>
      </c>
      <c r="O315" s="151" t="s">
        <v>964</v>
      </c>
      <c r="P315" s="157" t="s">
        <v>348</v>
      </c>
      <c r="Q315" s="128">
        <v>80111600</v>
      </c>
      <c r="R315" s="163" t="s">
        <v>211</v>
      </c>
      <c r="S315" s="159" t="str">
        <f>MID(PAA[[#This Row],[Meta Proyecto de Inversión]],1,4)</f>
        <v>8173</v>
      </c>
      <c r="T315" s="159" t="str">
        <f>MID(PAA[[#This Row],[Meta Proyecto de Inversión]],6,1)</f>
        <v>2</v>
      </c>
      <c r="U315" s="160" t="str">
        <f>IFERROR(VLOOKUP(N315,TD!$B$50:$F$54,2,0)," ")</f>
        <v>O230117</v>
      </c>
      <c r="V315" s="160" t="str">
        <f>IFERROR(VLOOKUP(N315,TD!$B$50:$F$54,3,0)," ")</f>
        <v>4503</v>
      </c>
      <c r="W315" s="160">
        <f>IFERROR(VLOOKUP(N315,TD!$B$50:$F$54,4,0)," ")</f>
        <v>20240255</v>
      </c>
      <c r="X315" s="159" t="s">
        <v>164</v>
      </c>
      <c r="Y315" s="160" t="str">
        <f>IFERROR(VLOOKUP(X315,TD!$J$51:$K$64,2,0)," ")</f>
        <v>Servicio de atención a incidentes y emergencias.</v>
      </c>
      <c r="Z315" s="161" t="str">
        <f>CONCATENATE(X315,"-",Y315)</f>
        <v>04-Servicio de atención a incidentes y emergencias.</v>
      </c>
      <c r="AA315" s="159" t="s">
        <v>221</v>
      </c>
      <c r="AB315" s="160" t="str">
        <f>IFERROR(VLOOKUP(AA315,TD!$N$51:$O$66,2,0)," ")</f>
        <v>Servicio de atención a emergencias y desastres</v>
      </c>
      <c r="AC315" s="161" t="str">
        <f>CONCATENATE(AA315,"_",AB315)</f>
        <v>004_Servicio de atención a emergencias y desastres</v>
      </c>
      <c r="AD315" s="161" t="str">
        <f>CONCATENATE(Z315," ",AC315)</f>
        <v>04-Servicio de atención a incidentes y emergencias. 004_Servicio de atención a emergencias y desastres</v>
      </c>
      <c r="AE315" s="160" t="str">
        <f>CONCATENATE(U315,V315,W315,X315,AA315)</f>
        <v>O23011745032024025504004</v>
      </c>
      <c r="AF315" s="160" t="str">
        <f>IFERROR(VLOOKUP(AD315,TD!$J$66:$K$89,2,0)," ")</f>
        <v>PM/0131/0104/45030040255</v>
      </c>
      <c r="AG315" s="118" t="s">
        <v>385</v>
      </c>
      <c r="AH315" s="159" t="s">
        <v>193</v>
      </c>
      <c r="AI315" s="162" t="str">
        <f>CONCATENATE(PAA[[#This Row],[Id Interno]],"-",PAA[[#This Row],[tipo de Contrato (TH talento humano - B/S bienes y/o servicios)]],"-",S315,"-",T315,"-",PAA[[#This Row],[Objeto de la contratación]])</f>
        <v>20260274-TH-8173-2-Prestación de servicios para realizar la gestión administrativa requerida en la estación de bomberos asignada, para el desarrollo de los programas a cargo de la Subdirección Operativa-S.O.</v>
      </c>
    </row>
    <row r="316" spans="2:35" ht="70" x14ac:dyDescent="0.35">
      <c r="B316" s="23">
        <v>20260275</v>
      </c>
      <c r="C316" s="99" t="s">
        <v>881</v>
      </c>
      <c r="D316" s="99" t="s">
        <v>105</v>
      </c>
      <c r="E316" s="99" t="s">
        <v>363</v>
      </c>
      <c r="F316" s="157" t="s">
        <v>145</v>
      </c>
      <c r="G316" s="157" t="s">
        <v>373</v>
      </c>
      <c r="H316" s="164">
        <v>9</v>
      </c>
      <c r="I316" s="164">
        <v>0</v>
      </c>
      <c r="J316" s="118">
        <v>26910000</v>
      </c>
      <c r="K316" s="126" t="s">
        <v>398</v>
      </c>
      <c r="L316" s="157" t="s">
        <v>158</v>
      </c>
      <c r="M316" s="163" t="s">
        <v>421</v>
      </c>
      <c r="N316" s="99" t="s">
        <v>198</v>
      </c>
      <c r="O316" s="151" t="s">
        <v>964</v>
      </c>
      <c r="P316" s="157" t="s">
        <v>348</v>
      </c>
      <c r="Q316" s="128">
        <v>80111600</v>
      </c>
      <c r="R316" s="163" t="s">
        <v>211</v>
      </c>
      <c r="S316" s="159" t="str">
        <f>MID(PAA[[#This Row],[Meta Proyecto de Inversión]],1,4)</f>
        <v>8173</v>
      </c>
      <c r="T316" s="159" t="str">
        <f>MID(PAA[[#This Row],[Meta Proyecto de Inversión]],6,1)</f>
        <v>2</v>
      </c>
      <c r="U316" s="160" t="str">
        <f>IFERROR(VLOOKUP(N316,TD!$B$50:$F$54,2,0)," ")</f>
        <v>O230117</v>
      </c>
      <c r="V316" s="160" t="str">
        <f>IFERROR(VLOOKUP(N316,TD!$B$50:$F$54,3,0)," ")</f>
        <v>4503</v>
      </c>
      <c r="W316" s="160">
        <f>IFERROR(VLOOKUP(N316,TD!$B$50:$F$54,4,0)," ")</f>
        <v>20240255</v>
      </c>
      <c r="X316" s="159" t="s">
        <v>164</v>
      </c>
      <c r="Y316" s="160" t="str">
        <f>IFERROR(VLOOKUP(X316,TD!$J$51:$K$64,2,0)," ")</f>
        <v>Servicio de atención a incidentes y emergencias.</v>
      </c>
      <c r="Z316" s="161" t="str">
        <f>CONCATENATE(X316,"-",Y316)</f>
        <v>04-Servicio de atención a incidentes y emergencias.</v>
      </c>
      <c r="AA316" s="159" t="s">
        <v>221</v>
      </c>
      <c r="AB316" s="160" t="str">
        <f>IFERROR(VLOOKUP(AA316,TD!$N$51:$O$66,2,0)," ")</f>
        <v>Servicio de atención a emergencias y desastres</v>
      </c>
      <c r="AC316" s="161" t="str">
        <f>CONCATENATE(AA316,"_",AB316)</f>
        <v>004_Servicio de atención a emergencias y desastres</v>
      </c>
      <c r="AD316" s="161" t="str">
        <f>CONCATENATE(Z316," ",AC316)</f>
        <v>04-Servicio de atención a incidentes y emergencias. 004_Servicio de atención a emergencias y desastres</v>
      </c>
      <c r="AE316" s="160" t="str">
        <f>CONCATENATE(U316,V316,W316,X316,AA316)</f>
        <v>O23011745032024025504004</v>
      </c>
      <c r="AF316" s="160" t="str">
        <f>IFERROR(VLOOKUP(AD316,TD!$J$66:$K$89,2,0)," ")</f>
        <v>PM/0131/0104/45030040255</v>
      </c>
      <c r="AG316" s="118" t="s">
        <v>385</v>
      </c>
      <c r="AH316" s="159" t="s">
        <v>193</v>
      </c>
      <c r="AI316" s="162" t="str">
        <f>CONCATENATE(PAA[[#This Row],[Id Interno]],"-",PAA[[#This Row],[tipo de Contrato (TH talento humano - B/S bienes y/o servicios)]],"-",S316,"-",T316,"-",PAA[[#This Row],[Objeto de la contratación]])</f>
        <v>20260275-TH-8173-2-Prestación de servicios para realizar la gestión administrativa requerida en la estación de bomberos asignada, para el desarrollo de los programas a cargo de la Subdirección Operativa-S.O.</v>
      </c>
    </row>
    <row r="317" spans="2:35" ht="56" x14ac:dyDescent="0.35">
      <c r="B317" s="23">
        <v>20260276</v>
      </c>
      <c r="C317" s="99" t="s">
        <v>881</v>
      </c>
      <c r="D317" s="99" t="s">
        <v>105</v>
      </c>
      <c r="E317" s="99" t="s">
        <v>363</v>
      </c>
      <c r="F317" s="157" t="s">
        <v>145</v>
      </c>
      <c r="G317" s="157" t="s">
        <v>373</v>
      </c>
      <c r="H317" s="164">
        <v>9</v>
      </c>
      <c r="I317" s="164">
        <v>0</v>
      </c>
      <c r="J317" s="118">
        <v>26910000</v>
      </c>
      <c r="K317" s="126" t="s">
        <v>398</v>
      </c>
      <c r="L317" s="157" t="s">
        <v>158</v>
      </c>
      <c r="M317" s="163" t="s">
        <v>421</v>
      </c>
      <c r="N317" s="99" t="s">
        <v>198</v>
      </c>
      <c r="O317" s="151" t="s">
        <v>964</v>
      </c>
      <c r="P317" s="157" t="s">
        <v>348</v>
      </c>
      <c r="Q317" s="128">
        <v>80111600</v>
      </c>
      <c r="R317" s="163" t="s">
        <v>211</v>
      </c>
      <c r="S317" s="159" t="str">
        <f>MID(PAA[[#This Row],[Meta Proyecto de Inversión]],1,4)</f>
        <v>8173</v>
      </c>
      <c r="T317" s="159" t="str">
        <f>MID(PAA[[#This Row],[Meta Proyecto de Inversión]],6,1)</f>
        <v>2</v>
      </c>
      <c r="U317" s="160" t="str">
        <f>IFERROR(VLOOKUP(N317,TD!$B$50:$F$54,2,0)," ")</f>
        <v>O230117</v>
      </c>
      <c r="V317" s="160" t="str">
        <f>IFERROR(VLOOKUP(N317,TD!$B$50:$F$54,3,0)," ")</f>
        <v>4503</v>
      </c>
      <c r="W317" s="160">
        <f>IFERROR(VLOOKUP(N317,TD!$B$50:$F$54,4,0)," ")</f>
        <v>20240255</v>
      </c>
      <c r="X317" s="159" t="s">
        <v>164</v>
      </c>
      <c r="Y317" s="160" t="str">
        <f>IFERROR(VLOOKUP(X317,TD!$J$51:$K$64,2,0)," ")</f>
        <v>Servicio de atención a incidentes y emergencias.</v>
      </c>
      <c r="Z317" s="161" t="str">
        <f>CONCATENATE(X317,"-",Y317)</f>
        <v>04-Servicio de atención a incidentes y emergencias.</v>
      </c>
      <c r="AA317" s="159" t="s">
        <v>221</v>
      </c>
      <c r="AB317" s="160" t="str">
        <f>IFERROR(VLOOKUP(AA317,TD!$N$51:$O$66,2,0)," ")</f>
        <v>Servicio de atención a emergencias y desastres</v>
      </c>
      <c r="AC317" s="161" t="str">
        <f>CONCATENATE(AA317,"_",AB317)</f>
        <v>004_Servicio de atención a emergencias y desastres</v>
      </c>
      <c r="AD317" s="161" t="str">
        <f>CONCATENATE(Z317," ",AC317)</f>
        <v>04-Servicio de atención a incidentes y emergencias. 004_Servicio de atención a emergencias y desastres</v>
      </c>
      <c r="AE317" s="160" t="str">
        <f>CONCATENATE(U317,V317,W317,X317,AA317)</f>
        <v>O23011745032024025504004</v>
      </c>
      <c r="AF317" s="160" t="str">
        <f>IFERROR(VLOOKUP(AD317,TD!$J$66:$K$89,2,0)," ")</f>
        <v>PM/0131/0104/45030040255</v>
      </c>
      <c r="AG317" s="118" t="s">
        <v>385</v>
      </c>
      <c r="AH317" s="159" t="s">
        <v>193</v>
      </c>
      <c r="AI317" s="162" t="str">
        <f>CONCATENATE(PAA[[#This Row],[Id Interno]],"-",PAA[[#This Row],[tipo de Contrato (TH talento humano - B/S bienes y/o servicios)]],"-",S317,"-",T317,"-",PAA[[#This Row],[Objeto de la contratación]])</f>
        <v>20260276-TH-8173-2-Prestación de servicios para realizar la gestión administrativa requerida en la estación de bomberos asignada, para el desarrollo de los programas a cargo de la Subdirección Operativa-S.O.</v>
      </c>
    </row>
    <row r="318" spans="2:35" ht="70" x14ac:dyDescent="0.35">
      <c r="B318" s="23">
        <v>20260277</v>
      </c>
      <c r="C318" s="99" t="s">
        <v>881</v>
      </c>
      <c r="D318" s="99" t="s">
        <v>105</v>
      </c>
      <c r="E318" s="99" t="s">
        <v>363</v>
      </c>
      <c r="F318" s="157" t="s">
        <v>145</v>
      </c>
      <c r="G318" s="157" t="s">
        <v>373</v>
      </c>
      <c r="H318" s="164">
        <v>9</v>
      </c>
      <c r="I318" s="164">
        <v>0</v>
      </c>
      <c r="J318" s="118">
        <v>26910000</v>
      </c>
      <c r="K318" s="126" t="s">
        <v>398</v>
      </c>
      <c r="L318" s="157" t="s">
        <v>158</v>
      </c>
      <c r="M318" s="163" t="s">
        <v>421</v>
      </c>
      <c r="N318" s="99" t="s">
        <v>198</v>
      </c>
      <c r="O318" s="151" t="s">
        <v>964</v>
      </c>
      <c r="P318" s="157" t="s">
        <v>348</v>
      </c>
      <c r="Q318" s="128">
        <v>80111600</v>
      </c>
      <c r="R318" s="163" t="s">
        <v>211</v>
      </c>
      <c r="S318" s="159" t="str">
        <f>MID(PAA[[#This Row],[Meta Proyecto de Inversión]],1,4)</f>
        <v>8173</v>
      </c>
      <c r="T318" s="159" t="str">
        <f>MID(PAA[[#This Row],[Meta Proyecto de Inversión]],6,1)</f>
        <v>2</v>
      </c>
      <c r="U318" s="160" t="str">
        <f>IFERROR(VLOOKUP(N318,TD!$B$50:$F$54,2,0)," ")</f>
        <v>O230117</v>
      </c>
      <c r="V318" s="160" t="str">
        <f>IFERROR(VLOOKUP(N318,TD!$B$50:$F$54,3,0)," ")</f>
        <v>4503</v>
      </c>
      <c r="W318" s="160">
        <f>IFERROR(VLOOKUP(N318,TD!$B$50:$F$54,4,0)," ")</f>
        <v>20240255</v>
      </c>
      <c r="X318" s="159" t="s">
        <v>164</v>
      </c>
      <c r="Y318" s="160" t="str">
        <f>IFERROR(VLOOKUP(X318,TD!$J$51:$K$64,2,0)," ")</f>
        <v>Servicio de atención a incidentes y emergencias.</v>
      </c>
      <c r="Z318" s="161" t="str">
        <f>CONCATENATE(X318,"-",Y318)</f>
        <v>04-Servicio de atención a incidentes y emergencias.</v>
      </c>
      <c r="AA318" s="159" t="s">
        <v>221</v>
      </c>
      <c r="AB318" s="160" t="str">
        <f>IFERROR(VLOOKUP(AA318,TD!$N$51:$O$66,2,0)," ")</f>
        <v>Servicio de atención a emergencias y desastres</v>
      </c>
      <c r="AC318" s="161" t="str">
        <f>CONCATENATE(AA318,"_",AB318)</f>
        <v>004_Servicio de atención a emergencias y desastres</v>
      </c>
      <c r="AD318" s="161" t="str">
        <f>CONCATENATE(Z318," ",AC318)</f>
        <v>04-Servicio de atención a incidentes y emergencias. 004_Servicio de atención a emergencias y desastres</v>
      </c>
      <c r="AE318" s="160" t="str">
        <f>CONCATENATE(U318,V318,W318,X318,AA318)</f>
        <v>O23011745032024025504004</v>
      </c>
      <c r="AF318" s="160" t="str">
        <f>IFERROR(VLOOKUP(AD318,TD!$J$66:$K$89,2,0)," ")</f>
        <v>PM/0131/0104/45030040255</v>
      </c>
      <c r="AG318" s="118" t="s">
        <v>385</v>
      </c>
      <c r="AH318" s="159" t="s">
        <v>193</v>
      </c>
      <c r="AI318" s="162" t="str">
        <f>CONCATENATE(PAA[[#This Row],[Id Interno]],"-",PAA[[#This Row],[tipo de Contrato (TH talento humano - B/S bienes y/o servicios)]],"-",S318,"-",T318,"-",PAA[[#This Row],[Objeto de la contratación]])</f>
        <v>20260277-TH-8173-2-Prestación de servicios para realizar la gestión administrativa requerida en la estación de bomberos asignada, para el desarrollo de los programas a cargo de la Subdirección Operativa-S.O.</v>
      </c>
    </row>
    <row r="319" spans="2:35" ht="112" x14ac:dyDescent="0.35">
      <c r="B319" s="23">
        <v>20260278</v>
      </c>
      <c r="C319" s="99" t="s">
        <v>881</v>
      </c>
      <c r="D319" s="99" t="s">
        <v>105</v>
      </c>
      <c r="E319" s="99" t="s">
        <v>363</v>
      </c>
      <c r="F319" s="157" t="s">
        <v>145</v>
      </c>
      <c r="G319" s="157" t="s">
        <v>373</v>
      </c>
      <c r="H319" s="164">
        <v>9</v>
      </c>
      <c r="I319" s="164">
        <v>0</v>
      </c>
      <c r="J319" s="118">
        <v>26910000</v>
      </c>
      <c r="K319" s="126" t="s">
        <v>398</v>
      </c>
      <c r="L319" s="157" t="s">
        <v>158</v>
      </c>
      <c r="M319" s="163" t="s">
        <v>421</v>
      </c>
      <c r="N319" s="99" t="s">
        <v>198</v>
      </c>
      <c r="O319" s="151" t="s">
        <v>964</v>
      </c>
      <c r="P319" s="157" t="s">
        <v>348</v>
      </c>
      <c r="Q319" s="128">
        <v>80111600</v>
      </c>
      <c r="R319" s="163" t="s">
        <v>211</v>
      </c>
      <c r="S319" s="159" t="str">
        <f>MID(PAA[[#This Row],[Meta Proyecto de Inversión]],1,4)</f>
        <v>8173</v>
      </c>
      <c r="T319" s="159" t="str">
        <f>MID(PAA[[#This Row],[Meta Proyecto de Inversión]],6,1)</f>
        <v>2</v>
      </c>
      <c r="U319" s="160" t="str">
        <f>IFERROR(VLOOKUP(N319,TD!$B$50:$F$54,2,0)," ")</f>
        <v>O230117</v>
      </c>
      <c r="V319" s="160" t="str">
        <f>IFERROR(VLOOKUP(N319,TD!$B$50:$F$54,3,0)," ")</f>
        <v>4503</v>
      </c>
      <c r="W319" s="160">
        <f>IFERROR(VLOOKUP(N319,TD!$B$50:$F$54,4,0)," ")</f>
        <v>20240255</v>
      </c>
      <c r="X319" s="159" t="s">
        <v>164</v>
      </c>
      <c r="Y319" s="160" t="str">
        <f>IFERROR(VLOOKUP(X319,TD!$J$51:$K$64,2,0)," ")</f>
        <v>Servicio de atención a incidentes y emergencias.</v>
      </c>
      <c r="Z319" s="161" t="str">
        <f>CONCATENATE(X319,"-",Y319)</f>
        <v>04-Servicio de atención a incidentes y emergencias.</v>
      </c>
      <c r="AA319" s="159" t="s">
        <v>221</v>
      </c>
      <c r="AB319" s="160" t="str">
        <f>IFERROR(VLOOKUP(AA319,TD!$N$51:$O$66,2,0)," ")</f>
        <v>Servicio de atención a emergencias y desastres</v>
      </c>
      <c r="AC319" s="161" t="str">
        <f>CONCATENATE(AA319,"_",AB319)</f>
        <v>004_Servicio de atención a emergencias y desastres</v>
      </c>
      <c r="AD319" s="161" t="str">
        <f>CONCATENATE(Z319," ",AC319)</f>
        <v>04-Servicio de atención a incidentes y emergencias. 004_Servicio de atención a emergencias y desastres</v>
      </c>
      <c r="AE319" s="160" t="str">
        <f>CONCATENATE(U319,V319,W319,X319,AA319)</f>
        <v>O23011745032024025504004</v>
      </c>
      <c r="AF319" s="160" t="str">
        <f>IFERROR(VLOOKUP(AD319,TD!$J$66:$K$89,2,0)," ")</f>
        <v>PM/0131/0104/45030040255</v>
      </c>
      <c r="AG319" s="118" t="s">
        <v>385</v>
      </c>
      <c r="AH319" s="159" t="s">
        <v>193</v>
      </c>
      <c r="AI319" s="162" t="str">
        <f>CONCATENATE(PAA[[#This Row],[Id Interno]],"-",PAA[[#This Row],[tipo de Contrato (TH talento humano - B/S bienes y/o servicios)]],"-",S319,"-",T319,"-",PAA[[#This Row],[Objeto de la contratación]])</f>
        <v>20260278-TH-8173-2-Prestación de servicios para realizar la gestión administrativa requerida en la estación de bomberos asignada, para el desarrollo de los programas a cargo de la Subdirección Operativa-S.O.</v>
      </c>
    </row>
    <row r="320" spans="2:35" ht="112" x14ac:dyDescent="0.35">
      <c r="B320" s="23">
        <v>20260279</v>
      </c>
      <c r="C320" s="99" t="s">
        <v>882</v>
      </c>
      <c r="D320" s="99" t="s">
        <v>105</v>
      </c>
      <c r="E320" s="99" t="s">
        <v>363</v>
      </c>
      <c r="F320" s="157" t="s">
        <v>145</v>
      </c>
      <c r="G320" s="157" t="s">
        <v>373</v>
      </c>
      <c r="H320" s="164">
        <v>9</v>
      </c>
      <c r="I320" s="164">
        <v>0</v>
      </c>
      <c r="J320" s="118">
        <v>29610000</v>
      </c>
      <c r="K320" s="126" t="s">
        <v>398</v>
      </c>
      <c r="L320" s="157" t="s">
        <v>158</v>
      </c>
      <c r="M320" s="163" t="s">
        <v>421</v>
      </c>
      <c r="N320" s="99" t="s">
        <v>198</v>
      </c>
      <c r="O320" s="151" t="s">
        <v>964</v>
      </c>
      <c r="P320" s="157" t="s">
        <v>348</v>
      </c>
      <c r="Q320" s="128">
        <v>80111600</v>
      </c>
      <c r="R320" s="163" t="s">
        <v>211</v>
      </c>
      <c r="S320" s="159" t="str">
        <f>MID(PAA[[#This Row],[Meta Proyecto de Inversión]],1,4)</f>
        <v>8173</v>
      </c>
      <c r="T320" s="159" t="str">
        <f>MID(PAA[[#This Row],[Meta Proyecto de Inversión]],6,1)</f>
        <v>2</v>
      </c>
      <c r="U320" s="160" t="str">
        <f>IFERROR(VLOOKUP(N320,TD!$B$50:$F$54,2,0)," ")</f>
        <v>O230117</v>
      </c>
      <c r="V320" s="160" t="str">
        <f>IFERROR(VLOOKUP(N320,TD!$B$50:$F$54,3,0)," ")</f>
        <v>4503</v>
      </c>
      <c r="W320" s="160">
        <f>IFERROR(VLOOKUP(N320,TD!$B$50:$F$54,4,0)," ")</f>
        <v>20240255</v>
      </c>
      <c r="X320" s="159" t="s">
        <v>164</v>
      </c>
      <c r="Y320" s="160" t="str">
        <f>IFERROR(VLOOKUP(X320,TD!$J$51:$K$64,2,0)," ")</f>
        <v>Servicio de atención a incidentes y emergencias.</v>
      </c>
      <c r="Z320" s="161" t="str">
        <f>CONCATENATE(X320,"-",Y320)</f>
        <v>04-Servicio de atención a incidentes y emergencias.</v>
      </c>
      <c r="AA320" s="159" t="s">
        <v>221</v>
      </c>
      <c r="AB320" s="160" t="str">
        <f>IFERROR(VLOOKUP(AA320,TD!$N$51:$O$66,2,0)," ")</f>
        <v>Servicio de atención a emergencias y desastres</v>
      </c>
      <c r="AC320" s="161" t="str">
        <f>CONCATENATE(AA320,"_",AB320)</f>
        <v>004_Servicio de atención a emergencias y desastres</v>
      </c>
      <c r="AD320" s="161" t="str">
        <f>CONCATENATE(Z320," ",AC320)</f>
        <v>04-Servicio de atención a incidentes y emergencias. 004_Servicio de atención a emergencias y desastres</v>
      </c>
      <c r="AE320" s="160" t="str">
        <f>CONCATENATE(U320,V320,W320,X320,AA320)</f>
        <v>O23011745032024025504004</v>
      </c>
      <c r="AF320" s="160" t="str">
        <f>IFERROR(VLOOKUP(AD320,TD!$J$66:$K$89,2,0)," ")</f>
        <v>PM/0131/0104/45030040255</v>
      </c>
      <c r="AG320" s="118" t="s">
        <v>385</v>
      </c>
      <c r="AH320" s="159" t="s">
        <v>193</v>
      </c>
      <c r="AI320" s="162" t="str">
        <f>CONCATENATE(PAA[[#This Row],[Id Interno]],"-",PAA[[#This Row],[tipo de Contrato (TH talento humano - B/S bienes y/o servicios)]],"-",S320,"-",T320,"-",PAA[[#This Row],[Objeto de la contratación]])</f>
        <v>20260279-TH-8173-2-Prestación de servicios para la gestión administrativa y documental realizando los reportes requeridos para el desarrollo de los programas a cargo de la Subdirección Operativa-S.O.</v>
      </c>
    </row>
    <row r="321" spans="2:35" ht="70" x14ac:dyDescent="0.35">
      <c r="B321" s="23">
        <v>20260280</v>
      </c>
      <c r="C321" s="99" t="s">
        <v>883</v>
      </c>
      <c r="D321" s="99" t="s">
        <v>105</v>
      </c>
      <c r="E321" s="99" t="s">
        <v>363</v>
      </c>
      <c r="F321" s="157" t="s">
        <v>144</v>
      </c>
      <c r="G321" s="157" t="s">
        <v>373</v>
      </c>
      <c r="H321" s="164">
        <v>9</v>
      </c>
      <c r="I321" s="164">
        <v>0</v>
      </c>
      <c r="J321" s="118">
        <v>45000000</v>
      </c>
      <c r="K321" s="126" t="s">
        <v>398</v>
      </c>
      <c r="L321" s="157" t="s">
        <v>158</v>
      </c>
      <c r="M321" s="163" t="s">
        <v>421</v>
      </c>
      <c r="N321" s="99" t="s">
        <v>198</v>
      </c>
      <c r="O321" s="151" t="s">
        <v>964</v>
      </c>
      <c r="P321" s="157" t="s">
        <v>348</v>
      </c>
      <c r="Q321" s="128">
        <v>80111600</v>
      </c>
      <c r="R321" s="163" t="s">
        <v>211</v>
      </c>
      <c r="S321" s="159" t="str">
        <f>MID(PAA[[#This Row],[Meta Proyecto de Inversión]],1,4)</f>
        <v>8173</v>
      </c>
      <c r="T321" s="159" t="str">
        <f>MID(PAA[[#This Row],[Meta Proyecto de Inversión]],6,1)</f>
        <v>2</v>
      </c>
      <c r="U321" s="160" t="str">
        <f>IFERROR(VLOOKUP(N321,TD!$B$50:$F$54,2,0)," ")</f>
        <v>O230117</v>
      </c>
      <c r="V321" s="160" t="str">
        <f>IFERROR(VLOOKUP(N321,TD!$B$50:$F$54,3,0)," ")</f>
        <v>4503</v>
      </c>
      <c r="W321" s="160">
        <f>IFERROR(VLOOKUP(N321,TD!$B$50:$F$54,4,0)," ")</f>
        <v>20240255</v>
      </c>
      <c r="X321" s="159" t="s">
        <v>164</v>
      </c>
      <c r="Y321" s="160" t="str">
        <f>IFERROR(VLOOKUP(X321,TD!$J$51:$K$64,2,0)," ")</f>
        <v>Servicio de atención a incidentes y emergencias.</v>
      </c>
      <c r="Z321" s="161" t="str">
        <f>CONCATENATE(X321,"-",Y321)</f>
        <v>04-Servicio de atención a incidentes y emergencias.</v>
      </c>
      <c r="AA321" s="159" t="s">
        <v>221</v>
      </c>
      <c r="AB321" s="160" t="str">
        <f>IFERROR(VLOOKUP(AA321,TD!$N$51:$O$66,2,0)," ")</f>
        <v>Servicio de atención a emergencias y desastres</v>
      </c>
      <c r="AC321" s="161" t="str">
        <f>CONCATENATE(AA321,"_",AB321)</f>
        <v>004_Servicio de atención a emergencias y desastres</v>
      </c>
      <c r="AD321" s="161" t="str">
        <f>CONCATENATE(Z321," ",AC321)</f>
        <v>04-Servicio de atención a incidentes y emergencias. 004_Servicio de atención a emergencias y desastres</v>
      </c>
      <c r="AE321" s="160" t="str">
        <f>CONCATENATE(U321,V321,W321,X321,AA321)</f>
        <v>O23011745032024025504004</v>
      </c>
      <c r="AF321" s="160" t="str">
        <f>IFERROR(VLOOKUP(AD321,TD!$J$66:$K$89,2,0)," ")</f>
        <v>PM/0131/0104/45030040255</v>
      </c>
      <c r="AG321" s="118" t="s">
        <v>385</v>
      </c>
      <c r="AH321" s="159" t="s">
        <v>193</v>
      </c>
      <c r="AI321" s="162" t="str">
        <f>CONCATENATE(PAA[[#This Row],[Id Interno]],"-",PAA[[#This Row],[tipo de Contrato (TH talento humano - B/S bienes y/o servicios)]],"-",S321,"-",T321,"-",PAA[[#This Row],[Objeto de la contratación]])</f>
        <v>20260280-TH-8173-2-Prestación de servicios profesionales para atender las actividades de bienestar de los caninos y los animales rescatados o recuperados que  atiende el grupo BRAE, para el desarrollo de los programas a cargo de la Subdirección Operativa-S.O.</v>
      </c>
    </row>
    <row r="322" spans="2:35" ht="84" x14ac:dyDescent="0.35">
      <c r="B322" s="23">
        <v>20260281</v>
      </c>
      <c r="C322" s="99" t="s">
        <v>883</v>
      </c>
      <c r="D322" s="99" t="s">
        <v>105</v>
      </c>
      <c r="E322" s="99" t="s">
        <v>363</v>
      </c>
      <c r="F322" s="157" t="s">
        <v>144</v>
      </c>
      <c r="G322" s="157" t="s">
        <v>373</v>
      </c>
      <c r="H322" s="164">
        <v>9</v>
      </c>
      <c r="I322" s="164">
        <v>0</v>
      </c>
      <c r="J322" s="118">
        <v>45000000</v>
      </c>
      <c r="K322" s="126" t="s">
        <v>398</v>
      </c>
      <c r="L322" s="157" t="s">
        <v>158</v>
      </c>
      <c r="M322" s="163" t="s">
        <v>421</v>
      </c>
      <c r="N322" s="99" t="s">
        <v>198</v>
      </c>
      <c r="O322" s="151" t="s">
        <v>964</v>
      </c>
      <c r="P322" s="157" t="s">
        <v>348</v>
      </c>
      <c r="Q322" s="128">
        <v>80111600</v>
      </c>
      <c r="R322" s="163" t="s">
        <v>211</v>
      </c>
      <c r="S322" s="159" t="str">
        <f>MID(PAA[[#This Row],[Meta Proyecto de Inversión]],1,4)</f>
        <v>8173</v>
      </c>
      <c r="T322" s="159" t="str">
        <f>MID(PAA[[#This Row],[Meta Proyecto de Inversión]],6,1)</f>
        <v>2</v>
      </c>
      <c r="U322" s="160" t="str">
        <f>IFERROR(VLOOKUP(N322,TD!$B$50:$F$54,2,0)," ")</f>
        <v>O230117</v>
      </c>
      <c r="V322" s="160" t="str">
        <f>IFERROR(VLOOKUP(N322,TD!$B$50:$F$54,3,0)," ")</f>
        <v>4503</v>
      </c>
      <c r="W322" s="160">
        <f>IFERROR(VLOOKUP(N322,TD!$B$50:$F$54,4,0)," ")</f>
        <v>20240255</v>
      </c>
      <c r="X322" s="159" t="s">
        <v>164</v>
      </c>
      <c r="Y322" s="160" t="str">
        <f>IFERROR(VLOOKUP(X322,TD!$J$51:$K$64,2,0)," ")</f>
        <v>Servicio de atención a incidentes y emergencias.</v>
      </c>
      <c r="Z322" s="161" t="str">
        <f>CONCATENATE(X322,"-",Y322)</f>
        <v>04-Servicio de atención a incidentes y emergencias.</v>
      </c>
      <c r="AA322" s="159" t="s">
        <v>221</v>
      </c>
      <c r="AB322" s="160" t="str">
        <f>IFERROR(VLOOKUP(AA322,TD!$N$51:$O$66,2,0)," ")</f>
        <v>Servicio de atención a emergencias y desastres</v>
      </c>
      <c r="AC322" s="161" t="str">
        <f>CONCATENATE(AA322,"_",AB322)</f>
        <v>004_Servicio de atención a emergencias y desastres</v>
      </c>
      <c r="AD322" s="161" t="str">
        <f>CONCATENATE(Z322," ",AC322)</f>
        <v>04-Servicio de atención a incidentes y emergencias. 004_Servicio de atención a emergencias y desastres</v>
      </c>
      <c r="AE322" s="160" t="str">
        <f>CONCATENATE(U322,V322,W322,X322,AA322)</f>
        <v>O23011745032024025504004</v>
      </c>
      <c r="AF322" s="160" t="str">
        <f>IFERROR(VLOOKUP(AD322,TD!$J$66:$K$89,2,0)," ")</f>
        <v>PM/0131/0104/45030040255</v>
      </c>
      <c r="AG322" s="118" t="s">
        <v>385</v>
      </c>
      <c r="AH322" s="159" t="s">
        <v>193</v>
      </c>
      <c r="AI322" s="162" t="str">
        <f>CONCATENATE(PAA[[#This Row],[Id Interno]],"-",PAA[[#This Row],[tipo de Contrato (TH talento humano - B/S bienes y/o servicios)]],"-",S322,"-",T322,"-",PAA[[#This Row],[Objeto de la contratación]])</f>
        <v>20260281-TH-8173-2-Prestación de servicios profesionales para atender las actividades de bienestar de los caninos y los animales rescatados o recuperados que  atiende el grupo BRAE, para el desarrollo de los programas a cargo de la Subdirección Operativa-S.O.</v>
      </c>
    </row>
    <row r="323" spans="2:35" ht="84" x14ac:dyDescent="0.35">
      <c r="B323" s="23">
        <v>20260282</v>
      </c>
      <c r="C323" s="99" t="s">
        <v>884</v>
      </c>
      <c r="D323" s="99" t="s">
        <v>105</v>
      </c>
      <c r="E323" s="99" t="s">
        <v>363</v>
      </c>
      <c r="F323" s="157" t="s">
        <v>145</v>
      </c>
      <c r="G323" s="157" t="s">
        <v>373</v>
      </c>
      <c r="H323" s="164">
        <v>9</v>
      </c>
      <c r="I323" s="164">
        <v>0</v>
      </c>
      <c r="J323" s="118">
        <v>33300000</v>
      </c>
      <c r="K323" s="126" t="s">
        <v>398</v>
      </c>
      <c r="L323" s="157" t="s">
        <v>158</v>
      </c>
      <c r="M323" s="163" t="s">
        <v>421</v>
      </c>
      <c r="N323" s="99" t="s">
        <v>198</v>
      </c>
      <c r="O323" s="151" t="s">
        <v>964</v>
      </c>
      <c r="P323" s="157" t="s">
        <v>348</v>
      </c>
      <c r="Q323" s="128">
        <v>80111600</v>
      </c>
      <c r="R323" s="163" t="s">
        <v>211</v>
      </c>
      <c r="S323" s="159" t="str">
        <f>MID(PAA[[#This Row],[Meta Proyecto de Inversión]],1,4)</f>
        <v>8173</v>
      </c>
      <c r="T323" s="159" t="str">
        <f>MID(PAA[[#This Row],[Meta Proyecto de Inversión]],6,1)</f>
        <v>2</v>
      </c>
      <c r="U323" s="160" t="str">
        <f>IFERROR(VLOOKUP(N323,TD!$B$50:$F$54,2,0)," ")</f>
        <v>O230117</v>
      </c>
      <c r="V323" s="160" t="str">
        <f>IFERROR(VLOOKUP(N323,TD!$B$50:$F$54,3,0)," ")</f>
        <v>4503</v>
      </c>
      <c r="W323" s="160">
        <f>IFERROR(VLOOKUP(N323,TD!$B$50:$F$54,4,0)," ")</f>
        <v>20240255</v>
      </c>
      <c r="X323" s="159" t="s">
        <v>164</v>
      </c>
      <c r="Y323" s="160" t="str">
        <f>IFERROR(VLOOKUP(X323,TD!$J$51:$K$64,2,0)," ")</f>
        <v>Servicio de atención a incidentes y emergencias.</v>
      </c>
      <c r="Z323" s="161" t="str">
        <f>CONCATENATE(X323,"-",Y323)</f>
        <v>04-Servicio de atención a incidentes y emergencias.</v>
      </c>
      <c r="AA323" s="159" t="s">
        <v>221</v>
      </c>
      <c r="AB323" s="160" t="str">
        <f>IFERROR(VLOOKUP(AA323,TD!$N$51:$O$66,2,0)," ")</f>
        <v>Servicio de atención a emergencias y desastres</v>
      </c>
      <c r="AC323" s="161" t="str">
        <f>CONCATENATE(AA323,"_",AB323)</f>
        <v>004_Servicio de atención a emergencias y desastres</v>
      </c>
      <c r="AD323" s="161" t="str">
        <f>CONCATENATE(Z323," ",AC323)</f>
        <v>04-Servicio de atención a incidentes y emergencias. 004_Servicio de atención a emergencias y desastres</v>
      </c>
      <c r="AE323" s="160" t="str">
        <f>CONCATENATE(U323,V323,W323,X323,AA323)</f>
        <v>O23011745032024025504004</v>
      </c>
      <c r="AF323" s="160" t="str">
        <f>IFERROR(VLOOKUP(AD323,TD!$J$66:$K$89,2,0)," ")</f>
        <v>PM/0131/0104/45030040255</v>
      </c>
      <c r="AG323" s="118" t="s">
        <v>385</v>
      </c>
      <c r="AH323" s="159" t="s">
        <v>193</v>
      </c>
      <c r="AI323" s="162" t="str">
        <f>CONCATENATE(PAA[[#This Row],[Id Interno]],"-",PAA[[#This Row],[tipo de Contrato (TH talento humano - B/S bienes y/o servicios)]],"-",S323,"-",T323,"-",PAA[[#This Row],[Objeto de la contratación]])</f>
        <v>20260282-TH-8173-2-Prestación de servicios de apoyo para desarrollar y mantener las condiciones básicas de bienestar de los caninos y  animales rescatados o recuperados que atiende el grupo BRAE, para la gestión de los programas a cargo de la Subdirección Operativa-S.O.</v>
      </c>
    </row>
    <row r="324" spans="2:35" ht="70" x14ac:dyDescent="0.35">
      <c r="B324" s="23">
        <v>20260283</v>
      </c>
      <c r="C324" s="99" t="s">
        <v>884</v>
      </c>
      <c r="D324" s="99" t="s">
        <v>105</v>
      </c>
      <c r="E324" s="99" t="s">
        <v>363</v>
      </c>
      <c r="F324" s="157" t="s">
        <v>145</v>
      </c>
      <c r="G324" s="157" t="s">
        <v>373</v>
      </c>
      <c r="H324" s="164">
        <v>9</v>
      </c>
      <c r="I324" s="164">
        <v>0</v>
      </c>
      <c r="J324" s="118">
        <v>33300000</v>
      </c>
      <c r="K324" s="126" t="s">
        <v>398</v>
      </c>
      <c r="L324" s="157" t="s">
        <v>158</v>
      </c>
      <c r="M324" s="163" t="s">
        <v>421</v>
      </c>
      <c r="N324" s="99" t="s">
        <v>198</v>
      </c>
      <c r="O324" s="151" t="s">
        <v>964</v>
      </c>
      <c r="P324" s="157" t="s">
        <v>348</v>
      </c>
      <c r="Q324" s="128">
        <v>80111600</v>
      </c>
      <c r="R324" s="163" t="s">
        <v>211</v>
      </c>
      <c r="S324" s="159" t="str">
        <f>MID(PAA[[#This Row],[Meta Proyecto de Inversión]],1,4)</f>
        <v>8173</v>
      </c>
      <c r="T324" s="159" t="str">
        <f>MID(PAA[[#This Row],[Meta Proyecto de Inversión]],6,1)</f>
        <v>2</v>
      </c>
      <c r="U324" s="160" t="str">
        <f>IFERROR(VLOOKUP(N324,TD!$B$50:$F$54,2,0)," ")</f>
        <v>O230117</v>
      </c>
      <c r="V324" s="160" t="str">
        <f>IFERROR(VLOOKUP(N324,TD!$B$50:$F$54,3,0)," ")</f>
        <v>4503</v>
      </c>
      <c r="W324" s="160">
        <f>IFERROR(VLOOKUP(N324,TD!$B$50:$F$54,4,0)," ")</f>
        <v>20240255</v>
      </c>
      <c r="X324" s="159" t="s">
        <v>164</v>
      </c>
      <c r="Y324" s="160" t="str">
        <f>IFERROR(VLOOKUP(X324,TD!$J$51:$K$64,2,0)," ")</f>
        <v>Servicio de atención a incidentes y emergencias.</v>
      </c>
      <c r="Z324" s="161" t="str">
        <f>CONCATENATE(X324,"-",Y324)</f>
        <v>04-Servicio de atención a incidentes y emergencias.</v>
      </c>
      <c r="AA324" s="159" t="s">
        <v>221</v>
      </c>
      <c r="AB324" s="160" t="str">
        <f>IFERROR(VLOOKUP(AA324,TD!$N$51:$O$66,2,0)," ")</f>
        <v>Servicio de atención a emergencias y desastres</v>
      </c>
      <c r="AC324" s="161" t="str">
        <f>CONCATENATE(AA324,"_",AB324)</f>
        <v>004_Servicio de atención a emergencias y desastres</v>
      </c>
      <c r="AD324" s="161" t="str">
        <f>CONCATENATE(Z324," ",AC324)</f>
        <v>04-Servicio de atención a incidentes y emergencias. 004_Servicio de atención a emergencias y desastres</v>
      </c>
      <c r="AE324" s="160" t="str">
        <f>CONCATENATE(U324,V324,W324,X324,AA324)</f>
        <v>O23011745032024025504004</v>
      </c>
      <c r="AF324" s="160" t="str">
        <f>IFERROR(VLOOKUP(AD324,TD!$J$66:$K$89,2,0)," ")</f>
        <v>PM/0131/0104/45030040255</v>
      </c>
      <c r="AG324" s="118" t="s">
        <v>385</v>
      </c>
      <c r="AH324" s="159" t="s">
        <v>193</v>
      </c>
      <c r="AI324" s="162" t="str">
        <f>CONCATENATE(PAA[[#This Row],[Id Interno]],"-",PAA[[#This Row],[tipo de Contrato (TH talento humano - B/S bienes y/o servicios)]],"-",S324,"-",T324,"-",PAA[[#This Row],[Objeto de la contratación]])</f>
        <v>20260283-TH-8173-2-Prestación de servicios de apoyo para desarrollar y mantener las condiciones básicas de bienestar de los caninos y  animales rescatados o recuperados que atiende el grupo BRAE, para la gestión de los programas a cargo de la Subdirección Operativa-S.O.</v>
      </c>
    </row>
    <row r="325" spans="2:35" ht="84" x14ac:dyDescent="0.35">
      <c r="B325" s="23">
        <v>20260284</v>
      </c>
      <c r="C325" s="99" t="s">
        <v>497</v>
      </c>
      <c r="D325" s="99" t="s">
        <v>105</v>
      </c>
      <c r="E325" s="99" t="s">
        <v>363</v>
      </c>
      <c r="F325" s="157" t="s">
        <v>145</v>
      </c>
      <c r="G325" s="157" t="s">
        <v>373</v>
      </c>
      <c r="H325" s="164">
        <v>3</v>
      </c>
      <c r="I325" s="164">
        <v>15</v>
      </c>
      <c r="J325" s="118">
        <v>15400000</v>
      </c>
      <c r="K325" s="126" t="s">
        <v>398</v>
      </c>
      <c r="L325" s="157" t="s">
        <v>158</v>
      </c>
      <c r="M325" s="163" t="s">
        <v>421</v>
      </c>
      <c r="N325" s="99" t="s">
        <v>198</v>
      </c>
      <c r="O325" s="151" t="s">
        <v>964</v>
      </c>
      <c r="P325" s="157" t="s">
        <v>348</v>
      </c>
      <c r="Q325" s="128">
        <v>80111600</v>
      </c>
      <c r="R325" s="163" t="s">
        <v>211</v>
      </c>
      <c r="S325" s="159" t="str">
        <f>MID(PAA[[#This Row],[Meta Proyecto de Inversión]],1,4)</f>
        <v>8173</v>
      </c>
      <c r="T325" s="159" t="str">
        <f>MID(PAA[[#This Row],[Meta Proyecto de Inversión]],6,1)</f>
        <v>2</v>
      </c>
      <c r="U325" s="160" t="str">
        <f>IFERROR(VLOOKUP(N325,TD!$B$50:$F$54,2,0)," ")</f>
        <v>O230117</v>
      </c>
      <c r="V325" s="160" t="str">
        <f>IFERROR(VLOOKUP(N325,TD!$B$50:$F$54,3,0)," ")</f>
        <v>4503</v>
      </c>
      <c r="W325" s="160">
        <f>IFERROR(VLOOKUP(N325,TD!$B$50:$F$54,4,0)," ")</f>
        <v>20240255</v>
      </c>
      <c r="X325" s="159" t="s">
        <v>164</v>
      </c>
      <c r="Y325" s="160" t="str">
        <f>IFERROR(VLOOKUP(X325,TD!$J$51:$K$64,2,0)," ")</f>
        <v>Servicio de atención a incidentes y emergencias.</v>
      </c>
      <c r="Z325" s="161" t="str">
        <f>CONCATENATE(X325,"-",Y325)</f>
        <v>04-Servicio de atención a incidentes y emergencias.</v>
      </c>
      <c r="AA325" s="159" t="s">
        <v>221</v>
      </c>
      <c r="AB325" s="160" t="str">
        <f>IFERROR(VLOOKUP(AA325,TD!$N$51:$O$66,2,0)," ")</f>
        <v>Servicio de atención a emergencias y desastres</v>
      </c>
      <c r="AC325" s="161" t="str">
        <f>CONCATENATE(AA325,"_",AB325)</f>
        <v>004_Servicio de atención a emergencias y desastres</v>
      </c>
      <c r="AD325" s="161" t="str">
        <f>CONCATENATE(Z325," ",AC325)</f>
        <v>04-Servicio de atención a incidentes y emergencias. 004_Servicio de atención a emergencias y desastres</v>
      </c>
      <c r="AE325" s="160" t="str">
        <f>CONCATENATE(U325,V325,W325,X325,AA325)</f>
        <v>O23011745032024025504004</v>
      </c>
      <c r="AF325" s="160" t="str">
        <f>IFERROR(VLOOKUP(AD325,TD!$J$66:$K$89,2,0)," ")</f>
        <v>PM/0131/0104/45030040255</v>
      </c>
      <c r="AG325" s="118" t="s">
        <v>385</v>
      </c>
      <c r="AH325" s="159" t="s">
        <v>194</v>
      </c>
      <c r="AI325" s="162" t="str">
        <f>CONCATENATE(PAA[[#This Row],[Id Interno]],"-",PAA[[#This Row],[tipo de Contrato (TH talento humano - B/S bienes y/o servicios)]],"-",S325,"-",T325,"-",PAA[[#This Row],[Objeto de la contratación]])</f>
        <v>20260284-TH-8173-2-ADICIÓN Y PRÓRROGA al contrato de prestación de servicios # 540-2025, cuyo objeto es: "Prestación de servicios de apoyo a la gestión para ejecutar actividades administrativas y asistenciales, así como el diligenciamiento y seguimiento de las solicitudes en las herramientas de gestión de los procedimientos a cargo de la subdirección operativa -s.o".</v>
      </c>
    </row>
    <row r="326" spans="2:35" ht="70" x14ac:dyDescent="0.35">
      <c r="B326" s="23">
        <v>20260285</v>
      </c>
      <c r="C326" s="99" t="s">
        <v>498</v>
      </c>
      <c r="D326" s="99" t="s">
        <v>105</v>
      </c>
      <c r="E326" s="99" t="s">
        <v>363</v>
      </c>
      <c r="F326" s="157" t="s">
        <v>144</v>
      </c>
      <c r="G326" s="157" t="s">
        <v>373</v>
      </c>
      <c r="H326" s="164">
        <v>5</v>
      </c>
      <c r="I326" s="164">
        <v>15</v>
      </c>
      <c r="J326" s="118">
        <v>52250000</v>
      </c>
      <c r="K326" s="126" t="s">
        <v>398</v>
      </c>
      <c r="L326" s="157" t="s">
        <v>158</v>
      </c>
      <c r="M326" s="163" t="s">
        <v>421</v>
      </c>
      <c r="N326" s="99" t="s">
        <v>198</v>
      </c>
      <c r="O326" s="151" t="s">
        <v>964</v>
      </c>
      <c r="P326" s="157" t="s">
        <v>348</v>
      </c>
      <c r="Q326" s="128">
        <v>80111600</v>
      </c>
      <c r="R326" s="163" t="s">
        <v>211</v>
      </c>
      <c r="S326" s="159" t="str">
        <f>MID(PAA[[#This Row],[Meta Proyecto de Inversión]],1,4)</f>
        <v>8173</v>
      </c>
      <c r="T326" s="159" t="str">
        <f>MID(PAA[[#This Row],[Meta Proyecto de Inversión]],6,1)</f>
        <v>2</v>
      </c>
      <c r="U326" s="160" t="str">
        <f>IFERROR(VLOOKUP(N326,TD!$B$50:$F$54,2,0)," ")</f>
        <v>O230117</v>
      </c>
      <c r="V326" s="160" t="str">
        <f>IFERROR(VLOOKUP(N326,TD!$B$50:$F$54,3,0)," ")</f>
        <v>4503</v>
      </c>
      <c r="W326" s="160">
        <f>IFERROR(VLOOKUP(N326,TD!$B$50:$F$54,4,0)," ")</f>
        <v>20240255</v>
      </c>
      <c r="X326" s="159" t="s">
        <v>164</v>
      </c>
      <c r="Y326" s="160" t="str">
        <f>IFERROR(VLOOKUP(X326,TD!$J$51:$K$64,2,0)," ")</f>
        <v>Servicio de atención a incidentes y emergencias.</v>
      </c>
      <c r="Z326" s="161" t="str">
        <f>CONCATENATE(X326,"-",Y326)</f>
        <v>04-Servicio de atención a incidentes y emergencias.</v>
      </c>
      <c r="AA326" s="159" t="s">
        <v>221</v>
      </c>
      <c r="AB326" s="160" t="str">
        <f>IFERROR(VLOOKUP(AA326,TD!$N$51:$O$66,2,0)," ")</f>
        <v>Servicio de atención a emergencias y desastres</v>
      </c>
      <c r="AC326" s="161" t="str">
        <f>CONCATENATE(AA326,"_",AB326)</f>
        <v>004_Servicio de atención a emergencias y desastres</v>
      </c>
      <c r="AD326" s="161" t="str">
        <f>CONCATENATE(Z326," ",AC326)</f>
        <v>04-Servicio de atención a incidentes y emergencias. 004_Servicio de atención a emergencias y desastres</v>
      </c>
      <c r="AE326" s="160" t="str">
        <f>CONCATENATE(U326,V326,W326,X326,AA326)</f>
        <v>O23011745032024025504004</v>
      </c>
      <c r="AF326" s="160" t="str">
        <f>IFERROR(VLOOKUP(AD326,TD!$J$66:$K$89,2,0)," ")</f>
        <v>PM/0131/0104/45030040255</v>
      </c>
      <c r="AG326" s="118" t="s">
        <v>385</v>
      </c>
      <c r="AH326" s="159" t="s">
        <v>194</v>
      </c>
      <c r="AI326" s="162" t="str">
        <f>CONCATENATE(PAA[[#This Row],[Id Interno]],"-",PAA[[#This Row],[tipo de Contrato (TH talento humano - B/S bienes y/o servicios)]],"-",S326,"-",T326,"-",PAA[[#This Row],[Objeto de la contratación]])</f>
        <v>20260285-TH-8173-2-ADICIÓN Y PRÓRROGA al contrato de prestación de servicios # 118-2025, cuyo objeto es: "prestación de servicios profesionales para generar información de valor e instrumentos de seguimiento y control a partir de los datos asociados a la ejecución de los procesos, planes y proyectos adelantados en la dependencia. s.o."</v>
      </c>
    </row>
    <row r="327" spans="2:35" ht="84" x14ac:dyDescent="0.35">
      <c r="B327" s="23">
        <v>20260286</v>
      </c>
      <c r="C327" s="99" t="s">
        <v>676</v>
      </c>
      <c r="D327" s="99" t="s">
        <v>105</v>
      </c>
      <c r="E327" s="99" t="s">
        <v>363</v>
      </c>
      <c r="F327" s="157" t="s">
        <v>144</v>
      </c>
      <c r="G327" s="157" t="s">
        <v>373</v>
      </c>
      <c r="H327" s="164">
        <v>10</v>
      </c>
      <c r="I327" s="164">
        <v>0</v>
      </c>
      <c r="J327" s="118">
        <v>80000000</v>
      </c>
      <c r="K327" s="126" t="s">
        <v>398</v>
      </c>
      <c r="L327" s="157" t="s">
        <v>158</v>
      </c>
      <c r="M327" s="163" t="s">
        <v>421</v>
      </c>
      <c r="N327" s="99" t="s">
        <v>198</v>
      </c>
      <c r="O327" s="151" t="s">
        <v>964</v>
      </c>
      <c r="P327" s="157" t="s">
        <v>348</v>
      </c>
      <c r="Q327" s="128">
        <v>80111600</v>
      </c>
      <c r="R327" s="163" t="s">
        <v>211</v>
      </c>
      <c r="S327" s="159" t="str">
        <f>MID(PAA[[#This Row],[Meta Proyecto de Inversión]],1,4)</f>
        <v>8173</v>
      </c>
      <c r="T327" s="159" t="str">
        <f>MID(PAA[[#This Row],[Meta Proyecto de Inversión]],6,1)</f>
        <v>2</v>
      </c>
      <c r="U327" s="160" t="str">
        <f>IFERROR(VLOOKUP(N327,TD!$B$50:$F$54,2,0)," ")</f>
        <v>O230117</v>
      </c>
      <c r="V327" s="160" t="str">
        <f>IFERROR(VLOOKUP(N327,TD!$B$50:$F$54,3,0)," ")</f>
        <v>4503</v>
      </c>
      <c r="W327" s="160">
        <f>IFERROR(VLOOKUP(N327,TD!$B$50:$F$54,4,0)," ")</f>
        <v>20240255</v>
      </c>
      <c r="X327" s="159" t="s">
        <v>164</v>
      </c>
      <c r="Y327" s="160" t="str">
        <f>IFERROR(VLOOKUP(X327,TD!$J$51:$K$64,2,0)," ")</f>
        <v>Servicio de atención a incidentes y emergencias.</v>
      </c>
      <c r="Z327" s="161" t="str">
        <f>CONCATENATE(X327,"-",Y327)</f>
        <v>04-Servicio de atención a incidentes y emergencias.</v>
      </c>
      <c r="AA327" s="159" t="s">
        <v>221</v>
      </c>
      <c r="AB327" s="160" t="str">
        <f>IFERROR(VLOOKUP(AA327,TD!$N$51:$O$66,2,0)," ")</f>
        <v>Servicio de atención a emergencias y desastres</v>
      </c>
      <c r="AC327" s="161" t="str">
        <f>CONCATENATE(AA327,"_",AB327)</f>
        <v>004_Servicio de atención a emergencias y desastres</v>
      </c>
      <c r="AD327" s="161" t="str">
        <f>CONCATENATE(Z327," ",AC327)</f>
        <v>04-Servicio de atención a incidentes y emergencias. 004_Servicio de atención a emergencias y desastres</v>
      </c>
      <c r="AE327" s="160" t="str">
        <f>CONCATENATE(U327,V327,W327,X327,AA327)</f>
        <v>O23011745032024025504004</v>
      </c>
      <c r="AF327" s="160" t="str">
        <f>IFERROR(VLOOKUP(AD327,TD!$J$66:$K$89,2,0)," ")</f>
        <v>PM/0131/0104/45030040255</v>
      </c>
      <c r="AG327" s="118" t="s">
        <v>385</v>
      </c>
      <c r="AH327" s="159" t="s">
        <v>193</v>
      </c>
      <c r="AI327" s="162" t="str">
        <f>CONCATENATE(PAA[[#This Row],[Id Interno]],"-",PAA[[#This Row],[tipo de Contrato (TH talento humano - B/S bienes y/o servicios)]],"-",S327,"-",T327,"-",PAA[[#This Row],[Objeto de la contratación]])</f>
        <v>20260286-TH-8173-2-Prestación de servicios profesionales para el fortalecimiento de los procesos de comunicaciones y  en articulación con otras dependencias de la entidad y de los procesos y programas a cargo de la Subdirección  Operativa-S.O.</v>
      </c>
    </row>
    <row r="328" spans="2:35" ht="70" x14ac:dyDescent="0.35">
      <c r="B328" s="23">
        <v>20260287</v>
      </c>
      <c r="C328" s="99" t="s">
        <v>677</v>
      </c>
      <c r="D328" s="99" t="s">
        <v>105</v>
      </c>
      <c r="E328" s="99" t="s">
        <v>363</v>
      </c>
      <c r="F328" s="157" t="s">
        <v>144</v>
      </c>
      <c r="G328" s="157" t="s">
        <v>373</v>
      </c>
      <c r="H328" s="164">
        <v>10</v>
      </c>
      <c r="I328" s="164">
        <v>0</v>
      </c>
      <c r="J328" s="118">
        <v>49500000</v>
      </c>
      <c r="K328" s="126" t="s">
        <v>398</v>
      </c>
      <c r="L328" s="157" t="s">
        <v>158</v>
      </c>
      <c r="M328" s="163" t="s">
        <v>421</v>
      </c>
      <c r="N328" s="99" t="s">
        <v>198</v>
      </c>
      <c r="O328" s="151" t="s">
        <v>964</v>
      </c>
      <c r="P328" s="157" t="s">
        <v>348</v>
      </c>
      <c r="Q328" s="128">
        <v>80111600</v>
      </c>
      <c r="R328" s="163" t="s">
        <v>211</v>
      </c>
      <c r="S328" s="159" t="str">
        <f>MID(PAA[[#This Row],[Meta Proyecto de Inversión]],1,4)</f>
        <v>8173</v>
      </c>
      <c r="T328" s="159" t="str">
        <f>MID(PAA[[#This Row],[Meta Proyecto de Inversión]],6,1)</f>
        <v>2</v>
      </c>
      <c r="U328" s="160" t="str">
        <f>IFERROR(VLOOKUP(N328,TD!$B$50:$F$54,2,0)," ")</f>
        <v>O230117</v>
      </c>
      <c r="V328" s="160" t="str">
        <f>IFERROR(VLOOKUP(N328,TD!$B$50:$F$54,3,0)," ")</f>
        <v>4503</v>
      </c>
      <c r="W328" s="160">
        <f>IFERROR(VLOOKUP(N328,TD!$B$50:$F$54,4,0)," ")</f>
        <v>20240255</v>
      </c>
      <c r="X328" s="159" t="s">
        <v>164</v>
      </c>
      <c r="Y328" s="160" t="str">
        <f>IFERROR(VLOOKUP(X328,TD!$J$51:$K$64,2,0)," ")</f>
        <v>Servicio de atención a incidentes y emergencias.</v>
      </c>
      <c r="Z328" s="161" t="str">
        <f>CONCATENATE(X328,"-",Y328)</f>
        <v>04-Servicio de atención a incidentes y emergencias.</v>
      </c>
      <c r="AA328" s="159" t="s">
        <v>221</v>
      </c>
      <c r="AB328" s="160" t="str">
        <f>IFERROR(VLOOKUP(AA328,TD!$N$51:$O$66,2,0)," ")</f>
        <v>Servicio de atención a emergencias y desastres</v>
      </c>
      <c r="AC328" s="161" t="str">
        <f>CONCATENATE(AA328,"_",AB328)</f>
        <v>004_Servicio de atención a emergencias y desastres</v>
      </c>
      <c r="AD328" s="161" t="str">
        <f>CONCATENATE(Z328," ",AC328)</f>
        <v>04-Servicio de atención a incidentes y emergencias. 004_Servicio de atención a emergencias y desastres</v>
      </c>
      <c r="AE328" s="160" t="str">
        <f>CONCATENATE(U328,V328,W328,X328,AA328)</f>
        <v>O23011745032024025504004</v>
      </c>
      <c r="AF328" s="160" t="str">
        <f>IFERROR(VLOOKUP(AD328,TD!$J$66:$K$89,2,0)," ")</f>
        <v>PM/0131/0104/45030040255</v>
      </c>
      <c r="AG328" s="118" t="s">
        <v>385</v>
      </c>
      <c r="AH328" s="159" t="s">
        <v>193</v>
      </c>
      <c r="AI328" s="162" t="str">
        <f>CONCATENATE(PAA[[#This Row],[Id Interno]],"-",PAA[[#This Row],[tipo de Contrato (TH talento humano - B/S bienes y/o servicios)]],"-",S328,"-",T328,"-",PAA[[#This Row],[Objeto de la contratación]])</f>
        <v>20260287-TH-8173-2-Prestación de servicios profesionales para realizar seguimiento y verificación  de las actividades relacionadas con la Subdirección Logística en los procesos, procedimientos y programas a cargo de la Subdirección Operativa-S.O.</v>
      </c>
    </row>
    <row r="329" spans="2:35" ht="56" x14ac:dyDescent="0.35">
      <c r="B329" s="23">
        <v>20260288</v>
      </c>
      <c r="C329" s="99" t="s">
        <v>678</v>
      </c>
      <c r="D329" s="99" t="s">
        <v>105</v>
      </c>
      <c r="E329" s="99" t="s">
        <v>363</v>
      </c>
      <c r="F329" s="157" t="s">
        <v>144</v>
      </c>
      <c r="G329" s="157" t="s">
        <v>373</v>
      </c>
      <c r="H329" s="164">
        <v>7</v>
      </c>
      <c r="I329" s="164">
        <v>0</v>
      </c>
      <c r="J329" s="118">
        <v>47600000</v>
      </c>
      <c r="K329" s="126" t="s">
        <v>398</v>
      </c>
      <c r="L329" s="157" t="s">
        <v>158</v>
      </c>
      <c r="M329" s="163" t="s">
        <v>421</v>
      </c>
      <c r="N329" s="99" t="s">
        <v>198</v>
      </c>
      <c r="O329" s="151" t="s">
        <v>964</v>
      </c>
      <c r="P329" s="157" t="s">
        <v>348</v>
      </c>
      <c r="Q329" s="128">
        <v>80111600</v>
      </c>
      <c r="R329" s="163" t="s">
        <v>211</v>
      </c>
      <c r="S329" s="159" t="str">
        <f>MID(PAA[[#This Row],[Meta Proyecto de Inversión]],1,4)</f>
        <v>8173</v>
      </c>
      <c r="T329" s="159" t="str">
        <f>MID(PAA[[#This Row],[Meta Proyecto de Inversión]],6,1)</f>
        <v>2</v>
      </c>
      <c r="U329" s="160" t="str">
        <f>IFERROR(VLOOKUP(N329,TD!$B$50:$F$54,2,0)," ")</f>
        <v>O230117</v>
      </c>
      <c r="V329" s="160" t="str">
        <f>IFERROR(VLOOKUP(N329,TD!$B$50:$F$54,3,0)," ")</f>
        <v>4503</v>
      </c>
      <c r="W329" s="160">
        <f>IFERROR(VLOOKUP(N329,TD!$B$50:$F$54,4,0)," ")</f>
        <v>20240255</v>
      </c>
      <c r="X329" s="159" t="s">
        <v>164</v>
      </c>
      <c r="Y329" s="160" t="str">
        <f>IFERROR(VLOOKUP(X329,TD!$J$51:$K$64,2,0)," ")</f>
        <v>Servicio de atención a incidentes y emergencias.</v>
      </c>
      <c r="Z329" s="161" t="str">
        <f>CONCATENATE(X329,"-",Y329)</f>
        <v>04-Servicio de atención a incidentes y emergencias.</v>
      </c>
      <c r="AA329" s="159" t="s">
        <v>221</v>
      </c>
      <c r="AB329" s="160" t="str">
        <f>IFERROR(VLOOKUP(AA329,TD!$N$51:$O$66,2,0)," ")</f>
        <v>Servicio de atención a emergencias y desastres</v>
      </c>
      <c r="AC329" s="161" t="str">
        <f>CONCATENATE(AA329,"_",AB329)</f>
        <v>004_Servicio de atención a emergencias y desastres</v>
      </c>
      <c r="AD329" s="161" t="str">
        <f>CONCATENATE(Z329," ",AC329)</f>
        <v>04-Servicio de atención a incidentes y emergencias. 004_Servicio de atención a emergencias y desastres</v>
      </c>
      <c r="AE329" s="160" t="str">
        <f>CONCATENATE(U329,V329,W329,X329,AA329)</f>
        <v>O23011745032024025504004</v>
      </c>
      <c r="AF329" s="160" t="str">
        <f>IFERROR(VLOOKUP(AD329,TD!$J$66:$K$89,2,0)," ")</f>
        <v>PM/0131/0104/45030040255</v>
      </c>
      <c r="AG329" s="118" t="s">
        <v>385</v>
      </c>
      <c r="AH329" s="159" t="s">
        <v>193</v>
      </c>
      <c r="AI329" s="162" t="str">
        <f>CONCATENATE(PAA[[#This Row],[Id Interno]],"-",PAA[[#This Row],[tipo de Contrato (TH talento humano - B/S bienes y/o servicios)]],"-",S329,"-",T329,"-",PAA[[#This Row],[Objeto de la contratación]])</f>
        <v>20260288-TH-8173-2-Prestación de servicios profesionales para apoyar en el análisis de información, reportes, documentos técnicos y demás productos relacionados con la atención de emergencias de la entidad y  de los  programas a cargo de la Subdirección  Operativa-S.O.</v>
      </c>
    </row>
    <row r="330" spans="2:35" ht="56" x14ac:dyDescent="0.35">
      <c r="B330" s="23">
        <v>20260289</v>
      </c>
      <c r="C330" s="99" t="s">
        <v>885</v>
      </c>
      <c r="D330" s="99" t="s">
        <v>105</v>
      </c>
      <c r="E330" s="99" t="s">
        <v>363</v>
      </c>
      <c r="F330" s="157" t="s">
        <v>144</v>
      </c>
      <c r="G330" s="157" t="s">
        <v>379</v>
      </c>
      <c r="H330" s="164">
        <v>6</v>
      </c>
      <c r="I330" s="164">
        <v>0</v>
      </c>
      <c r="J330" s="118">
        <v>43200000</v>
      </c>
      <c r="K330" s="126" t="s">
        <v>398</v>
      </c>
      <c r="L330" s="157" t="s">
        <v>158</v>
      </c>
      <c r="M330" s="163" t="s">
        <v>421</v>
      </c>
      <c r="N330" s="99" t="s">
        <v>198</v>
      </c>
      <c r="O330" s="151" t="s">
        <v>964</v>
      </c>
      <c r="P330" s="157" t="s">
        <v>348</v>
      </c>
      <c r="Q330" s="128">
        <v>80111600</v>
      </c>
      <c r="R330" s="163" t="s">
        <v>211</v>
      </c>
      <c r="S330" s="159" t="str">
        <f>MID(PAA[[#This Row],[Meta Proyecto de Inversión]],1,4)</f>
        <v>8173</v>
      </c>
      <c r="T330" s="159" t="str">
        <f>MID(PAA[[#This Row],[Meta Proyecto de Inversión]],6,1)</f>
        <v>2</v>
      </c>
      <c r="U330" s="160" t="str">
        <f>IFERROR(VLOOKUP(N330,TD!$B$50:$F$54,2,0)," ")</f>
        <v>O230117</v>
      </c>
      <c r="V330" s="160" t="str">
        <f>IFERROR(VLOOKUP(N330,TD!$B$50:$F$54,3,0)," ")</f>
        <v>4503</v>
      </c>
      <c r="W330" s="160">
        <f>IFERROR(VLOOKUP(N330,TD!$B$50:$F$54,4,0)," ")</f>
        <v>20240255</v>
      </c>
      <c r="X330" s="159" t="s">
        <v>164</v>
      </c>
      <c r="Y330" s="160" t="str">
        <f>IFERROR(VLOOKUP(X330,TD!$J$51:$K$64,2,0)," ")</f>
        <v>Servicio de atención a incidentes y emergencias.</v>
      </c>
      <c r="Z330" s="161" t="str">
        <f>CONCATENATE(X330,"-",Y330)</f>
        <v>04-Servicio de atención a incidentes y emergencias.</v>
      </c>
      <c r="AA330" s="159" t="s">
        <v>221</v>
      </c>
      <c r="AB330" s="160" t="str">
        <f>IFERROR(VLOOKUP(AA330,TD!$N$51:$O$66,2,0)," ")</f>
        <v>Servicio de atención a emergencias y desastres</v>
      </c>
      <c r="AC330" s="161" t="str">
        <f>CONCATENATE(AA330,"_",AB330)</f>
        <v>004_Servicio de atención a emergencias y desastres</v>
      </c>
      <c r="AD330" s="161" t="str">
        <f>CONCATENATE(Z330," ",AC330)</f>
        <v>04-Servicio de atención a incidentes y emergencias. 004_Servicio de atención a emergencias y desastres</v>
      </c>
      <c r="AE330" s="160" t="str">
        <f>CONCATENATE(U330,V330,W330,X330,AA330)</f>
        <v>O23011745032024025504004</v>
      </c>
      <c r="AF330" s="160" t="str">
        <f>IFERROR(VLOOKUP(AD330,TD!$J$66:$K$89,2,0)," ")</f>
        <v>PM/0131/0104/45030040255</v>
      </c>
      <c r="AG330" s="118" t="s">
        <v>385</v>
      </c>
      <c r="AH330" s="159" t="s">
        <v>193</v>
      </c>
      <c r="AI330" s="162" t="str">
        <f>CONCATENATE(PAA[[#This Row],[Id Interno]],"-",PAA[[#This Row],[tipo de Contrato (TH talento humano - B/S bienes y/o servicios)]],"-",S330,"-",T330,"-",PAA[[#This Row],[Objeto de la contratación]])</f>
        <v>20260289-TH-8173-2-Prestación de servicios profesionales para apoyar el fortalecimiento de la dependencia y la articulación con entidades externas, para el desarrollo de los programas a cargo de la Subdirección Operativa-S. O.</v>
      </c>
    </row>
    <row r="331" spans="2:35" ht="70" x14ac:dyDescent="0.35">
      <c r="B331" s="23">
        <v>20260290</v>
      </c>
      <c r="C331" s="99" t="s">
        <v>886</v>
      </c>
      <c r="D331" s="99" t="s">
        <v>105</v>
      </c>
      <c r="E331" s="99" t="s">
        <v>363</v>
      </c>
      <c r="F331" s="157" t="s">
        <v>144</v>
      </c>
      <c r="G331" s="157" t="s">
        <v>373</v>
      </c>
      <c r="H331" s="164">
        <v>8</v>
      </c>
      <c r="I331" s="164">
        <v>0</v>
      </c>
      <c r="J331" s="118">
        <v>41200000</v>
      </c>
      <c r="K331" s="126" t="s">
        <v>398</v>
      </c>
      <c r="L331" s="157" t="s">
        <v>158</v>
      </c>
      <c r="M331" s="163" t="s">
        <v>421</v>
      </c>
      <c r="N331" s="99" t="s">
        <v>198</v>
      </c>
      <c r="O331" s="151" t="s">
        <v>964</v>
      </c>
      <c r="P331" s="157" t="s">
        <v>348</v>
      </c>
      <c r="Q331" s="128">
        <v>80111600</v>
      </c>
      <c r="R331" s="163" t="s">
        <v>211</v>
      </c>
      <c r="S331" s="159" t="str">
        <f>MID(PAA[[#This Row],[Meta Proyecto de Inversión]],1,4)</f>
        <v>8173</v>
      </c>
      <c r="T331" s="159" t="str">
        <f>MID(PAA[[#This Row],[Meta Proyecto de Inversión]],6,1)</f>
        <v>2</v>
      </c>
      <c r="U331" s="160" t="str">
        <f>IFERROR(VLOOKUP(N331,TD!$B$50:$F$54,2,0)," ")</f>
        <v>O230117</v>
      </c>
      <c r="V331" s="160" t="str">
        <f>IFERROR(VLOOKUP(N331,TD!$B$50:$F$54,3,0)," ")</f>
        <v>4503</v>
      </c>
      <c r="W331" s="160">
        <f>IFERROR(VLOOKUP(N331,TD!$B$50:$F$54,4,0)," ")</f>
        <v>20240255</v>
      </c>
      <c r="X331" s="159" t="s">
        <v>164</v>
      </c>
      <c r="Y331" s="160" t="str">
        <f>IFERROR(VLOOKUP(X331,TD!$J$51:$K$64,2,0)," ")</f>
        <v>Servicio de atención a incidentes y emergencias.</v>
      </c>
      <c r="Z331" s="161" t="str">
        <f>CONCATENATE(X331,"-",Y331)</f>
        <v>04-Servicio de atención a incidentes y emergencias.</v>
      </c>
      <c r="AA331" s="159" t="s">
        <v>221</v>
      </c>
      <c r="AB331" s="160" t="str">
        <f>IFERROR(VLOOKUP(AA331,TD!$N$51:$O$66,2,0)," ")</f>
        <v>Servicio de atención a emergencias y desastres</v>
      </c>
      <c r="AC331" s="161" t="str">
        <f>CONCATENATE(AA331,"_",AB331)</f>
        <v>004_Servicio de atención a emergencias y desastres</v>
      </c>
      <c r="AD331" s="161" t="str">
        <f>CONCATENATE(Z331," ",AC331)</f>
        <v>04-Servicio de atención a incidentes y emergencias. 004_Servicio de atención a emergencias y desastres</v>
      </c>
      <c r="AE331" s="160" t="str">
        <f>CONCATENATE(U331,V331,W331,X331,AA331)</f>
        <v>O23011745032024025504004</v>
      </c>
      <c r="AF331" s="160" t="str">
        <f>IFERROR(VLOOKUP(AD331,TD!$J$66:$K$89,2,0)," ")</f>
        <v>PM/0131/0104/45030040255</v>
      </c>
      <c r="AG331" s="118" t="s">
        <v>385</v>
      </c>
      <c r="AH331" s="159" t="s">
        <v>193</v>
      </c>
      <c r="AI331" s="162" t="str">
        <f>CONCATENATE(PAA[[#This Row],[Id Interno]],"-",PAA[[#This Row],[tipo de Contrato (TH talento humano - B/S bienes y/o servicios)]],"-",S331,"-",T331,"-",PAA[[#This Row],[Objeto de la contratación]])</f>
        <v>20260290-TH-8173-2-Prestación de servicios profesionales para brindar el apoyo administrativo de las gestiones  de la Subdirección, así como proyectar las respuestas a las solicitudes de carácter interno o externo para  el desarrollo de los programas a cargo de la Subdirección Operativa-S.O.</v>
      </c>
    </row>
    <row r="332" spans="2:35" ht="70" x14ac:dyDescent="0.35">
      <c r="B332" s="23">
        <v>20260291</v>
      </c>
      <c r="C332" s="99" t="s">
        <v>679</v>
      </c>
      <c r="D332" s="99" t="s">
        <v>105</v>
      </c>
      <c r="E332" s="99" t="s">
        <v>363</v>
      </c>
      <c r="F332" s="157" t="s">
        <v>144</v>
      </c>
      <c r="G332" s="157" t="s">
        <v>373</v>
      </c>
      <c r="H332" s="164">
        <v>10</v>
      </c>
      <c r="I332" s="164">
        <v>0</v>
      </c>
      <c r="J332" s="118">
        <v>67000000</v>
      </c>
      <c r="K332" s="126" t="s">
        <v>398</v>
      </c>
      <c r="L332" s="157" t="s">
        <v>158</v>
      </c>
      <c r="M332" s="163" t="s">
        <v>421</v>
      </c>
      <c r="N332" s="99" t="s">
        <v>198</v>
      </c>
      <c r="O332" s="151" t="s">
        <v>964</v>
      </c>
      <c r="P332" s="157" t="s">
        <v>348</v>
      </c>
      <c r="Q332" s="128">
        <v>80111600</v>
      </c>
      <c r="R332" s="163" t="s">
        <v>211</v>
      </c>
      <c r="S332" s="159" t="str">
        <f>MID(PAA[[#This Row],[Meta Proyecto de Inversión]],1,4)</f>
        <v>8173</v>
      </c>
      <c r="T332" s="159" t="str">
        <f>MID(PAA[[#This Row],[Meta Proyecto de Inversión]],6,1)</f>
        <v>2</v>
      </c>
      <c r="U332" s="160" t="str">
        <f>IFERROR(VLOOKUP(N332,TD!$B$50:$F$54,2,0)," ")</f>
        <v>O230117</v>
      </c>
      <c r="V332" s="160" t="str">
        <f>IFERROR(VLOOKUP(N332,TD!$B$50:$F$54,3,0)," ")</f>
        <v>4503</v>
      </c>
      <c r="W332" s="160">
        <f>IFERROR(VLOOKUP(N332,TD!$B$50:$F$54,4,0)," ")</f>
        <v>20240255</v>
      </c>
      <c r="X332" s="159" t="s">
        <v>164</v>
      </c>
      <c r="Y332" s="160" t="str">
        <f>IFERROR(VLOOKUP(X332,TD!$J$51:$K$64,2,0)," ")</f>
        <v>Servicio de atención a incidentes y emergencias.</v>
      </c>
      <c r="Z332" s="161" t="str">
        <f>CONCATENATE(X332,"-",Y332)</f>
        <v>04-Servicio de atención a incidentes y emergencias.</v>
      </c>
      <c r="AA332" s="159" t="s">
        <v>221</v>
      </c>
      <c r="AB332" s="160" t="str">
        <f>IFERROR(VLOOKUP(AA332,TD!$N$51:$O$66,2,0)," ")</f>
        <v>Servicio de atención a emergencias y desastres</v>
      </c>
      <c r="AC332" s="161" t="str">
        <f>CONCATENATE(AA332,"_",AB332)</f>
        <v>004_Servicio de atención a emergencias y desastres</v>
      </c>
      <c r="AD332" s="161" t="str">
        <f>CONCATENATE(Z332," ",AC332)</f>
        <v>04-Servicio de atención a incidentes y emergencias. 004_Servicio de atención a emergencias y desastres</v>
      </c>
      <c r="AE332" s="160" t="str">
        <f>CONCATENATE(U332,V332,W332,X332,AA332)</f>
        <v>O23011745032024025504004</v>
      </c>
      <c r="AF332" s="160" t="str">
        <f>IFERROR(VLOOKUP(AD332,TD!$J$66:$K$89,2,0)," ")</f>
        <v>PM/0131/0104/45030040255</v>
      </c>
      <c r="AG332" s="118" t="s">
        <v>385</v>
      </c>
      <c r="AH332" s="159" t="s">
        <v>193</v>
      </c>
      <c r="AI332" s="162" t="str">
        <f>CONCATENATE(PAA[[#This Row],[Id Interno]],"-",PAA[[#This Row],[tipo de Contrato (TH talento humano - B/S bienes y/o servicios)]],"-",S332,"-",T332,"-",PAA[[#This Row],[Objeto de la contratación]])</f>
        <v>20260291-TH-8173-2-Prestación de servicios profesionales para ejecutar los aspectos jurídicos en las diferentes modalidades de contratación que requiera la Subdirección operativa para el cumplimiento de su misionalidad y de los programas a cargo-S.O.</v>
      </c>
    </row>
    <row r="333" spans="2:35" ht="70" x14ac:dyDescent="0.35">
      <c r="B333" s="23">
        <v>20260292</v>
      </c>
      <c r="C333" s="99" t="s">
        <v>887</v>
      </c>
      <c r="D333" s="99" t="s">
        <v>105</v>
      </c>
      <c r="E333" s="99" t="s">
        <v>363</v>
      </c>
      <c r="F333" s="157" t="s">
        <v>144</v>
      </c>
      <c r="G333" s="157" t="s">
        <v>373</v>
      </c>
      <c r="H333" s="164">
        <v>8</v>
      </c>
      <c r="I333" s="164">
        <v>0</v>
      </c>
      <c r="J333" s="118">
        <v>65600000</v>
      </c>
      <c r="K333" s="126" t="s">
        <v>398</v>
      </c>
      <c r="L333" s="157" t="s">
        <v>158</v>
      </c>
      <c r="M333" s="163" t="s">
        <v>421</v>
      </c>
      <c r="N333" s="99" t="s">
        <v>198</v>
      </c>
      <c r="O333" s="151" t="s">
        <v>964</v>
      </c>
      <c r="P333" s="157" t="s">
        <v>348</v>
      </c>
      <c r="Q333" s="128">
        <v>80111600</v>
      </c>
      <c r="R333" s="163" t="s">
        <v>211</v>
      </c>
      <c r="S333" s="159" t="str">
        <f>MID(PAA[[#This Row],[Meta Proyecto de Inversión]],1,4)</f>
        <v>8173</v>
      </c>
      <c r="T333" s="159" t="str">
        <f>MID(PAA[[#This Row],[Meta Proyecto de Inversión]],6,1)</f>
        <v>2</v>
      </c>
      <c r="U333" s="160" t="str">
        <f>IFERROR(VLOOKUP(N333,TD!$B$50:$F$54,2,0)," ")</f>
        <v>O230117</v>
      </c>
      <c r="V333" s="160" t="str">
        <f>IFERROR(VLOOKUP(N333,TD!$B$50:$F$54,3,0)," ")</f>
        <v>4503</v>
      </c>
      <c r="W333" s="160">
        <f>IFERROR(VLOOKUP(N333,TD!$B$50:$F$54,4,0)," ")</f>
        <v>20240255</v>
      </c>
      <c r="X333" s="159" t="s">
        <v>164</v>
      </c>
      <c r="Y333" s="160" t="str">
        <f>IFERROR(VLOOKUP(X333,TD!$J$51:$K$64,2,0)," ")</f>
        <v>Servicio de atención a incidentes y emergencias.</v>
      </c>
      <c r="Z333" s="161" t="str">
        <f>CONCATENATE(X333,"-",Y333)</f>
        <v>04-Servicio de atención a incidentes y emergencias.</v>
      </c>
      <c r="AA333" s="159" t="s">
        <v>221</v>
      </c>
      <c r="AB333" s="160" t="str">
        <f>IFERROR(VLOOKUP(AA333,TD!$N$51:$O$66,2,0)," ")</f>
        <v>Servicio de atención a emergencias y desastres</v>
      </c>
      <c r="AC333" s="161" t="str">
        <f>CONCATENATE(AA333,"_",AB333)</f>
        <v>004_Servicio de atención a emergencias y desastres</v>
      </c>
      <c r="AD333" s="161" t="str">
        <f>CONCATENATE(Z333," ",AC333)</f>
        <v>04-Servicio de atención a incidentes y emergencias. 004_Servicio de atención a emergencias y desastres</v>
      </c>
      <c r="AE333" s="160" t="str">
        <f>CONCATENATE(U333,V333,W333,X333,AA333)</f>
        <v>O23011745032024025504004</v>
      </c>
      <c r="AF333" s="160" t="str">
        <f>IFERROR(VLOOKUP(AD333,TD!$J$66:$K$89,2,0)," ")</f>
        <v>PM/0131/0104/45030040255</v>
      </c>
      <c r="AG333" s="118" t="s">
        <v>385</v>
      </c>
      <c r="AH333" s="159" t="s">
        <v>193</v>
      </c>
      <c r="AI333" s="162" t="str">
        <f>CONCATENATE(PAA[[#This Row],[Id Interno]],"-",PAA[[#This Row],[tipo de Contrato (TH talento humano - B/S bienes y/o servicios)]],"-",S333,"-",T333,"-",PAA[[#This Row],[Objeto de la contratación]])</f>
        <v>20260292-TH-8173-2-Prestación de servicios profesionales para apoyar las gestiones de carácter contractual en sus diferentes etapas y las gestiones administrativas a cargo, para el desarrollo de los programas de la Subdirección operativa-S.O.</v>
      </c>
    </row>
    <row r="334" spans="2:35" ht="98" x14ac:dyDescent="0.35">
      <c r="B334" s="23">
        <v>20260293</v>
      </c>
      <c r="C334" s="99" t="s">
        <v>888</v>
      </c>
      <c r="D334" s="99" t="s">
        <v>105</v>
      </c>
      <c r="E334" s="99" t="s">
        <v>363</v>
      </c>
      <c r="F334" s="157" t="s">
        <v>144</v>
      </c>
      <c r="G334" s="157" t="s">
        <v>373</v>
      </c>
      <c r="H334" s="164">
        <v>10</v>
      </c>
      <c r="I334" s="164">
        <v>0</v>
      </c>
      <c r="J334" s="118">
        <v>72000000</v>
      </c>
      <c r="K334" s="126" t="s">
        <v>398</v>
      </c>
      <c r="L334" s="157" t="s">
        <v>158</v>
      </c>
      <c r="M334" s="163" t="s">
        <v>421</v>
      </c>
      <c r="N334" s="99" t="s">
        <v>198</v>
      </c>
      <c r="O334" s="151" t="s">
        <v>964</v>
      </c>
      <c r="P334" s="157" t="s">
        <v>348</v>
      </c>
      <c r="Q334" s="128">
        <v>80111600</v>
      </c>
      <c r="R334" s="163" t="s">
        <v>211</v>
      </c>
      <c r="S334" s="159" t="str">
        <f>MID(PAA[[#This Row],[Meta Proyecto de Inversión]],1,4)</f>
        <v>8173</v>
      </c>
      <c r="T334" s="159" t="str">
        <f>MID(PAA[[#This Row],[Meta Proyecto de Inversión]],6,1)</f>
        <v>2</v>
      </c>
      <c r="U334" s="160" t="str">
        <f>IFERROR(VLOOKUP(N334,TD!$B$50:$F$54,2,0)," ")</f>
        <v>O230117</v>
      </c>
      <c r="V334" s="160" t="str">
        <f>IFERROR(VLOOKUP(N334,TD!$B$50:$F$54,3,0)," ")</f>
        <v>4503</v>
      </c>
      <c r="W334" s="160">
        <f>IFERROR(VLOOKUP(N334,TD!$B$50:$F$54,4,0)," ")</f>
        <v>20240255</v>
      </c>
      <c r="X334" s="159" t="s">
        <v>164</v>
      </c>
      <c r="Y334" s="160" t="str">
        <f>IFERROR(VLOOKUP(X334,TD!$J$51:$K$64,2,0)," ")</f>
        <v>Servicio de atención a incidentes y emergencias.</v>
      </c>
      <c r="Z334" s="161" t="str">
        <f>CONCATENATE(X334,"-",Y334)</f>
        <v>04-Servicio de atención a incidentes y emergencias.</v>
      </c>
      <c r="AA334" s="159" t="s">
        <v>221</v>
      </c>
      <c r="AB334" s="160" t="str">
        <f>IFERROR(VLOOKUP(AA334,TD!$N$51:$O$66,2,0)," ")</f>
        <v>Servicio de atención a emergencias y desastres</v>
      </c>
      <c r="AC334" s="161" t="str">
        <f>CONCATENATE(AA334,"_",AB334)</f>
        <v>004_Servicio de atención a emergencias y desastres</v>
      </c>
      <c r="AD334" s="161" t="str">
        <f>CONCATENATE(Z334," ",AC334)</f>
        <v>04-Servicio de atención a incidentes y emergencias. 004_Servicio de atención a emergencias y desastres</v>
      </c>
      <c r="AE334" s="160" t="str">
        <f>CONCATENATE(U334,V334,W334,X334,AA334)</f>
        <v>O23011745032024025504004</v>
      </c>
      <c r="AF334" s="160" t="str">
        <f>IFERROR(VLOOKUP(AD334,TD!$J$66:$K$89,2,0)," ")</f>
        <v>PM/0131/0104/45030040255</v>
      </c>
      <c r="AG334" s="118" t="s">
        <v>385</v>
      </c>
      <c r="AH334" s="159" t="s">
        <v>193</v>
      </c>
      <c r="AI334" s="162" t="str">
        <f>CONCATENATE(PAA[[#This Row],[Id Interno]],"-",PAA[[#This Row],[tipo de Contrato (TH talento humano - B/S bienes y/o servicios)]],"-",S334,"-",T334,"-",PAA[[#This Row],[Objeto de la contratación]])</f>
        <v>20260293-TH-8173-2-Prestar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35" spans="2:35" ht="56" x14ac:dyDescent="0.35">
      <c r="B335" s="23">
        <v>20260294</v>
      </c>
      <c r="C335" s="99" t="s">
        <v>889</v>
      </c>
      <c r="D335" s="99" t="s">
        <v>105</v>
      </c>
      <c r="E335" s="99" t="s">
        <v>363</v>
      </c>
      <c r="F335" s="157" t="s">
        <v>144</v>
      </c>
      <c r="G335" s="157" t="s">
        <v>373</v>
      </c>
      <c r="H335" s="164">
        <v>10</v>
      </c>
      <c r="I335" s="164">
        <v>0</v>
      </c>
      <c r="J335" s="118">
        <v>97000000</v>
      </c>
      <c r="K335" s="126" t="s">
        <v>398</v>
      </c>
      <c r="L335" s="157" t="s">
        <v>158</v>
      </c>
      <c r="M335" s="163" t="s">
        <v>421</v>
      </c>
      <c r="N335" s="99" t="s">
        <v>198</v>
      </c>
      <c r="O335" s="151" t="s">
        <v>964</v>
      </c>
      <c r="P335" s="157" t="s">
        <v>348</v>
      </c>
      <c r="Q335" s="128">
        <v>80111600</v>
      </c>
      <c r="R335" s="163" t="s">
        <v>211</v>
      </c>
      <c r="S335" s="159" t="str">
        <f>MID(PAA[[#This Row],[Meta Proyecto de Inversión]],1,4)</f>
        <v>8173</v>
      </c>
      <c r="T335" s="159" t="str">
        <f>MID(PAA[[#This Row],[Meta Proyecto de Inversión]],6,1)</f>
        <v>2</v>
      </c>
      <c r="U335" s="160" t="str">
        <f>IFERROR(VLOOKUP(N335,TD!$B$50:$F$54,2,0)," ")</f>
        <v>O230117</v>
      </c>
      <c r="V335" s="160" t="str">
        <f>IFERROR(VLOOKUP(N335,TD!$B$50:$F$54,3,0)," ")</f>
        <v>4503</v>
      </c>
      <c r="W335" s="160">
        <f>IFERROR(VLOOKUP(N335,TD!$B$50:$F$54,4,0)," ")</f>
        <v>20240255</v>
      </c>
      <c r="X335" s="159" t="s">
        <v>164</v>
      </c>
      <c r="Y335" s="160" t="str">
        <f>IFERROR(VLOOKUP(X335,TD!$J$51:$K$64,2,0)," ")</f>
        <v>Servicio de atención a incidentes y emergencias.</v>
      </c>
      <c r="Z335" s="161" t="str">
        <f>CONCATENATE(X335,"-",Y335)</f>
        <v>04-Servicio de atención a incidentes y emergencias.</v>
      </c>
      <c r="AA335" s="159" t="s">
        <v>221</v>
      </c>
      <c r="AB335" s="160" t="str">
        <f>IFERROR(VLOOKUP(AA335,TD!$N$51:$O$66,2,0)," ")</f>
        <v>Servicio de atención a emergencias y desastres</v>
      </c>
      <c r="AC335" s="161" t="str">
        <f>CONCATENATE(AA335,"_",AB335)</f>
        <v>004_Servicio de atención a emergencias y desastres</v>
      </c>
      <c r="AD335" s="161" t="str">
        <f>CONCATENATE(Z335," ",AC335)</f>
        <v>04-Servicio de atención a incidentes y emergencias. 004_Servicio de atención a emergencias y desastres</v>
      </c>
      <c r="AE335" s="160" t="str">
        <f>CONCATENATE(U335,V335,W335,X335,AA335)</f>
        <v>O23011745032024025504004</v>
      </c>
      <c r="AF335" s="160" t="str">
        <f>IFERROR(VLOOKUP(AD335,TD!$J$66:$K$89,2,0)," ")</f>
        <v>PM/0131/0104/45030040255</v>
      </c>
      <c r="AG335" s="118" t="s">
        <v>385</v>
      </c>
      <c r="AH335" s="159" t="s">
        <v>193</v>
      </c>
      <c r="AI335" s="162" t="str">
        <f>CONCATENATE(PAA[[#This Row],[Id Interno]],"-",PAA[[#This Row],[tipo de Contrato (TH talento humano - B/S bienes y/o servicios)]],"-",S335,"-",T335,"-",PAA[[#This Row],[Objeto de la contratación]])</f>
        <v>20260294-TH-8173-2-Prestar servicios profesionales de carácter jurídico liderando y estableciendo los lineamientos necesarios para la  gestión de las actividades juridicas inherentes a los procesos y procedimientos, así como de los requerimientos, solicitudes de autoridades internas o externas para el acompañamiento de los programas a cargo de la Subdirección Operativa-S.O.</v>
      </c>
    </row>
    <row r="336" spans="2:35" ht="70" x14ac:dyDescent="0.35">
      <c r="B336" s="23">
        <v>20260295</v>
      </c>
      <c r="C336" s="99" t="s">
        <v>888</v>
      </c>
      <c r="D336" s="99" t="s">
        <v>105</v>
      </c>
      <c r="E336" s="99" t="s">
        <v>363</v>
      </c>
      <c r="F336" s="157" t="s">
        <v>144</v>
      </c>
      <c r="G336" s="157" t="s">
        <v>373</v>
      </c>
      <c r="H336" s="164">
        <v>10</v>
      </c>
      <c r="I336" s="164">
        <v>0</v>
      </c>
      <c r="J336" s="118">
        <v>72000000</v>
      </c>
      <c r="K336" s="126" t="s">
        <v>398</v>
      </c>
      <c r="L336" s="157" t="s">
        <v>158</v>
      </c>
      <c r="M336" s="163" t="s">
        <v>421</v>
      </c>
      <c r="N336" s="99" t="s">
        <v>198</v>
      </c>
      <c r="O336" s="151" t="s">
        <v>964</v>
      </c>
      <c r="P336" s="157" t="s">
        <v>348</v>
      </c>
      <c r="Q336" s="128">
        <v>80111600</v>
      </c>
      <c r="R336" s="163" t="s">
        <v>211</v>
      </c>
      <c r="S336" s="159" t="str">
        <f>MID(PAA[[#This Row],[Meta Proyecto de Inversión]],1,4)</f>
        <v>8173</v>
      </c>
      <c r="T336" s="159" t="str">
        <f>MID(PAA[[#This Row],[Meta Proyecto de Inversión]],6,1)</f>
        <v>2</v>
      </c>
      <c r="U336" s="160" t="str">
        <f>IFERROR(VLOOKUP(N336,TD!$B$50:$F$54,2,0)," ")</f>
        <v>O230117</v>
      </c>
      <c r="V336" s="160" t="str">
        <f>IFERROR(VLOOKUP(N336,TD!$B$50:$F$54,3,0)," ")</f>
        <v>4503</v>
      </c>
      <c r="W336" s="160">
        <f>IFERROR(VLOOKUP(N336,TD!$B$50:$F$54,4,0)," ")</f>
        <v>20240255</v>
      </c>
      <c r="X336" s="159" t="s">
        <v>164</v>
      </c>
      <c r="Y336" s="160" t="str">
        <f>IFERROR(VLOOKUP(X336,TD!$J$51:$K$64,2,0)," ")</f>
        <v>Servicio de atención a incidentes y emergencias.</v>
      </c>
      <c r="Z336" s="161" t="str">
        <f>CONCATENATE(X336,"-",Y336)</f>
        <v>04-Servicio de atención a incidentes y emergencias.</v>
      </c>
      <c r="AA336" s="159" t="s">
        <v>221</v>
      </c>
      <c r="AB336" s="160" t="str">
        <f>IFERROR(VLOOKUP(AA336,TD!$N$51:$O$66,2,0)," ")</f>
        <v>Servicio de atención a emergencias y desastres</v>
      </c>
      <c r="AC336" s="161" t="str">
        <f>CONCATENATE(AA336,"_",AB336)</f>
        <v>004_Servicio de atención a emergencias y desastres</v>
      </c>
      <c r="AD336" s="161" t="str">
        <f>CONCATENATE(Z336," ",AC336)</f>
        <v>04-Servicio de atención a incidentes y emergencias. 004_Servicio de atención a emergencias y desastres</v>
      </c>
      <c r="AE336" s="160" t="str">
        <f>CONCATENATE(U336,V336,W336,X336,AA336)</f>
        <v>O23011745032024025504004</v>
      </c>
      <c r="AF336" s="160" t="str">
        <f>IFERROR(VLOOKUP(AD336,TD!$J$66:$K$89,2,0)," ")</f>
        <v>PM/0131/0104/45030040255</v>
      </c>
      <c r="AG336" s="118" t="s">
        <v>385</v>
      </c>
      <c r="AH336" s="159" t="s">
        <v>193</v>
      </c>
      <c r="AI336" s="162" t="str">
        <f>CONCATENATE(PAA[[#This Row],[Id Interno]],"-",PAA[[#This Row],[tipo de Contrato (TH talento humano - B/S bienes y/o servicios)]],"-",S336,"-",T336,"-",PAA[[#This Row],[Objeto de la contratación]])</f>
        <v>20260295-TH-8173-2-Prestar servicios profesionales de carácter jurídico apoyando la consolidación y estructuración de procesos para la adquisición de bienes , obras y servicios y las demás actuaciones de carácter precontractual y contractual que se desprendan de las necesidades identificadas para el desarrollo de los programas a cargo de la Subdirección Operativa-S.O.</v>
      </c>
    </row>
    <row r="337" spans="2:35" ht="98" x14ac:dyDescent="0.35">
      <c r="B337" s="23">
        <v>20260296</v>
      </c>
      <c r="C337" s="99" t="s">
        <v>499</v>
      </c>
      <c r="D337" s="99" t="s">
        <v>105</v>
      </c>
      <c r="E337" s="99" t="s">
        <v>363</v>
      </c>
      <c r="F337" s="157" t="s">
        <v>144</v>
      </c>
      <c r="G337" s="157" t="s">
        <v>373</v>
      </c>
      <c r="H337" s="164">
        <v>5</v>
      </c>
      <c r="I337" s="164">
        <v>0</v>
      </c>
      <c r="J337" s="118">
        <v>32500000</v>
      </c>
      <c r="K337" s="126" t="s">
        <v>398</v>
      </c>
      <c r="L337" s="157" t="s">
        <v>158</v>
      </c>
      <c r="M337" s="163" t="s">
        <v>421</v>
      </c>
      <c r="N337" s="99" t="s">
        <v>198</v>
      </c>
      <c r="O337" s="151" t="s">
        <v>964</v>
      </c>
      <c r="P337" s="157" t="s">
        <v>348</v>
      </c>
      <c r="Q337" s="128">
        <v>80111600</v>
      </c>
      <c r="R337" s="163" t="s">
        <v>211</v>
      </c>
      <c r="S337" s="159" t="str">
        <f>MID(PAA[[#This Row],[Meta Proyecto de Inversión]],1,4)</f>
        <v>8173</v>
      </c>
      <c r="T337" s="159" t="str">
        <f>MID(PAA[[#This Row],[Meta Proyecto de Inversión]],6,1)</f>
        <v>2</v>
      </c>
      <c r="U337" s="160" t="str">
        <f>IFERROR(VLOOKUP(N337,TD!$B$50:$F$54,2,0)," ")</f>
        <v>O230117</v>
      </c>
      <c r="V337" s="160" t="str">
        <f>IFERROR(VLOOKUP(N337,TD!$B$50:$F$54,3,0)," ")</f>
        <v>4503</v>
      </c>
      <c r="W337" s="160">
        <f>IFERROR(VLOOKUP(N337,TD!$B$50:$F$54,4,0)," ")</f>
        <v>20240255</v>
      </c>
      <c r="X337" s="159" t="s">
        <v>164</v>
      </c>
      <c r="Y337" s="160" t="str">
        <f>IFERROR(VLOOKUP(X337,TD!$J$51:$K$64,2,0)," ")</f>
        <v>Servicio de atención a incidentes y emergencias.</v>
      </c>
      <c r="Z337" s="161" t="str">
        <f>CONCATENATE(X337,"-",Y337)</f>
        <v>04-Servicio de atención a incidentes y emergencias.</v>
      </c>
      <c r="AA337" s="159" t="s">
        <v>221</v>
      </c>
      <c r="AB337" s="160" t="str">
        <f>IFERROR(VLOOKUP(AA337,TD!$N$51:$O$66,2,0)," ")</f>
        <v>Servicio de atención a emergencias y desastres</v>
      </c>
      <c r="AC337" s="161" t="str">
        <f>CONCATENATE(AA337,"_",AB337)</f>
        <v>004_Servicio de atención a emergencias y desastres</v>
      </c>
      <c r="AD337" s="161" t="str">
        <f>CONCATENATE(Z337," ",AC337)</f>
        <v>04-Servicio de atención a incidentes y emergencias. 004_Servicio de atención a emergencias y desastres</v>
      </c>
      <c r="AE337" s="160" t="str">
        <f>CONCATENATE(U337,V337,W337,X337,AA337)</f>
        <v>O23011745032024025504004</v>
      </c>
      <c r="AF337" s="160" t="str">
        <f>IFERROR(VLOOKUP(AD337,TD!$J$66:$K$89,2,0)," ")</f>
        <v>PM/0131/0104/45030040255</v>
      </c>
      <c r="AG337" s="118" t="s">
        <v>385</v>
      </c>
      <c r="AH337" s="159" t="s">
        <v>194</v>
      </c>
      <c r="AI337" s="162" t="str">
        <f>CONCATENATE(PAA[[#This Row],[Id Interno]],"-",PAA[[#This Row],[tipo de Contrato (TH talento humano - B/S bienes y/o servicios)]],"-",S337,"-",T337,"-",PAA[[#This Row],[Objeto de la contratación]])</f>
        <v>20260296-TH-8173-2-ADICIÓN Y PRÓRROGA al contrato de prestación de servicios # 359-2025, cuyo objeto es: 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v>
      </c>
    </row>
    <row r="338" spans="2:35" ht="98" x14ac:dyDescent="0.35">
      <c r="B338" s="23">
        <v>20260297</v>
      </c>
      <c r="C338" s="99" t="s">
        <v>962</v>
      </c>
      <c r="D338" s="99" t="s">
        <v>105</v>
      </c>
      <c r="E338" s="99" t="s">
        <v>363</v>
      </c>
      <c r="F338" s="157" t="s">
        <v>144</v>
      </c>
      <c r="G338" s="157" t="s">
        <v>373</v>
      </c>
      <c r="H338" s="164">
        <v>4</v>
      </c>
      <c r="I338" s="164">
        <v>15</v>
      </c>
      <c r="J338" s="118">
        <v>42750000</v>
      </c>
      <c r="K338" s="126" t="s">
        <v>398</v>
      </c>
      <c r="L338" s="157" t="s">
        <v>158</v>
      </c>
      <c r="M338" s="163" t="s">
        <v>421</v>
      </c>
      <c r="N338" s="99" t="s">
        <v>198</v>
      </c>
      <c r="O338" s="151" t="s">
        <v>964</v>
      </c>
      <c r="P338" s="157" t="s">
        <v>348</v>
      </c>
      <c r="Q338" s="128">
        <v>80111600</v>
      </c>
      <c r="R338" s="163" t="s">
        <v>211</v>
      </c>
      <c r="S338" s="159" t="str">
        <f>MID(PAA[[#This Row],[Meta Proyecto de Inversión]],1,4)</f>
        <v>8173</v>
      </c>
      <c r="T338" s="159" t="str">
        <f>MID(PAA[[#This Row],[Meta Proyecto de Inversión]],6,1)</f>
        <v>2</v>
      </c>
      <c r="U338" s="160" t="str">
        <f>IFERROR(VLOOKUP(N338,TD!$B$50:$F$54,2,0)," ")</f>
        <v>O230117</v>
      </c>
      <c r="V338" s="160" t="str">
        <f>IFERROR(VLOOKUP(N338,TD!$B$50:$F$54,3,0)," ")</f>
        <v>4503</v>
      </c>
      <c r="W338" s="160">
        <f>IFERROR(VLOOKUP(N338,TD!$B$50:$F$54,4,0)," ")</f>
        <v>20240255</v>
      </c>
      <c r="X338" s="159" t="s">
        <v>164</v>
      </c>
      <c r="Y338" s="160" t="str">
        <f>IFERROR(VLOOKUP(X338,TD!$J$51:$K$64,2,0)," ")</f>
        <v>Servicio de atención a incidentes y emergencias.</v>
      </c>
      <c r="Z338" s="161" t="str">
        <f>CONCATENATE(X338,"-",Y338)</f>
        <v>04-Servicio de atención a incidentes y emergencias.</v>
      </c>
      <c r="AA338" s="159" t="s">
        <v>221</v>
      </c>
      <c r="AB338" s="160" t="str">
        <f>IFERROR(VLOOKUP(AA338,TD!$N$51:$O$66,2,0)," ")</f>
        <v>Servicio de atención a emergencias y desastres</v>
      </c>
      <c r="AC338" s="161" t="str">
        <f>CONCATENATE(AA338,"_",AB338)</f>
        <v>004_Servicio de atención a emergencias y desastres</v>
      </c>
      <c r="AD338" s="161" t="str">
        <f>CONCATENATE(Z338," ",AC338)</f>
        <v>04-Servicio de atención a incidentes y emergencias. 004_Servicio de atención a emergencias y desastres</v>
      </c>
      <c r="AE338" s="160" t="str">
        <f>CONCATENATE(U338,V338,W338,X338,AA338)</f>
        <v>O23011745032024025504004</v>
      </c>
      <c r="AF338" s="160" t="str">
        <f>IFERROR(VLOOKUP(AD338,TD!$J$66:$K$89,2,0)," ")</f>
        <v>PM/0131/0104/45030040255</v>
      </c>
      <c r="AG338" s="118" t="s">
        <v>385</v>
      </c>
      <c r="AH338" s="159" t="s">
        <v>194</v>
      </c>
      <c r="AI338" s="162" t="str">
        <f>CONCATENATE(PAA[[#This Row],[Id Interno]],"-",PAA[[#This Row],[tipo de Contrato (TH talento humano - B/S bienes y/o servicios)]],"-",S338,"-",T338,"-",PAA[[#This Row],[Objeto de la contratación]])</f>
        <v>20260297-TH-8173-2-Adición y prórroga al contrato de prestación de servicios # 452-2025, cuyo objeto es:prestar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v>
      </c>
    </row>
    <row r="339" spans="2:35" ht="56" x14ac:dyDescent="0.35">
      <c r="B339" s="23">
        <v>20260298</v>
      </c>
      <c r="C339" s="99" t="s">
        <v>500</v>
      </c>
      <c r="D339" s="99" t="s">
        <v>105</v>
      </c>
      <c r="E339" s="99" t="s">
        <v>363</v>
      </c>
      <c r="F339" s="157" t="s">
        <v>144</v>
      </c>
      <c r="G339" s="157" t="s">
        <v>373</v>
      </c>
      <c r="H339" s="164">
        <v>4</v>
      </c>
      <c r="I339" s="164">
        <v>15</v>
      </c>
      <c r="J339" s="118">
        <v>42750000</v>
      </c>
      <c r="K339" s="126" t="s">
        <v>398</v>
      </c>
      <c r="L339" s="157" t="s">
        <v>158</v>
      </c>
      <c r="M339" s="163" t="s">
        <v>421</v>
      </c>
      <c r="N339" s="99" t="s">
        <v>198</v>
      </c>
      <c r="O339" s="151" t="s">
        <v>964</v>
      </c>
      <c r="P339" s="157" t="s">
        <v>348</v>
      </c>
      <c r="Q339" s="128">
        <v>80111600</v>
      </c>
      <c r="R339" s="163" t="s">
        <v>211</v>
      </c>
      <c r="S339" s="159" t="str">
        <f>MID(PAA[[#This Row],[Meta Proyecto de Inversión]],1,4)</f>
        <v>8173</v>
      </c>
      <c r="T339" s="159" t="str">
        <f>MID(PAA[[#This Row],[Meta Proyecto de Inversión]],6,1)</f>
        <v>2</v>
      </c>
      <c r="U339" s="160" t="str">
        <f>IFERROR(VLOOKUP(N339,TD!$B$50:$F$54,2,0)," ")</f>
        <v>O230117</v>
      </c>
      <c r="V339" s="160" t="str">
        <f>IFERROR(VLOOKUP(N339,TD!$B$50:$F$54,3,0)," ")</f>
        <v>4503</v>
      </c>
      <c r="W339" s="160">
        <f>IFERROR(VLOOKUP(N339,TD!$B$50:$F$54,4,0)," ")</f>
        <v>20240255</v>
      </c>
      <c r="X339" s="159" t="s">
        <v>164</v>
      </c>
      <c r="Y339" s="160" t="str">
        <f>IFERROR(VLOOKUP(X339,TD!$J$51:$K$64,2,0)," ")</f>
        <v>Servicio de atención a incidentes y emergencias.</v>
      </c>
      <c r="Z339" s="161" t="str">
        <f>CONCATENATE(X339,"-",Y339)</f>
        <v>04-Servicio de atención a incidentes y emergencias.</v>
      </c>
      <c r="AA339" s="159" t="s">
        <v>221</v>
      </c>
      <c r="AB339" s="160" t="str">
        <f>IFERROR(VLOOKUP(AA339,TD!$N$51:$O$66,2,0)," ")</f>
        <v>Servicio de atención a emergencias y desastres</v>
      </c>
      <c r="AC339" s="161" t="str">
        <f>CONCATENATE(AA339,"_",AB339)</f>
        <v>004_Servicio de atención a emergencias y desastres</v>
      </c>
      <c r="AD339" s="161" t="str">
        <f>CONCATENATE(Z339," ",AC339)</f>
        <v>04-Servicio de atención a incidentes y emergencias. 004_Servicio de atención a emergencias y desastres</v>
      </c>
      <c r="AE339" s="160" t="str">
        <f>CONCATENATE(U339,V339,W339,X339,AA339)</f>
        <v>O23011745032024025504004</v>
      </c>
      <c r="AF339" s="160" t="str">
        <f>IFERROR(VLOOKUP(AD339,TD!$J$66:$K$89,2,0)," ")</f>
        <v>PM/0131/0104/45030040255</v>
      </c>
      <c r="AG339" s="118" t="s">
        <v>385</v>
      </c>
      <c r="AH339" s="159" t="s">
        <v>194</v>
      </c>
      <c r="AI339" s="162" t="str">
        <f>CONCATENATE(PAA[[#This Row],[Id Interno]],"-",PAA[[#This Row],[tipo de Contrato (TH talento humano - B/S bienes y/o servicios)]],"-",S339,"-",T339,"-",PAA[[#This Row],[Objeto de la contratación]])</f>
        <v>20260298-TH-8173-2-ADICIÓN Y PRÓRROGA al contrato de prestación de servicios # 458-2025, cuyo objeto es:Prestación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v>
      </c>
    </row>
    <row r="340" spans="2:35" ht="84" x14ac:dyDescent="0.35">
      <c r="B340" s="23">
        <v>20260299</v>
      </c>
      <c r="C340" s="99" t="s">
        <v>501</v>
      </c>
      <c r="D340" s="99" t="s">
        <v>105</v>
      </c>
      <c r="E340" s="99" t="s">
        <v>363</v>
      </c>
      <c r="F340" s="157" t="s">
        <v>144</v>
      </c>
      <c r="G340" s="157" t="s">
        <v>373</v>
      </c>
      <c r="H340" s="164">
        <v>3</v>
      </c>
      <c r="I340" s="164">
        <v>0</v>
      </c>
      <c r="J340" s="118">
        <v>28500000</v>
      </c>
      <c r="K340" s="126" t="s">
        <v>398</v>
      </c>
      <c r="L340" s="157" t="s">
        <v>158</v>
      </c>
      <c r="M340" s="163" t="s">
        <v>421</v>
      </c>
      <c r="N340" s="99" t="s">
        <v>198</v>
      </c>
      <c r="O340" s="151" t="s">
        <v>964</v>
      </c>
      <c r="P340" s="157" t="s">
        <v>348</v>
      </c>
      <c r="Q340" s="128">
        <v>80111600</v>
      </c>
      <c r="R340" s="163" t="s">
        <v>211</v>
      </c>
      <c r="S340" s="159" t="str">
        <f>MID(PAA[[#This Row],[Meta Proyecto de Inversión]],1,4)</f>
        <v>8173</v>
      </c>
      <c r="T340" s="159" t="str">
        <f>MID(PAA[[#This Row],[Meta Proyecto de Inversión]],6,1)</f>
        <v>2</v>
      </c>
      <c r="U340" s="160" t="str">
        <f>IFERROR(VLOOKUP(N340,TD!$B$50:$F$54,2,0)," ")</f>
        <v>O230117</v>
      </c>
      <c r="V340" s="160" t="str">
        <f>IFERROR(VLOOKUP(N340,TD!$B$50:$F$54,3,0)," ")</f>
        <v>4503</v>
      </c>
      <c r="W340" s="160">
        <f>IFERROR(VLOOKUP(N340,TD!$B$50:$F$54,4,0)," ")</f>
        <v>20240255</v>
      </c>
      <c r="X340" s="159" t="s">
        <v>164</v>
      </c>
      <c r="Y340" s="160" t="str">
        <f>IFERROR(VLOOKUP(X340,TD!$J$51:$K$64,2,0)," ")</f>
        <v>Servicio de atención a incidentes y emergencias.</v>
      </c>
      <c r="Z340" s="161" t="str">
        <f>CONCATENATE(X340,"-",Y340)</f>
        <v>04-Servicio de atención a incidentes y emergencias.</v>
      </c>
      <c r="AA340" s="159" t="s">
        <v>221</v>
      </c>
      <c r="AB340" s="160" t="str">
        <f>IFERROR(VLOOKUP(AA340,TD!$N$51:$O$66,2,0)," ")</f>
        <v>Servicio de atención a emergencias y desastres</v>
      </c>
      <c r="AC340" s="161" t="str">
        <f>CONCATENATE(AA340,"_",AB340)</f>
        <v>004_Servicio de atención a emergencias y desastres</v>
      </c>
      <c r="AD340" s="161" t="str">
        <f>CONCATENATE(Z340," ",AC340)</f>
        <v>04-Servicio de atención a incidentes y emergencias. 004_Servicio de atención a emergencias y desastres</v>
      </c>
      <c r="AE340" s="160" t="str">
        <f>CONCATENATE(U340,V340,W340,X340,AA340)</f>
        <v>O23011745032024025504004</v>
      </c>
      <c r="AF340" s="160" t="str">
        <f>IFERROR(VLOOKUP(AD340,TD!$J$66:$K$89,2,0)," ")</f>
        <v>PM/0131/0104/45030040255</v>
      </c>
      <c r="AG340" s="118" t="s">
        <v>385</v>
      </c>
      <c r="AH340" s="159" t="s">
        <v>194</v>
      </c>
      <c r="AI340" s="162" t="str">
        <f>CONCATENATE(PAA[[#This Row],[Id Interno]],"-",PAA[[#This Row],[tipo de Contrato (TH talento humano - B/S bienes y/o servicios)]],"-",S340,"-",T340,"-",PAA[[#This Row],[Objeto de la contratación]])</f>
        <v>20260299-TH-8173-2-ADICIÓN Y PRÓRROGA al contrato de prestación de servicios # 505-2025, cuyo objeto es: Prestar servicios de asesoría jurídica especializada en la estructuración, seguimiento y revisión de  las acciones, actividades, procesos contractuales y procedimientos asociados al proceso de manejo a cargo de la Subdirección Operativa.</v>
      </c>
    </row>
    <row r="341" spans="2:35" ht="56" x14ac:dyDescent="0.35">
      <c r="B341" s="23">
        <v>20260300</v>
      </c>
      <c r="C341" s="99" t="s">
        <v>890</v>
      </c>
      <c r="D341" s="99" t="s">
        <v>105</v>
      </c>
      <c r="E341" s="99" t="s">
        <v>363</v>
      </c>
      <c r="F341" s="157" t="s">
        <v>144</v>
      </c>
      <c r="G341" s="157" t="s">
        <v>373</v>
      </c>
      <c r="H341" s="164">
        <v>8</v>
      </c>
      <c r="I341" s="164">
        <v>0</v>
      </c>
      <c r="J341" s="118">
        <v>72000000</v>
      </c>
      <c r="K341" s="126" t="s">
        <v>398</v>
      </c>
      <c r="L341" s="157" t="s">
        <v>158</v>
      </c>
      <c r="M341" s="163" t="s">
        <v>421</v>
      </c>
      <c r="N341" s="99" t="s">
        <v>198</v>
      </c>
      <c r="O341" s="151" t="s">
        <v>964</v>
      </c>
      <c r="P341" s="157" t="s">
        <v>348</v>
      </c>
      <c r="Q341" s="128">
        <v>80111600</v>
      </c>
      <c r="R341" s="163" t="s">
        <v>211</v>
      </c>
      <c r="S341" s="159" t="str">
        <f>MID(PAA[[#This Row],[Meta Proyecto de Inversión]],1,4)</f>
        <v>8173</v>
      </c>
      <c r="T341" s="159" t="str">
        <f>MID(PAA[[#This Row],[Meta Proyecto de Inversión]],6,1)</f>
        <v>2</v>
      </c>
      <c r="U341" s="160" t="str">
        <f>IFERROR(VLOOKUP(N341,TD!$B$50:$F$54,2,0)," ")</f>
        <v>O230117</v>
      </c>
      <c r="V341" s="160" t="str">
        <f>IFERROR(VLOOKUP(N341,TD!$B$50:$F$54,3,0)," ")</f>
        <v>4503</v>
      </c>
      <c r="W341" s="160">
        <f>IFERROR(VLOOKUP(N341,TD!$B$50:$F$54,4,0)," ")</f>
        <v>20240255</v>
      </c>
      <c r="X341" s="159" t="s">
        <v>164</v>
      </c>
      <c r="Y341" s="160" t="str">
        <f>IFERROR(VLOOKUP(X341,TD!$J$51:$K$64,2,0)," ")</f>
        <v>Servicio de atención a incidentes y emergencias.</v>
      </c>
      <c r="Z341" s="161" t="str">
        <f>CONCATENATE(X341,"-",Y341)</f>
        <v>04-Servicio de atención a incidentes y emergencias.</v>
      </c>
      <c r="AA341" s="159" t="s">
        <v>221</v>
      </c>
      <c r="AB341" s="160" t="str">
        <f>IFERROR(VLOOKUP(AA341,TD!$N$51:$O$66,2,0)," ")</f>
        <v>Servicio de atención a emergencias y desastres</v>
      </c>
      <c r="AC341" s="161" t="str">
        <f>CONCATENATE(AA341,"_",AB341)</f>
        <v>004_Servicio de atención a emergencias y desastres</v>
      </c>
      <c r="AD341" s="161" t="str">
        <f>CONCATENATE(Z341," ",AC341)</f>
        <v>04-Servicio de atención a incidentes y emergencias. 004_Servicio de atención a emergencias y desastres</v>
      </c>
      <c r="AE341" s="160" t="str">
        <f>CONCATENATE(U341,V341,W341,X341,AA341)</f>
        <v>O23011745032024025504004</v>
      </c>
      <c r="AF341" s="160" t="str">
        <f>IFERROR(VLOOKUP(AD341,TD!$J$66:$K$89,2,0)," ")</f>
        <v>PM/0131/0104/45030040255</v>
      </c>
      <c r="AG341" s="118" t="s">
        <v>385</v>
      </c>
      <c r="AH341" s="159" t="s">
        <v>193</v>
      </c>
      <c r="AI341" s="162" t="str">
        <f>CONCATENATE(PAA[[#This Row],[Id Interno]],"-",PAA[[#This Row],[tipo de Contrato (TH talento humano - B/S bienes y/o servicios)]],"-",S341,"-",T341,"-",PAA[[#This Row],[Objeto de la contratación]])</f>
        <v>20260300-TH-8173-2-Prestación de servicios profesionales para apoyar jurídicamente los proyectos, procesos y procedimientos, para e desarrollo de los programas de la subdirección operativa-S.O</v>
      </c>
    </row>
    <row r="342" spans="2:35" ht="28" x14ac:dyDescent="0.35">
      <c r="B342" s="23">
        <v>20260301</v>
      </c>
      <c r="C342" s="99" t="s">
        <v>891</v>
      </c>
      <c r="D342" s="99" t="s">
        <v>105</v>
      </c>
      <c r="E342" s="99" t="s">
        <v>363</v>
      </c>
      <c r="F342" s="157" t="s">
        <v>144</v>
      </c>
      <c r="G342" s="157" t="s">
        <v>373</v>
      </c>
      <c r="H342" s="164">
        <v>10</v>
      </c>
      <c r="I342" s="164">
        <v>0</v>
      </c>
      <c r="J342" s="118">
        <v>97000000</v>
      </c>
      <c r="K342" s="126" t="s">
        <v>398</v>
      </c>
      <c r="L342" s="157" t="s">
        <v>158</v>
      </c>
      <c r="M342" s="163" t="s">
        <v>421</v>
      </c>
      <c r="N342" s="99" t="s">
        <v>198</v>
      </c>
      <c r="O342" s="151" t="s">
        <v>964</v>
      </c>
      <c r="P342" s="157" t="s">
        <v>348</v>
      </c>
      <c r="Q342" s="128">
        <v>80111600</v>
      </c>
      <c r="R342" s="163" t="s">
        <v>211</v>
      </c>
      <c r="S342" s="159" t="str">
        <f>MID(PAA[[#This Row],[Meta Proyecto de Inversión]],1,4)</f>
        <v>8173</v>
      </c>
      <c r="T342" s="159" t="str">
        <f>MID(PAA[[#This Row],[Meta Proyecto de Inversión]],6,1)</f>
        <v>2</v>
      </c>
      <c r="U342" s="160" t="str">
        <f>IFERROR(VLOOKUP(N342,TD!$B$50:$F$54,2,0)," ")</f>
        <v>O230117</v>
      </c>
      <c r="V342" s="160" t="str">
        <f>IFERROR(VLOOKUP(N342,TD!$B$50:$F$54,3,0)," ")</f>
        <v>4503</v>
      </c>
      <c r="W342" s="160">
        <f>IFERROR(VLOOKUP(N342,TD!$B$50:$F$54,4,0)," ")</f>
        <v>20240255</v>
      </c>
      <c r="X342" s="159" t="s">
        <v>164</v>
      </c>
      <c r="Y342" s="160" t="str">
        <f>IFERROR(VLOOKUP(X342,TD!$J$51:$K$64,2,0)," ")</f>
        <v>Servicio de atención a incidentes y emergencias.</v>
      </c>
      <c r="Z342" s="161" t="str">
        <f>CONCATENATE(X342,"-",Y342)</f>
        <v>04-Servicio de atención a incidentes y emergencias.</v>
      </c>
      <c r="AA342" s="159" t="s">
        <v>221</v>
      </c>
      <c r="AB342" s="160" t="str">
        <f>IFERROR(VLOOKUP(AA342,TD!$N$51:$O$66,2,0)," ")</f>
        <v>Servicio de atención a emergencias y desastres</v>
      </c>
      <c r="AC342" s="161" t="str">
        <f>CONCATENATE(AA342,"_",AB342)</f>
        <v>004_Servicio de atención a emergencias y desastres</v>
      </c>
      <c r="AD342" s="161" t="str">
        <f>CONCATENATE(Z342," ",AC342)</f>
        <v>04-Servicio de atención a incidentes y emergencias. 004_Servicio de atención a emergencias y desastres</v>
      </c>
      <c r="AE342" s="160" t="str">
        <f>CONCATENATE(U342,V342,W342,X342,AA342)</f>
        <v>O23011745032024025504004</v>
      </c>
      <c r="AF342" s="160" t="str">
        <f>IFERROR(VLOOKUP(AD342,TD!$J$66:$K$89,2,0)," ")</f>
        <v>PM/0131/0104/45030040255</v>
      </c>
      <c r="AG342" s="118" t="s">
        <v>385</v>
      </c>
      <c r="AH342" s="159" t="s">
        <v>193</v>
      </c>
      <c r="AI342" s="162" t="str">
        <f>CONCATENATE(PAA[[#This Row],[Id Interno]],"-",PAA[[#This Row],[tipo de Contrato (TH talento humano - B/S bienes y/o servicios)]],"-",S342,"-",T342,"-",PAA[[#This Row],[Objeto de la contratación]])</f>
        <v>20260301-TH-8173-2-Prestar servicios profesionales  para apoyar el fortalecimiento, articulación, seguimiento y gestión de los proyectos de inversión,  planes e indicadores de gestión, para el desarrollo de los programas de la Subdirección Operativa-S.O.</v>
      </c>
    </row>
    <row r="343" spans="2:35" ht="70" x14ac:dyDescent="0.35">
      <c r="B343" s="23">
        <v>20260302</v>
      </c>
      <c r="C343" s="99" t="s">
        <v>892</v>
      </c>
      <c r="D343" s="99" t="s">
        <v>105</v>
      </c>
      <c r="E343" s="99" t="s">
        <v>363</v>
      </c>
      <c r="F343" s="157" t="s">
        <v>144</v>
      </c>
      <c r="G343" s="157" t="s">
        <v>373</v>
      </c>
      <c r="H343" s="164">
        <v>8</v>
      </c>
      <c r="I343" s="164">
        <v>0</v>
      </c>
      <c r="J343" s="118">
        <v>37600000</v>
      </c>
      <c r="K343" s="126" t="s">
        <v>398</v>
      </c>
      <c r="L343" s="157" t="s">
        <v>158</v>
      </c>
      <c r="M343" s="163" t="s">
        <v>421</v>
      </c>
      <c r="N343" s="99" t="s">
        <v>198</v>
      </c>
      <c r="O343" s="151" t="s">
        <v>964</v>
      </c>
      <c r="P343" s="157" t="s">
        <v>348</v>
      </c>
      <c r="Q343" s="128">
        <v>80111600</v>
      </c>
      <c r="R343" s="163" t="s">
        <v>211</v>
      </c>
      <c r="S343" s="159" t="str">
        <f>MID(PAA[[#This Row],[Meta Proyecto de Inversión]],1,4)</f>
        <v>8173</v>
      </c>
      <c r="T343" s="159" t="str">
        <f>MID(PAA[[#This Row],[Meta Proyecto de Inversión]],6,1)</f>
        <v>2</v>
      </c>
      <c r="U343" s="160" t="str">
        <f>IFERROR(VLOOKUP(N343,TD!$B$50:$F$54,2,0)," ")</f>
        <v>O230117</v>
      </c>
      <c r="V343" s="160" t="str">
        <f>IFERROR(VLOOKUP(N343,TD!$B$50:$F$54,3,0)," ")</f>
        <v>4503</v>
      </c>
      <c r="W343" s="160">
        <f>IFERROR(VLOOKUP(N343,TD!$B$50:$F$54,4,0)," ")</f>
        <v>20240255</v>
      </c>
      <c r="X343" s="159" t="s">
        <v>164</v>
      </c>
      <c r="Y343" s="160" t="str">
        <f>IFERROR(VLOOKUP(X343,TD!$J$51:$K$64,2,0)," ")</f>
        <v>Servicio de atención a incidentes y emergencias.</v>
      </c>
      <c r="Z343" s="161" t="str">
        <f>CONCATENATE(X343,"-",Y343)</f>
        <v>04-Servicio de atención a incidentes y emergencias.</v>
      </c>
      <c r="AA343" s="159" t="s">
        <v>221</v>
      </c>
      <c r="AB343" s="160" t="str">
        <f>IFERROR(VLOOKUP(AA343,TD!$N$51:$O$66,2,0)," ")</f>
        <v>Servicio de atención a emergencias y desastres</v>
      </c>
      <c r="AC343" s="161" t="str">
        <f>CONCATENATE(AA343,"_",AB343)</f>
        <v>004_Servicio de atención a emergencias y desastres</v>
      </c>
      <c r="AD343" s="161" t="str">
        <f>CONCATENATE(Z343," ",AC343)</f>
        <v>04-Servicio de atención a incidentes y emergencias. 004_Servicio de atención a emergencias y desastres</v>
      </c>
      <c r="AE343" s="160" t="str">
        <f>CONCATENATE(U343,V343,W343,X343,AA343)</f>
        <v>O23011745032024025504004</v>
      </c>
      <c r="AF343" s="160" t="str">
        <f>IFERROR(VLOOKUP(AD343,TD!$J$66:$K$89,2,0)," ")</f>
        <v>PM/0131/0104/45030040255</v>
      </c>
      <c r="AG343" s="118" t="s">
        <v>385</v>
      </c>
      <c r="AH343" s="159" t="s">
        <v>193</v>
      </c>
      <c r="AI343" s="162" t="str">
        <f>CONCATENATE(PAA[[#This Row],[Id Interno]],"-",PAA[[#This Row],[tipo de Contrato (TH talento humano - B/S bienes y/o servicios)]],"-",S343,"-",T343,"-",PAA[[#This Row],[Objeto de la contratación]])</f>
        <v>20260302-TH-8173-2-Prestación de servicios profesionales para realizar el seguimiento, verificación, control y  diligenciamiento de los requerimientos propios, en los sistemas de información de la Entidad, para el desarrollo de los programas de la Subdirección Operativa-S.O.</v>
      </c>
    </row>
    <row r="344" spans="2:35" ht="56" x14ac:dyDescent="0.35">
      <c r="B344" s="23">
        <v>20260303</v>
      </c>
      <c r="C344" s="99" t="s">
        <v>893</v>
      </c>
      <c r="D344" s="99" t="s">
        <v>105</v>
      </c>
      <c r="E344" s="99" t="s">
        <v>363</v>
      </c>
      <c r="F344" s="157" t="s">
        <v>144</v>
      </c>
      <c r="G344" s="157" t="s">
        <v>373</v>
      </c>
      <c r="H344" s="164">
        <v>10</v>
      </c>
      <c r="I344" s="164">
        <v>0</v>
      </c>
      <c r="J344" s="118">
        <v>97000000</v>
      </c>
      <c r="K344" s="126" t="s">
        <v>398</v>
      </c>
      <c r="L344" s="157" t="s">
        <v>158</v>
      </c>
      <c r="M344" s="163" t="s">
        <v>421</v>
      </c>
      <c r="N344" s="99" t="s">
        <v>198</v>
      </c>
      <c r="O344" s="151" t="s">
        <v>964</v>
      </c>
      <c r="P344" s="157" t="s">
        <v>348</v>
      </c>
      <c r="Q344" s="128">
        <v>80111600</v>
      </c>
      <c r="R344" s="163" t="s">
        <v>211</v>
      </c>
      <c r="S344" s="159" t="str">
        <f>MID(PAA[[#This Row],[Meta Proyecto de Inversión]],1,4)</f>
        <v>8173</v>
      </c>
      <c r="T344" s="159" t="str">
        <f>MID(PAA[[#This Row],[Meta Proyecto de Inversión]],6,1)</f>
        <v>2</v>
      </c>
      <c r="U344" s="160" t="str">
        <f>IFERROR(VLOOKUP(N344,TD!$B$50:$F$54,2,0)," ")</f>
        <v>O230117</v>
      </c>
      <c r="V344" s="160" t="str">
        <f>IFERROR(VLOOKUP(N344,TD!$B$50:$F$54,3,0)," ")</f>
        <v>4503</v>
      </c>
      <c r="W344" s="160">
        <f>IFERROR(VLOOKUP(N344,TD!$B$50:$F$54,4,0)," ")</f>
        <v>20240255</v>
      </c>
      <c r="X344" s="159" t="s">
        <v>164</v>
      </c>
      <c r="Y344" s="160" t="str">
        <f>IFERROR(VLOOKUP(X344,TD!$J$51:$K$64,2,0)," ")</f>
        <v>Servicio de atención a incidentes y emergencias.</v>
      </c>
      <c r="Z344" s="161" t="str">
        <f>CONCATENATE(X344,"-",Y344)</f>
        <v>04-Servicio de atención a incidentes y emergencias.</v>
      </c>
      <c r="AA344" s="159" t="s">
        <v>221</v>
      </c>
      <c r="AB344" s="160" t="str">
        <f>IFERROR(VLOOKUP(AA344,TD!$N$51:$O$66,2,0)," ")</f>
        <v>Servicio de atención a emergencias y desastres</v>
      </c>
      <c r="AC344" s="161" t="str">
        <f>CONCATENATE(AA344,"_",AB344)</f>
        <v>004_Servicio de atención a emergencias y desastres</v>
      </c>
      <c r="AD344" s="161" t="str">
        <f>CONCATENATE(Z344," ",AC344)</f>
        <v>04-Servicio de atención a incidentes y emergencias. 004_Servicio de atención a emergencias y desastres</v>
      </c>
      <c r="AE344" s="160" t="str">
        <f>CONCATENATE(U344,V344,W344,X344,AA344)</f>
        <v>O23011745032024025504004</v>
      </c>
      <c r="AF344" s="160" t="str">
        <f>IFERROR(VLOOKUP(AD344,TD!$J$66:$K$89,2,0)," ")</f>
        <v>PM/0131/0104/45030040255</v>
      </c>
      <c r="AG344" s="118" t="s">
        <v>385</v>
      </c>
      <c r="AH344" s="159" t="s">
        <v>193</v>
      </c>
      <c r="AI344" s="162" t="str">
        <f>CONCATENATE(PAA[[#This Row],[Id Interno]],"-",PAA[[#This Row],[tipo de Contrato (TH talento humano - B/S bienes y/o servicios)]],"-",S344,"-",T344,"-",PAA[[#This Row],[Objeto de la contratación]])</f>
        <v>20260303-TH-8173-2-Prestación de servicios profesionales para liderar y gestionar los temas operativos, incluyendo  el trabajo articulado con tecnología para implementar el sistema de información   de emergencias,  para el desarrollo de los programas  de la Subdirección Operativa-S.O.</v>
      </c>
    </row>
    <row r="345" spans="2:35" ht="56" x14ac:dyDescent="0.35">
      <c r="B345" s="23">
        <v>20260304</v>
      </c>
      <c r="C345" s="99" t="s">
        <v>894</v>
      </c>
      <c r="D345" s="99" t="s">
        <v>105</v>
      </c>
      <c r="E345" s="99" t="s">
        <v>363</v>
      </c>
      <c r="F345" s="157" t="s">
        <v>144</v>
      </c>
      <c r="G345" s="157" t="s">
        <v>373</v>
      </c>
      <c r="H345" s="164">
        <v>8</v>
      </c>
      <c r="I345" s="164">
        <v>0</v>
      </c>
      <c r="J345" s="118">
        <v>44800000</v>
      </c>
      <c r="K345" s="126" t="s">
        <v>398</v>
      </c>
      <c r="L345" s="157" t="s">
        <v>158</v>
      </c>
      <c r="M345" s="163" t="s">
        <v>421</v>
      </c>
      <c r="N345" s="99" t="s">
        <v>198</v>
      </c>
      <c r="O345" s="151" t="s">
        <v>964</v>
      </c>
      <c r="P345" s="157" t="s">
        <v>348</v>
      </c>
      <c r="Q345" s="128">
        <v>80111600</v>
      </c>
      <c r="R345" s="163" t="s">
        <v>211</v>
      </c>
      <c r="S345" s="159" t="str">
        <f>MID(PAA[[#This Row],[Meta Proyecto de Inversión]],1,4)</f>
        <v>8173</v>
      </c>
      <c r="T345" s="159" t="str">
        <f>MID(PAA[[#This Row],[Meta Proyecto de Inversión]],6,1)</f>
        <v>2</v>
      </c>
      <c r="U345" s="160" t="str">
        <f>IFERROR(VLOOKUP(N345,TD!$B$50:$F$54,2,0)," ")</f>
        <v>O230117</v>
      </c>
      <c r="V345" s="160" t="str">
        <f>IFERROR(VLOOKUP(N345,TD!$B$50:$F$54,3,0)," ")</f>
        <v>4503</v>
      </c>
      <c r="W345" s="160">
        <f>IFERROR(VLOOKUP(N345,TD!$B$50:$F$54,4,0)," ")</f>
        <v>20240255</v>
      </c>
      <c r="X345" s="159" t="s">
        <v>164</v>
      </c>
      <c r="Y345" s="160" t="str">
        <f>IFERROR(VLOOKUP(X345,TD!$J$51:$K$64,2,0)," ")</f>
        <v>Servicio de atención a incidentes y emergencias.</v>
      </c>
      <c r="Z345" s="161" t="str">
        <f>CONCATENATE(X345,"-",Y345)</f>
        <v>04-Servicio de atención a incidentes y emergencias.</v>
      </c>
      <c r="AA345" s="159" t="s">
        <v>221</v>
      </c>
      <c r="AB345" s="160" t="str">
        <f>IFERROR(VLOOKUP(AA345,TD!$N$51:$O$66,2,0)," ")</f>
        <v>Servicio de atención a emergencias y desastres</v>
      </c>
      <c r="AC345" s="161" t="str">
        <f>CONCATENATE(AA345,"_",AB345)</f>
        <v>004_Servicio de atención a emergencias y desastres</v>
      </c>
      <c r="AD345" s="161" t="str">
        <f>CONCATENATE(Z345," ",AC345)</f>
        <v>04-Servicio de atención a incidentes y emergencias. 004_Servicio de atención a emergencias y desastres</v>
      </c>
      <c r="AE345" s="160" t="str">
        <f>CONCATENATE(U345,V345,W345,X345,AA345)</f>
        <v>O23011745032024025504004</v>
      </c>
      <c r="AF345" s="160" t="str">
        <f>IFERROR(VLOOKUP(AD345,TD!$J$66:$K$89,2,0)," ")</f>
        <v>PM/0131/0104/45030040255</v>
      </c>
      <c r="AG345" s="118" t="s">
        <v>385</v>
      </c>
      <c r="AH345" s="159" t="s">
        <v>193</v>
      </c>
      <c r="AI345" s="162" t="str">
        <f>CONCATENATE(PAA[[#This Row],[Id Interno]],"-",PAA[[#This Row],[tipo de Contrato (TH talento humano - B/S bienes y/o servicios)]],"-",S345,"-",T345,"-",PAA[[#This Row],[Objeto de la contratación]])</f>
        <v>20260304-TH-8173-2-Prestación de servicios profesionales para la elaboración, diagramación de piezas gráficas con estilos de textos e informes requeridos frente a los procesos y procedimientos, para el desarrollo de los programas de la Subdirección Operativa-S.O.</v>
      </c>
    </row>
    <row r="346" spans="2:35" ht="56" x14ac:dyDescent="0.35">
      <c r="B346" s="23">
        <v>20260305</v>
      </c>
      <c r="C346" s="99" t="s">
        <v>895</v>
      </c>
      <c r="D346" s="99" t="s">
        <v>105</v>
      </c>
      <c r="E346" s="99" t="s">
        <v>363</v>
      </c>
      <c r="F346" s="157" t="s">
        <v>144</v>
      </c>
      <c r="G346" s="157" t="s">
        <v>373</v>
      </c>
      <c r="H346" s="164">
        <v>9</v>
      </c>
      <c r="I346" s="164">
        <v>0</v>
      </c>
      <c r="J346" s="118">
        <v>29700000</v>
      </c>
      <c r="K346" s="126" t="s">
        <v>398</v>
      </c>
      <c r="L346" s="157" t="s">
        <v>158</v>
      </c>
      <c r="M346" s="163" t="s">
        <v>421</v>
      </c>
      <c r="N346" s="99" t="s">
        <v>198</v>
      </c>
      <c r="O346" s="151" t="s">
        <v>964</v>
      </c>
      <c r="P346" s="157" t="s">
        <v>348</v>
      </c>
      <c r="Q346" s="128">
        <v>80111600</v>
      </c>
      <c r="R346" s="163" t="s">
        <v>211</v>
      </c>
      <c r="S346" s="159" t="str">
        <f>MID(PAA[[#This Row],[Meta Proyecto de Inversión]],1,4)</f>
        <v>8173</v>
      </c>
      <c r="T346" s="159" t="str">
        <f>MID(PAA[[#This Row],[Meta Proyecto de Inversión]],6,1)</f>
        <v>2</v>
      </c>
      <c r="U346" s="160" t="str">
        <f>IFERROR(VLOOKUP(N346,TD!$B$50:$F$54,2,0)," ")</f>
        <v>O230117</v>
      </c>
      <c r="V346" s="160" t="str">
        <f>IFERROR(VLOOKUP(N346,TD!$B$50:$F$54,3,0)," ")</f>
        <v>4503</v>
      </c>
      <c r="W346" s="160">
        <f>IFERROR(VLOOKUP(N346,TD!$B$50:$F$54,4,0)," ")</f>
        <v>20240255</v>
      </c>
      <c r="X346" s="159" t="s">
        <v>164</v>
      </c>
      <c r="Y346" s="160" t="str">
        <f>IFERROR(VLOOKUP(X346,TD!$J$51:$K$64,2,0)," ")</f>
        <v>Servicio de atención a incidentes y emergencias.</v>
      </c>
      <c r="Z346" s="161" t="str">
        <f>CONCATENATE(X346,"-",Y346)</f>
        <v>04-Servicio de atención a incidentes y emergencias.</v>
      </c>
      <c r="AA346" s="159" t="s">
        <v>221</v>
      </c>
      <c r="AB346" s="160" t="str">
        <f>IFERROR(VLOOKUP(AA346,TD!$N$51:$O$66,2,0)," ")</f>
        <v>Servicio de atención a emergencias y desastres</v>
      </c>
      <c r="AC346" s="161" t="str">
        <f>CONCATENATE(AA346,"_",AB346)</f>
        <v>004_Servicio de atención a emergencias y desastres</v>
      </c>
      <c r="AD346" s="161" t="str">
        <f>CONCATENATE(Z346," ",AC346)</f>
        <v>04-Servicio de atención a incidentes y emergencias. 004_Servicio de atención a emergencias y desastres</v>
      </c>
      <c r="AE346" s="160" t="str">
        <f>CONCATENATE(U346,V346,W346,X346,AA346)</f>
        <v>O23011745032024025504004</v>
      </c>
      <c r="AF346" s="160" t="str">
        <f>IFERROR(VLOOKUP(AD346,TD!$J$66:$K$89,2,0)," ")</f>
        <v>PM/0131/0104/45030040255</v>
      </c>
      <c r="AG346" s="118" t="s">
        <v>385</v>
      </c>
      <c r="AH346" s="159" t="s">
        <v>193</v>
      </c>
      <c r="AI346" s="162" t="str">
        <f>CONCATENATE(PAA[[#This Row],[Id Interno]],"-",PAA[[#This Row],[tipo de Contrato (TH talento humano - B/S bienes y/o servicios)]],"-",S346,"-",T346,"-",PAA[[#This Row],[Objeto de la contratación]])</f>
        <v>20260305-TH-8173-2-Prestación de servicios de apoyo para ejecutar las actividades administrativas, trámite, seguimiento y verificación de solicitudes recibidas en el canal de comunicación de gestión operativa para el desarrollo de los programas de la Subdirección Operativa-S.O.</v>
      </c>
    </row>
    <row r="347" spans="2:35" ht="56" x14ac:dyDescent="0.35">
      <c r="B347" s="23">
        <v>20260306</v>
      </c>
      <c r="C347" s="99" t="s">
        <v>896</v>
      </c>
      <c r="D347" s="99" t="s">
        <v>105</v>
      </c>
      <c r="E347" s="99" t="s">
        <v>363</v>
      </c>
      <c r="F347" s="157" t="s">
        <v>144</v>
      </c>
      <c r="G347" s="157" t="s">
        <v>373</v>
      </c>
      <c r="H347" s="164">
        <v>10</v>
      </c>
      <c r="I347" s="164">
        <v>0</v>
      </c>
      <c r="J347" s="118">
        <v>67000000</v>
      </c>
      <c r="K347" s="126" t="s">
        <v>398</v>
      </c>
      <c r="L347" s="157" t="s">
        <v>158</v>
      </c>
      <c r="M347" s="163" t="s">
        <v>421</v>
      </c>
      <c r="N347" s="99" t="s">
        <v>198</v>
      </c>
      <c r="O347" s="151" t="s">
        <v>964</v>
      </c>
      <c r="P347" s="157" t="s">
        <v>348</v>
      </c>
      <c r="Q347" s="128">
        <v>80111600</v>
      </c>
      <c r="R347" s="163" t="s">
        <v>211</v>
      </c>
      <c r="S347" s="159" t="str">
        <f>MID(PAA[[#This Row],[Meta Proyecto de Inversión]],1,4)</f>
        <v>8173</v>
      </c>
      <c r="T347" s="159" t="str">
        <f>MID(PAA[[#This Row],[Meta Proyecto de Inversión]],6,1)</f>
        <v>2</v>
      </c>
      <c r="U347" s="160" t="str">
        <f>IFERROR(VLOOKUP(N347,TD!$B$50:$F$54,2,0)," ")</f>
        <v>O230117</v>
      </c>
      <c r="V347" s="160" t="str">
        <f>IFERROR(VLOOKUP(N347,TD!$B$50:$F$54,3,0)," ")</f>
        <v>4503</v>
      </c>
      <c r="W347" s="160">
        <f>IFERROR(VLOOKUP(N347,TD!$B$50:$F$54,4,0)," ")</f>
        <v>20240255</v>
      </c>
      <c r="X347" s="159" t="s">
        <v>164</v>
      </c>
      <c r="Y347" s="160" t="str">
        <f>IFERROR(VLOOKUP(X347,TD!$J$51:$K$64,2,0)," ")</f>
        <v>Servicio de atención a incidentes y emergencias.</v>
      </c>
      <c r="Z347" s="161" t="str">
        <f>CONCATENATE(X347,"-",Y347)</f>
        <v>04-Servicio de atención a incidentes y emergencias.</v>
      </c>
      <c r="AA347" s="159" t="s">
        <v>221</v>
      </c>
      <c r="AB347" s="160" t="str">
        <f>IFERROR(VLOOKUP(AA347,TD!$N$51:$O$66,2,0)," ")</f>
        <v>Servicio de atención a emergencias y desastres</v>
      </c>
      <c r="AC347" s="161" t="str">
        <f>CONCATENATE(AA347,"_",AB347)</f>
        <v>004_Servicio de atención a emergencias y desastres</v>
      </c>
      <c r="AD347" s="161" t="str">
        <f>CONCATENATE(Z347," ",AC347)</f>
        <v>04-Servicio de atención a incidentes y emergencias. 004_Servicio de atención a emergencias y desastres</v>
      </c>
      <c r="AE347" s="160" t="str">
        <f>CONCATENATE(U347,V347,W347,X347,AA347)</f>
        <v>O23011745032024025504004</v>
      </c>
      <c r="AF347" s="160" t="str">
        <f>IFERROR(VLOOKUP(AD347,TD!$J$66:$K$89,2,0)," ")</f>
        <v>PM/0131/0104/45030040255</v>
      </c>
      <c r="AG347" s="118" t="s">
        <v>385</v>
      </c>
      <c r="AH347" s="159" t="s">
        <v>193</v>
      </c>
      <c r="AI347" s="162" t="str">
        <f>CONCATENATE(PAA[[#This Row],[Id Interno]],"-",PAA[[#This Row],[tipo de Contrato (TH talento humano - B/S bienes y/o servicios)]],"-",S347,"-",T347,"-",PAA[[#This Row],[Objeto de la contratación]])</f>
        <v>20260306-TH-8173-2-Prestación de servicios profesionales para ejecutar las actividades relacionadas con el sistema de gestión de calidad, el sistema ambiental y el sistema de control interno, para el desarrollo los programas de la Subdireccion Operativa-S.O.</v>
      </c>
    </row>
    <row r="348" spans="2:35" ht="56" x14ac:dyDescent="0.35">
      <c r="B348" s="23">
        <v>20260307</v>
      </c>
      <c r="C348" s="99" t="s">
        <v>897</v>
      </c>
      <c r="D348" s="99" t="s">
        <v>105</v>
      </c>
      <c r="E348" s="99" t="s">
        <v>363</v>
      </c>
      <c r="F348" s="157" t="s">
        <v>144</v>
      </c>
      <c r="G348" s="157" t="s">
        <v>373</v>
      </c>
      <c r="H348" s="164">
        <v>10</v>
      </c>
      <c r="I348" s="164">
        <v>0</v>
      </c>
      <c r="J348" s="118">
        <v>67000000</v>
      </c>
      <c r="K348" s="126" t="s">
        <v>398</v>
      </c>
      <c r="L348" s="157" t="s">
        <v>158</v>
      </c>
      <c r="M348" s="163" t="s">
        <v>421</v>
      </c>
      <c r="N348" s="99" t="s">
        <v>198</v>
      </c>
      <c r="O348" s="151" t="s">
        <v>964</v>
      </c>
      <c r="P348" s="157" t="s">
        <v>348</v>
      </c>
      <c r="Q348" s="128">
        <v>80111600</v>
      </c>
      <c r="R348" s="163" t="s">
        <v>211</v>
      </c>
      <c r="S348" s="159" t="str">
        <f>MID(PAA[[#This Row],[Meta Proyecto de Inversión]],1,4)</f>
        <v>8173</v>
      </c>
      <c r="T348" s="159" t="str">
        <f>MID(PAA[[#This Row],[Meta Proyecto de Inversión]],6,1)</f>
        <v>2</v>
      </c>
      <c r="U348" s="160" t="str">
        <f>IFERROR(VLOOKUP(N348,TD!$B$50:$F$54,2,0)," ")</f>
        <v>O230117</v>
      </c>
      <c r="V348" s="160" t="str">
        <f>IFERROR(VLOOKUP(N348,TD!$B$50:$F$54,3,0)," ")</f>
        <v>4503</v>
      </c>
      <c r="W348" s="160">
        <f>IFERROR(VLOOKUP(N348,TD!$B$50:$F$54,4,0)," ")</f>
        <v>20240255</v>
      </c>
      <c r="X348" s="159" t="s">
        <v>164</v>
      </c>
      <c r="Y348" s="160" t="str">
        <f>IFERROR(VLOOKUP(X348,TD!$J$51:$K$64,2,0)," ")</f>
        <v>Servicio de atención a incidentes y emergencias.</v>
      </c>
      <c r="Z348" s="161" t="str">
        <f>CONCATENATE(X348,"-",Y348)</f>
        <v>04-Servicio de atención a incidentes y emergencias.</v>
      </c>
      <c r="AA348" s="159" t="s">
        <v>221</v>
      </c>
      <c r="AB348" s="160" t="str">
        <f>IFERROR(VLOOKUP(AA348,TD!$N$51:$O$66,2,0)," ")</f>
        <v>Servicio de atención a emergencias y desastres</v>
      </c>
      <c r="AC348" s="161" t="str">
        <f>CONCATENATE(AA348,"_",AB348)</f>
        <v>004_Servicio de atención a emergencias y desastres</v>
      </c>
      <c r="AD348" s="161" t="str">
        <f>CONCATENATE(Z348," ",AC348)</f>
        <v>04-Servicio de atención a incidentes y emergencias. 004_Servicio de atención a emergencias y desastres</v>
      </c>
      <c r="AE348" s="160" t="str">
        <f>CONCATENATE(U348,V348,W348,X348,AA348)</f>
        <v>O23011745032024025504004</v>
      </c>
      <c r="AF348" s="160" t="str">
        <f>IFERROR(VLOOKUP(AD348,TD!$J$66:$K$89,2,0)," ")</f>
        <v>PM/0131/0104/45030040255</v>
      </c>
      <c r="AG348" s="118" t="s">
        <v>385</v>
      </c>
      <c r="AH348" s="159" t="s">
        <v>193</v>
      </c>
      <c r="AI348" s="162" t="str">
        <f>CONCATENATE(PAA[[#This Row],[Id Interno]],"-",PAA[[#This Row],[tipo de Contrato (TH talento humano - B/S bienes y/o servicios)]],"-",S348,"-",T348,"-",PAA[[#This Row],[Objeto de la contratación]])</f>
        <v>20260307-TH-8173-2-Prestación de servicios profesionales para ejecutar las actividades misionales en la elaboración, implementación,  ajuste y diagramación de las piezas graficas requeridas para los planes, proyectos y procedimientos, para el desarrollo de los programas de la Subdirección Operativa-S.O.</v>
      </c>
    </row>
    <row r="349" spans="2:35" ht="56" x14ac:dyDescent="0.35">
      <c r="B349" s="23">
        <v>20260308</v>
      </c>
      <c r="C349" s="99" t="s">
        <v>502</v>
      </c>
      <c r="D349" s="99" t="s">
        <v>105</v>
      </c>
      <c r="E349" s="99" t="s">
        <v>363</v>
      </c>
      <c r="F349" s="157" t="s">
        <v>144</v>
      </c>
      <c r="G349" s="157" t="s">
        <v>373</v>
      </c>
      <c r="H349" s="164">
        <v>4</v>
      </c>
      <c r="I349" s="164">
        <v>15</v>
      </c>
      <c r="J349" s="118">
        <v>29250000</v>
      </c>
      <c r="K349" s="126" t="s">
        <v>398</v>
      </c>
      <c r="L349" s="157" t="s">
        <v>158</v>
      </c>
      <c r="M349" s="163" t="s">
        <v>421</v>
      </c>
      <c r="N349" s="99" t="s">
        <v>198</v>
      </c>
      <c r="O349" s="151" t="s">
        <v>964</v>
      </c>
      <c r="P349" s="157" t="s">
        <v>348</v>
      </c>
      <c r="Q349" s="128">
        <v>80111600</v>
      </c>
      <c r="R349" s="163" t="s">
        <v>211</v>
      </c>
      <c r="S349" s="159" t="str">
        <f>MID(PAA[[#This Row],[Meta Proyecto de Inversión]],1,4)</f>
        <v>8173</v>
      </c>
      <c r="T349" s="159" t="str">
        <f>MID(PAA[[#This Row],[Meta Proyecto de Inversión]],6,1)</f>
        <v>2</v>
      </c>
      <c r="U349" s="160" t="str">
        <f>IFERROR(VLOOKUP(N349,TD!$B$50:$F$54,2,0)," ")</f>
        <v>O230117</v>
      </c>
      <c r="V349" s="160" t="str">
        <f>IFERROR(VLOOKUP(N349,TD!$B$50:$F$54,3,0)," ")</f>
        <v>4503</v>
      </c>
      <c r="W349" s="160">
        <f>IFERROR(VLOOKUP(N349,TD!$B$50:$F$54,4,0)," ")</f>
        <v>20240255</v>
      </c>
      <c r="X349" s="159" t="s">
        <v>164</v>
      </c>
      <c r="Y349" s="160" t="str">
        <f>IFERROR(VLOOKUP(X349,TD!$J$51:$K$64,2,0)," ")</f>
        <v>Servicio de atención a incidentes y emergencias.</v>
      </c>
      <c r="Z349" s="161" t="str">
        <f>CONCATENATE(X349,"-",Y349)</f>
        <v>04-Servicio de atención a incidentes y emergencias.</v>
      </c>
      <c r="AA349" s="159" t="s">
        <v>221</v>
      </c>
      <c r="AB349" s="160" t="str">
        <f>IFERROR(VLOOKUP(AA349,TD!$N$51:$O$66,2,0)," ")</f>
        <v>Servicio de atención a emergencias y desastres</v>
      </c>
      <c r="AC349" s="161" t="str">
        <f>CONCATENATE(AA349,"_",AB349)</f>
        <v>004_Servicio de atención a emergencias y desastres</v>
      </c>
      <c r="AD349" s="161" t="str">
        <f>CONCATENATE(Z349," ",AC349)</f>
        <v>04-Servicio de atención a incidentes y emergencias. 004_Servicio de atención a emergencias y desastres</v>
      </c>
      <c r="AE349" s="160" t="str">
        <f>CONCATENATE(U349,V349,W349,X349,AA349)</f>
        <v>O23011745032024025504004</v>
      </c>
      <c r="AF349" s="160" t="str">
        <f>IFERROR(VLOOKUP(AD349,TD!$J$66:$K$89,2,0)," ")</f>
        <v>PM/0131/0104/45030040255</v>
      </c>
      <c r="AG349" s="118" t="s">
        <v>385</v>
      </c>
      <c r="AH349" s="159" t="s">
        <v>194</v>
      </c>
      <c r="AI349" s="162" t="str">
        <f>CONCATENATE(PAA[[#This Row],[Id Interno]],"-",PAA[[#This Row],[tipo de Contrato (TH talento humano - B/S bienes y/o servicios)]],"-",S349,"-",T349,"-",PAA[[#This Row],[Objeto de la contratación]])</f>
        <v>20260308-TH-8173-2-ADICIÓN Y PRÓRROGA al contrato de prestación de servicios # 367-2025, cuyo objeto es:Prestación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v>
      </c>
    </row>
    <row r="350" spans="2:35" ht="56" x14ac:dyDescent="0.35">
      <c r="B350" s="23">
        <v>20260309</v>
      </c>
      <c r="C350" s="99" t="s">
        <v>503</v>
      </c>
      <c r="D350" s="99" t="s">
        <v>105</v>
      </c>
      <c r="E350" s="99" t="s">
        <v>363</v>
      </c>
      <c r="F350" s="157" t="s">
        <v>144</v>
      </c>
      <c r="G350" s="157" t="s">
        <v>373</v>
      </c>
      <c r="H350" s="164">
        <v>4</v>
      </c>
      <c r="I350" s="164">
        <v>15</v>
      </c>
      <c r="J350" s="118">
        <v>31500000</v>
      </c>
      <c r="K350" s="126" t="s">
        <v>398</v>
      </c>
      <c r="L350" s="157" t="s">
        <v>158</v>
      </c>
      <c r="M350" s="163" t="s">
        <v>421</v>
      </c>
      <c r="N350" s="99" t="s">
        <v>198</v>
      </c>
      <c r="O350" s="151" t="s">
        <v>964</v>
      </c>
      <c r="P350" s="157" t="s">
        <v>348</v>
      </c>
      <c r="Q350" s="128">
        <v>80111600</v>
      </c>
      <c r="R350" s="163" t="s">
        <v>211</v>
      </c>
      <c r="S350" s="159" t="str">
        <f>MID(PAA[[#This Row],[Meta Proyecto de Inversión]],1,4)</f>
        <v>8173</v>
      </c>
      <c r="T350" s="159" t="str">
        <f>MID(PAA[[#This Row],[Meta Proyecto de Inversión]],6,1)</f>
        <v>2</v>
      </c>
      <c r="U350" s="160" t="str">
        <f>IFERROR(VLOOKUP(N350,TD!$B$50:$F$54,2,0)," ")</f>
        <v>O230117</v>
      </c>
      <c r="V350" s="160" t="str">
        <f>IFERROR(VLOOKUP(N350,TD!$B$50:$F$54,3,0)," ")</f>
        <v>4503</v>
      </c>
      <c r="W350" s="160">
        <f>IFERROR(VLOOKUP(N350,TD!$B$50:$F$54,4,0)," ")</f>
        <v>20240255</v>
      </c>
      <c r="X350" s="159" t="s">
        <v>164</v>
      </c>
      <c r="Y350" s="160" t="str">
        <f>IFERROR(VLOOKUP(X350,TD!$J$51:$K$64,2,0)," ")</f>
        <v>Servicio de atención a incidentes y emergencias.</v>
      </c>
      <c r="Z350" s="161" t="str">
        <f>CONCATENATE(X350,"-",Y350)</f>
        <v>04-Servicio de atención a incidentes y emergencias.</v>
      </c>
      <c r="AA350" s="159" t="s">
        <v>221</v>
      </c>
      <c r="AB350" s="160" t="str">
        <f>IFERROR(VLOOKUP(AA350,TD!$N$51:$O$66,2,0)," ")</f>
        <v>Servicio de atención a emergencias y desastres</v>
      </c>
      <c r="AC350" s="161" t="str">
        <f>CONCATENATE(AA350,"_",AB350)</f>
        <v>004_Servicio de atención a emergencias y desastres</v>
      </c>
      <c r="AD350" s="161" t="str">
        <f>CONCATENATE(Z350," ",AC350)</f>
        <v>04-Servicio de atención a incidentes y emergencias. 004_Servicio de atención a emergencias y desastres</v>
      </c>
      <c r="AE350" s="160" t="str">
        <f>CONCATENATE(U350,V350,W350,X350,AA350)</f>
        <v>O23011745032024025504004</v>
      </c>
      <c r="AF350" s="160" t="str">
        <f>IFERROR(VLOOKUP(AD350,TD!$J$66:$K$89,2,0)," ")</f>
        <v>PM/0131/0104/45030040255</v>
      </c>
      <c r="AG350" s="118" t="s">
        <v>385</v>
      </c>
      <c r="AH350" s="159" t="s">
        <v>194</v>
      </c>
      <c r="AI350" s="162" t="str">
        <f>CONCATENATE(PAA[[#This Row],[Id Interno]],"-",PAA[[#This Row],[tipo de Contrato (TH talento humano - B/S bienes y/o servicios)]],"-",S350,"-",T350,"-",PAA[[#This Row],[Objeto de la contratación]])</f>
        <v>20260309-TH-8173-2-ADICIÓN Y PRÓRROGA al contrato de prestación de servicios # 373-2025, cuyo objeto es: 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v>
      </c>
    </row>
    <row r="351" spans="2:35" ht="56" x14ac:dyDescent="0.35">
      <c r="B351" s="23">
        <v>20260310</v>
      </c>
      <c r="C351" s="99" t="s">
        <v>898</v>
      </c>
      <c r="D351" s="99" t="s">
        <v>105</v>
      </c>
      <c r="E351" s="99" t="s">
        <v>363</v>
      </c>
      <c r="F351" s="157" t="s">
        <v>144</v>
      </c>
      <c r="G351" s="157" t="s">
        <v>373</v>
      </c>
      <c r="H351" s="164">
        <v>8</v>
      </c>
      <c r="I351" s="164">
        <v>0</v>
      </c>
      <c r="J351" s="118">
        <v>57600000</v>
      </c>
      <c r="K351" s="126" t="s">
        <v>398</v>
      </c>
      <c r="L351" s="157" t="s">
        <v>158</v>
      </c>
      <c r="M351" s="163" t="s">
        <v>421</v>
      </c>
      <c r="N351" s="99" t="s">
        <v>198</v>
      </c>
      <c r="O351" s="151" t="s">
        <v>964</v>
      </c>
      <c r="P351" s="157" t="s">
        <v>348</v>
      </c>
      <c r="Q351" s="128">
        <v>80111600</v>
      </c>
      <c r="R351" s="163" t="s">
        <v>211</v>
      </c>
      <c r="S351" s="159" t="str">
        <f>MID(PAA[[#This Row],[Meta Proyecto de Inversión]],1,4)</f>
        <v>8173</v>
      </c>
      <c r="T351" s="159" t="str">
        <f>MID(PAA[[#This Row],[Meta Proyecto de Inversión]],6,1)</f>
        <v>2</v>
      </c>
      <c r="U351" s="160" t="str">
        <f>IFERROR(VLOOKUP(N351,TD!$B$50:$F$54,2,0)," ")</f>
        <v>O230117</v>
      </c>
      <c r="V351" s="160" t="str">
        <f>IFERROR(VLOOKUP(N351,TD!$B$50:$F$54,3,0)," ")</f>
        <v>4503</v>
      </c>
      <c r="W351" s="160">
        <f>IFERROR(VLOOKUP(N351,TD!$B$50:$F$54,4,0)," ")</f>
        <v>20240255</v>
      </c>
      <c r="X351" s="159" t="s">
        <v>164</v>
      </c>
      <c r="Y351" s="160" t="str">
        <f>IFERROR(VLOOKUP(X351,TD!$J$51:$K$64,2,0)," ")</f>
        <v>Servicio de atención a incidentes y emergencias.</v>
      </c>
      <c r="Z351" s="161" t="str">
        <f>CONCATENATE(X351,"-",Y351)</f>
        <v>04-Servicio de atención a incidentes y emergencias.</v>
      </c>
      <c r="AA351" s="159" t="s">
        <v>221</v>
      </c>
      <c r="AB351" s="160" t="str">
        <f>IFERROR(VLOOKUP(AA351,TD!$N$51:$O$66,2,0)," ")</f>
        <v>Servicio de atención a emergencias y desastres</v>
      </c>
      <c r="AC351" s="161" t="str">
        <f>CONCATENATE(AA351,"_",AB351)</f>
        <v>004_Servicio de atención a emergencias y desastres</v>
      </c>
      <c r="AD351" s="161" t="str">
        <f>CONCATENATE(Z351," ",AC351)</f>
        <v>04-Servicio de atención a incidentes y emergencias. 004_Servicio de atención a emergencias y desastres</v>
      </c>
      <c r="AE351" s="160" t="str">
        <f>CONCATENATE(U351,V351,W351,X351,AA351)</f>
        <v>O23011745032024025504004</v>
      </c>
      <c r="AF351" s="160" t="str">
        <f>IFERROR(VLOOKUP(AD351,TD!$J$66:$K$89,2,0)," ")</f>
        <v>PM/0131/0104/45030040255</v>
      </c>
      <c r="AG351" s="118" t="s">
        <v>385</v>
      </c>
      <c r="AH351" s="159" t="s">
        <v>193</v>
      </c>
      <c r="AI351" s="162" t="str">
        <f>CONCATENATE(PAA[[#This Row],[Id Interno]],"-",PAA[[#This Row],[tipo de Contrato (TH talento humano - B/S bienes y/o servicios)]],"-",S351,"-",T351,"-",PAA[[#This Row],[Objeto de la contratación]])</f>
        <v>20260310-TH-8173-2-Prestación de servicios profesionales para la elaboración de informes o documentos técnicos, infografías, reportes y consolidación de indicadores relacionados con los procesos, y procedimientos, para el desarrollo de los programas de la Subdirección Operativa-S.O.</v>
      </c>
    </row>
    <row r="352" spans="2:35" ht="56" x14ac:dyDescent="0.35">
      <c r="B352" s="23">
        <v>20260311</v>
      </c>
      <c r="C352" s="99" t="s">
        <v>504</v>
      </c>
      <c r="D352" s="99" t="s">
        <v>105</v>
      </c>
      <c r="E352" s="99" t="s">
        <v>363</v>
      </c>
      <c r="F352" s="157" t="s">
        <v>144</v>
      </c>
      <c r="G352" s="157" t="s">
        <v>373</v>
      </c>
      <c r="H352" s="164">
        <v>4</v>
      </c>
      <c r="I352" s="164">
        <v>15</v>
      </c>
      <c r="J352" s="118">
        <v>31500000</v>
      </c>
      <c r="K352" s="126" t="s">
        <v>398</v>
      </c>
      <c r="L352" s="157" t="s">
        <v>158</v>
      </c>
      <c r="M352" s="163" t="s">
        <v>421</v>
      </c>
      <c r="N352" s="99" t="s">
        <v>198</v>
      </c>
      <c r="O352" s="151" t="s">
        <v>964</v>
      </c>
      <c r="P352" s="157" t="s">
        <v>348</v>
      </c>
      <c r="Q352" s="128">
        <v>80111600</v>
      </c>
      <c r="R352" s="163" t="s">
        <v>211</v>
      </c>
      <c r="S352" s="159" t="str">
        <f>MID(PAA[[#This Row],[Meta Proyecto de Inversión]],1,4)</f>
        <v>8173</v>
      </c>
      <c r="T352" s="159" t="str">
        <f>MID(PAA[[#This Row],[Meta Proyecto de Inversión]],6,1)</f>
        <v>2</v>
      </c>
      <c r="U352" s="160" t="str">
        <f>IFERROR(VLOOKUP(N352,TD!$B$50:$F$54,2,0)," ")</f>
        <v>O230117</v>
      </c>
      <c r="V352" s="160" t="str">
        <f>IFERROR(VLOOKUP(N352,TD!$B$50:$F$54,3,0)," ")</f>
        <v>4503</v>
      </c>
      <c r="W352" s="160">
        <f>IFERROR(VLOOKUP(N352,TD!$B$50:$F$54,4,0)," ")</f>
        <v>20240255</v>
      </c>
      <c r="X352" s="159" t="s">
        <v>164</v>
      </c>
      <c r="Y352" s="160" t="str">
        <f>IFERROR(VLOOKUP(X352,TD!$J$51:$K$64,2,0)," ")</f>
        <v>Servicio de atención a incidentes y emergencias.</v>
      </c>
      <c r="Z352" s="161" t="str">
        <f>CONCATENATE(X352,"-",Y352)</f>
        <v>04-Servicio de atención a incidentes y emergencias.</v>
      </c>
      <c r="AA352" s="159" t="s">
        <v>221</v>
      </c>
      <c r="AB352" s="160" t="str">
        <f>IFERROR(VLOOKUP(AA352,TD!$N$51:$O$66,2,0)," ")</f>
        <v>Servicio de atención a emergencias y desastres</v>
      </c>
      <c r="AC352" s="161" t="str">
        <f>CONCATENATE(AA352,"_",AB352)</f>
        <v>004_Servicio de atención a emergencias y desastres</v>
      </c>
      <c r="AD352" s="161" t="str">
        <f>CONCATENATE(Z352," ",AC352)</f>
        <v>04-Servicio de atención a incidentes y emergencias. 004_Servicio de atención a emergencias y desastres</v>
      </c>
      <c r="AE352" s="160" t="str">
        <f>CONCATENATE(U352,V352,W352,X352,AA352)</f>
        <v>O23011745032024025504004</v>
      </c>
      <c r="AF352" s="160" t="str">
        <f>IFERROR(VLOOKUP(AD352,TD!$J$66:$K$89,2,0)," ")</f>
        <v>PM/0131/0104/45030040255</v>
      </c>
      <c r="AG352" s="118" t="s">
        <v>385</v>
      </c>
      <c r="AH352" s="159" t="s">
        <v>194</v>
      </c>
      <c r="AI352" s="162" t="str">
        <f>CONCATENATE(PAA[[#This Row],[Id Interno]],"-",PAA[[#This Row],[tipo de Contrato (TH talento humano - B/S bienes y/o servicios)]],"-",S352,"-",T352,"-",PAA[[#This Row],[Objeto de la contratación]])</f>
        <v>20260311-TH-8173-2-ADICIÓN Y PRÓRROGA al contrato de prestación de servicios # 412-2025, cuyo objeto es:Prestar los servicios profesionales para apoyar a la Subdirección Operativa en el fortalecimiento de los procesos de formación y capacitación al personal operativo y administrativo, en articulación con la academia y demás áreas de la entidad S.O.</v>
      </c>
    </row>
    <row r="353" spans="2:35" ht="56" x14ac:dyDescent="0.35">
      <c r="B353" s="23">
        <v>20260312</v>
      </c>
      <c r="C353" s="99" t="s">
        <v>505</v>
      </c>
      <c r="D353" s="99" t="s">
        <v>105</v>
      </c>
      <c r="E353" s="99" t="s">
        <v>363</v>
      </c>
      <c r="F353" s="157" t="s">
        <v>144</v>
      </c>
      <c r="G353" s="157" t="s">
        <v>373</v>
      </c>
      <c r="H353" s="164">
        <v>5</v>
      </c>
      <c r="I353" s="164">
        <v>0</v>
      </c>
      <c r="J353" s="118">
        <v>40000000</v>
      </c>
      <c r="K353" s="126" t="s">
        <v>398</v>
      </c>
      <c r="L353" s="157" t="s">
        <v>158</v>
      </c>
      <c r="M353" s="163" t="s">
        <v>421</v>
      </c>
      <c r="N353" s="99" t="s">
        <v>198</v>
      </c>
      <c r="O353" s="151" t="s">
        <v>964</v>
      </c>
      <c r="P353" s="157" t="s">
        <v>348</v>
      </c>
      <c r="Q353" s="128">
        <v>80111600</v>
      </c>
      <c r="R353" s="163" t="s">
        <v>211</v>
      </c>
      <c r="S353" s="159" t="str">
        <f>MID(PAA[[#This Row],[Meta Proyecto de Inversión]],1,4)</f>
        <v>8173</v>
      </c>
      <c r="T353" s="159" t="str">
        <f>MID(PAA[[#This Row],[Meta Proyecto de Inversión]],6,1)</f>
        <v>2</v>
      </c>
      <c r="U353" s="160" t="str">
        <f>IFERROR(VLOOKUP(N353,TD!$B$50:$F$54,2,0)," ")</f>
        <v>O230117</v>
      </c>
      <c r="V353" s="160" t="str">
        <f>IFERROR(VLOOKUP(N353,TD!$B$50:$F$54,3,0)," ")</f>
        <v>4503</v>
      </c>
      <c r="W353" s="160">
        <f>IFERROR(VLOOKUP(N353,TD!$B$50:$F$54,4,0)," ")</f>
        <v>20240255</v>
      </c>
      <c r="X353" s="159" t="s">
        <v>164</v>
      </c>
      <c r="Y353" s="160" t="str">
        <f>IFERROR(VLOOKUP(X353,TD!$J$51:$K$64,2,0)," ")</f>
        <v>Servicio de atención a incidentes y emergencias.</v>
      </c>
      <c r="Z353" s="161" t="str">
        <f>CONCATENATE(X353,"-",Y353)</f>
        <v>04-Servicio de atención a incidentes y emergencias.</v>
      </c>
      <c r="AA353" s="159" t="s">
        <v>221</v>
      </c>
      <c r="AB353" s="160" t="str">
        <f>IFERROR(VLOOKUP(AA353,TD!$N$51:$O$66,2,0)," ")</f>
        <v>Servicio de atención a emergencias y desastres</v>
      </c>
      <c r="AC353" s="161" t="str">
        <f>CONCATENATE(AA353,"_",AB353)</f>
        <v>004_Servicio de atención a emergencias y desastres</v>
      </c>
      <c r="AD353" s="161" t="str">
        <f>CONCATENATE(Z353," ",AC353)</f>
        <v>04-Servicio de atención a incidentes y emergencias. 004_Servicio de atención a emergencias y desastres</v>
      </c>
      <c r="AE353" s="160" t="str">
        <f>CONCATENATE(U353,V353,W353,X353,AA353)</f>
        <v>O23011745032024025504004</v>
      </c>
      <c r="AF353" s="160" t="str">
        <f>IFERROR(VLOOKUP(AD353,TD!$J$66:$K$89,2,0)," ")</f>
        <v>PM/0131/0104/45030040255</v>
      </c>
      <c r="AG353" s="118" t="s">
        <v>385</v>
      </c>
      <c r="AH353" s="159" t="s">
        <v>194</v>
      </c>
      <c r="AI353" s="162" t="str">
        <f>CONCATENATE(PAA[[#This Row],[Id Interno]],"-",PAA[[#This Row],[tipo de Contrato (TH talento humano - B/S bienes y/o servicios)]],"-",S353,"-",T353,"-",PAA[[#This Row],[Objeto de la contratación]])</f>
        <v>20260312-TH-8173-2-ADICIÓN Y PRÓRROGA al contrato de prestación de servicios # 138-2025, cuyo objeto es:prestación de servicios profesionales para realizar la consolidación, seguimiento, control y reporte de los planes, proyectos y programas de inversión e indicadores a cargo de la subdirección operativa s.o.</v>
      </c>
    </row>
    <row r="354" spans="2:35" ht="56" x14ac:dyDescent="0.35">
      <c r="B354" s="23">
        <v>20260313</v>
      </c>
      <c r="C354" s="99" t="s">
        <v>899</v>
      </c>
      <c r="D354" s="99" t="s">
        <v>105</v>
      </c>
      <c r="E354" s="99" t="s">
        <v>363</v>
      </c>
      <c r="F354" s="157" t="s">
        <v>144</v>
      </c>
      <c r="G354" s="157" t="s">
        <v>373</v>
      </c>
      <c r="H354" s="164">
        <v>9</v>
      </c>
      <c r="I354" s="164">
        <v>0</v>
      </c>
      <c r="J354" s="118">
        <v>67500000</v>
      </c>
      <c r="K354" s="126" t="s">
        <v>398</v>
      </c>
      <c r="L354" s="157" t="s">
        <v>158</v>
      </c>
      <c r="M354" s="163" t="s">
        <v>421</v>
      </c>
      <c r="N354" s="99" t="s">
        <v>198</v>
      </c>
      <c r="O354" s="151" t="s">
        <v>964</v>
      </c>
      <c r="P354" s="157" t="s">
        <v>348</v>
      </c>
      <c r="Q354" s="128">
        <v>80111600</v>
      </c>
      <c r="R354" s="163" t="s">
        <v>211</v>
      </c>
      <c r="S354" s="159" t="str">
        <f>MID(PAA[[#This Row],[Meta Proyecto de Inversión]],1,4)</f>
        <v>8173</v>
      </c>
      <c r="T354" s="159" t="str">
        <f>MID(PAA[[#This Row],[Meta Proyecto de Inversión]],6,1)</f>
        <v>2</v>
      </c>
      <c r="U354" s="160" t="str">
        <f>IFERROR(VLOOKUP(N354,TD!$B$50:$F$54,2,0)," ")</f>
        <v>O230117</v>
      </c>
      <c r="V354" s="160" t="str">
        <f>IFERROR(VLOOKUP(N354,TD!$B$50:$F$54,3,0)," ")</f>
        <v>4503</v>
      </c>
      <c r="W354" s="160">
        <f>IFERROR(VLOOKUP(N354,TD!$B$50:$F$54,4,0)," ")</f>
        <v>20240255</v>
      </c>
      <c r="X354" s="159" t="s">
        <v>164</v>
      </c>
      <c r="Y354" s="160" t="str">
        <f>IFERROR(VLOOKUP(X354,TD!$J$51:$K$64,2,0)," ")</f>
        <v>Servicio de atención a incidentes y emergencias.</v>
      </c>
      <c r="Z354" s="161" t="str">
        <f>CONCATENATE(X354,"-",Y354)</f>
        <v>04-Servicio de atención a incidentes y emergencias.</v>
      </c>
      <c r="AA354" s="159" t="s">
        <v>221</v>
      </c>
      <c r="AB354" s="160" t="str">
        <f>IFERROR(VLOOKUP(AA354,TD!$N$51:$O$66,2,0)," ")</f>
        <v>Servicio de atención a emergencias y desastres</v>
      </c>
      <c r="AC354" s="161" t="str">
        <f>CONCATENATE(AA354,"_",AB354)</f>
        <v>004_Servicio de atención a emergencias y desastres</v>
      </c>
      <c r="AD354" s="161" t="str">
        <f>CONCATENATE(Z354," ",AC354)</f>
        <v>04-Servicio de atención a incidentes y emergencias. 004_Servicio de atención a emergencias y desastres</v>
      </c>
      <c r="AE354" s="160" t="str">
        <f>CONCATENATE(U354,V354,W354,X354,AA354)</f>
        <v>O23011745032024025504004</v>
      </c>
      <c r="AF354" s="160" t="str">
        <f>IFERROR(VLOOKUP(AD354,TD!$J$66:$K$89,2,0)," ")</f>
        <v>PM/0131/0104/45030040255</v>
      </c>
      <c r="AG354" s="118" t="s">
        <v>385</v>
      </c>
      <c r="AH354" s="159" t="s">
        <v>193</v>
      </c>
      <c r="AI354" s="162" t="str">
        <f>CONCATENATE(PAA[[#This Row],[Id Interno]],"-",PAA[[#This Row],[tipo de Contrato (TH talento humano - B/S bienes y/o servicios)]],"-",S354,"-",T354,"-",PAA[[#This Row],[Objeto de la contratación]])</f>
        <v>20260313-TH-8173-2-Prestación de servicios profesionales para estructurar, definir y verificar los aspectos técnicos de los diferentes procesos de contratación de bienes y servicios en las etapas precontractual, contractual y postcontractual para el desarrollo de los programas de la Subdirección Operativa-S.O.</v>
      </c>
    </row>
    <row r="355" spans="2:35" ht="56" x14ac:dyDescent="0.35">
      <c r="B355" s="23">
        <v>20260314</v>
      </c>
      <c r="C355" s="99" t="s">
        <v>506</v>
      </c>
      <c r="D355" s="99" t="s">
        <v>105</v>
      </c>
      <c r="E355" s="99" t="s">
        <v>363</v>
      </c>
      <c r="F355" s="157" t="s">
        <v>144</v>
      </c>
      <c r="G355" s="157" t="s">
        <v>373</v>
      </c>
      <c r="H355" s="164">
        <v>5</v>
      </c>
      <c r="I355" s="164">
        <v>0</v>
      </c>
      <c r="J355" s="118">
        <v>47500000</v>
      </c>
      <c r="K355" s="126" t="s">
        <v>398</v>
      </c>
      <c r="L355" s="157" t="s">
        <v>158</v>
      </c>
      <c r="M355" s="163" t="s">
        <v>421</v>
      </c>
      <c r="N355" s="99" t="s">
        <v>198</v>
      </c>
      <c r="O355" s="151" t="s">
        <v>964</v>
      </c>
      <c r="P355" s="157" t="s">
        <v>348</v>
      </c>
      <c r="Q355" s="128">
        <v>80111600</v>
      </c>
      <c r="R355" s="163" t="s">
        <v>211</v>
      </c>
      <c r="S355" s="159" t="str">
        <f>MID(PAA[[#This Row],[Meta Proyecto de Inversión]],1,4)</f>
        <v>8173</v>
      </c>
      <c r="T355" s="159" t="str">
        <f>MID(PAA[[#This Row],[Meta Proyecto de Inversión]],6,1)</f>
        <v>2</v>
      </c>
      <c r="U355" s="160" t="str">
        <f>IFERROR(VLOOKUP(N355,TD!$B$50:$F$54,2,0)," ")</f>
        <v>O230117</v>
      </c>
      <c r="V355" s="160" t="str">
        <f>IFERROR(VLOOKUP(N355,TD!$B$50:$F$54,3,0)," ")</f>
        <v>4503</v>
      </c>
      <c r="W355" s="160">
        <f>IFERROR(VLOOKUP(N355,TD!$B$50:$F$54,4,0)," ")</f>
        <v>20240255</v>
      </c>
      <c r="X355" s="159" t="s">
        <v>164</v>
      </c>
      <c r="Y355" s="160" t="str">
        <f>IFERROR(VLOOKUP(X355,TD!$J$51:$K$64,2,0)," ")</f>
        <v>Servicio de atención a incidentes y emergencias.</v>
      </c>
      <c r="Z355" s="161" t="str">
        <f>CONCATENATE(X355,"-",Y355)</f>
        <v>04-Servicio de atención a incidentes y emergencias.</v>
      </c>
      <c r="AA355" s="159" t="s">
        <v>221</v>
      </c>
      <c r="AB355" s="160" t="str">
        <f>IFERROR(VLOOKUP(AA355,TD!$N$51:$O$66,2,0)," ")</f>
        <v>Servicio de atención a emergencias y desastres</v>
      </c>
      <c r="AC355" s="161" t="str">
        <f>CONCATENATE(AA355,"_",AB355)</f>
        <v>004_Servicio de atención a emergencias y desastres</v>
      </c>
      <c r="AD355" s="161" t="str">
        <f>CONCATENATE(Z355," ",AC355)</f>
        <v>04-Servicio de atención a incidentes y emergencias. 004_Servicio de atención a emergencias y desastres</v>
      </c>
      <c r="AE355" s="160" t="str">
        <f>CONCATENATE(U355,V355,W355,X355,AA355)</f>
        <v>O23011745032024025504004</v>
      </c>
      <c r="AF355" s="160" t="str">
        <f>IFERROR(VLOOKUP(AD355,TD!$J$66:$K$89,2,0)," ")</f>
        <v>PM/0131/0104/45030040255</v>
      </c>
      <c r="AG355" s="118" t="s">
        <v>385</v>
      </c>
      <c r="AH355" s="159" t="s">
        <v>194</v>
      </c>
      <c r="AI355" s="162" t="str">
        <f>CONCATENATE(PAA[[#This Row],[Id Interno]],"-",PAA[[#This Row],[tipo de Contrato (TH talento humano - B/S bienes y/o servicios)]],"-",S355,"-",T355,"-",PAA[[#This Row],[Objeto de la contratación]])</f>
        <v>20260314-TH-8173-2-ADICIÓN Y PRÓRROGA al contrato de prestación de servicios # 289-2025, cuyo objeto es:prestación de servicios profesionales para la estructuación de fichas técnicas e identificación de necesidades técnicas requeridas por la entidad con base en la atención de emergencias y requerimientos internos y externos - s.o</v>
      </c>
    </row>
    <row r="356" spans="2:35" ht="56" x14ac:dyDescent="0.35">
      <c r="B356" s="23">
        <v>20260315</v>
      </c>
      <c r="C356" s="99" t="s">
        <v>507</v>
      </c>
      <c r="D356" s="99" t="s">
        <v>105</v>
      </c>
      <c r="E356" s="99" t="s">
        <v>363</v>
      </c>
      <c r="F356" s="157" t="s">
        <v>144</v>
      </c>
      <c r="G356" s="157" t="s">
        <v>373</v>
      </c>
      <c r="H356" s="164">
        <v>5</v>
      </c>
      <c r="I356" s="164">
        <v>0</v>
      </c>
      <c r="J356" s="118">
        <v>35000000</v>
      </c>
      <c r="K356" s="126" t="s">
        <v>398</v>
      </c>
      <c r="L356" s="157" t="s">
        <v>158</v>
      </c>
      <c r="M356" s="163" t="s">
        <v>421</v>
      </c>
      <c r="N356" s="99" t="s">
        <v>198</v>
      </c>
      <c r="O356" s="151" t="s">
        <v>964</v>
      </c>
      <c r="P356" s="157" t="s">
        <v>348</v>
      </c>
      <c r="Q356" s="128">
        <v>80111600</v>
      </c>
      <c r="R356" s="163" t="s">
        <v>211</v>
      </c>
      <c r="S356" s="159" t="str">
        <f>MID(PAA[[#This Row],[Meta Proyecto de Inversión]],1,4)</f>
        <v>8173</v>
      </c>
      <c r="T356" s="159" t="str">
        <f>MID(PAA[[#This Row],[Meta Proyecto de Inversión]],6,1)</f>
        <v>2</v>
      </c>
      <c r="U356" s="160" t="str">
        <f>IFERROR(VLOOKUP(N356,TD!$B$50:$F$54,2,0)," ")</f>
        <v>O230117</v>
      </c>
      <c r="V356" s="160" t="str">
        <f>IFERROR(VLOOKUP(N356,TD!$B$50:$F$54,3,0)," ")</f>
        <v>4503</v>
      </c>
      <c r="W356" s="160">
        <f>IFERROR(VLOOKUP(N356,TD!$B$50:$F$54,4,0)," ")</f>
        <v>20240255</v>
      </c>
      <c r="X356" s="159" t="s">
        <v>164</v>
      </c>
      <c r="Y356" s="160" t="str">
        <f>IFERROR(VLOOKUP(X356,TD!$J$51:$K$64,2,0)," ")</f>
        <v>Servicio de atención a incidentes y emergencias.</v>
      </c>
      <c r="Z356" s="161" t="str">
        <f>CONCATENATE(X356,"-",Y356)</f>
        <v>04-Servicio de atención a incidentes y emergencias.</v>
      </c>
      <c r="AA356" s="159" t="s">
        <v>221</v>
      </c>
      <c r="AB356" s="160" t="str">
        <f>IFERROR(VLOOKUP(AA356,TD!$N$51:$O$66,2,0)," ")</f>
        <v>Servicio de atención a emergencias y desastres</v>
      </c>
      <c r="AC356" s="161" t="str">
        <f>CONCATENATE(AA356,"_",AB356)</f>
        <v>004_Servicio de atención a emergencias y desastres</v>
      </c>
      <c r="AD356" s="161" t="str">
        <f>CONCATENATE(Z356," ",AC356)</f>
        <v>04-Servicio de atención a incidentes y emergencias. 004_Servicio de atención a emergencias y desastres</v>
      </c>
      <c r="AE356" s="160" t="str">
        <f>CONCATENATE(U356,V356,W356,X356,AA356)</f>
        <v>O23011745032024025504004</v>
      </c>
      <c r="AF356" s="160" t="str">
        <f>IFERROR(VLOOKUP(AD356,TD!$J$66:$K$89,2,0)," ")</f>
        <v>PM/0131/0104/45030040255</v>
      </c>
      <c r="AG356" s="118" t="s">
        <v>385</v>
      </c>
      <c r="AH356" s="159" t="s">
        <v>194</v>
      </c>
      <c r="AI356" s="162" t="str">
        <f>CONCATENATE(PAA[[#This Row],[Id Interno]],"-",PAA[[#This Row],[tipo de Contrato (TH talento humano - B/S bienes y/o servicios)]],"-",S356,"-",T356,"-",PAA[[#This Row],[Objeto de la contratación]])</f>
        <v>20260315-TH-8173-2-ADICIÓN Y PRÓRROGA al contrato de prestación de servicios # 313-2025, cuyo objeto es: Prestación de servicios profesionales para apoyar los procesos contractuales de la Subdirección Operativa en todas sus etapas y apoyo técnico en los proyectos y procesos de la dependencia S.O.</v>
      </c>
    </row>
    <row r="357" spans="2:35" ht="56" x14ac:dyDescent="0.35">
      <c r="B357" s="23">
        <v>20260316</v>
      </c>
      <c r="C357" s="99" t="s">
        <v>900</v>
      </c>
      <c r="D357" s="99" t="s">
        <v>105</v>
      </c>
      <c r="E357" s="99" t="s">
        <v>363</v>
      </c>
      <c r="F357" s="157" t="s">
        <v>144</v>
      </c>
      <c r="G357" s="157" t="s">
        <v>373</v>
      </c>
      <c r="H357" s="164">
        <v>9</v>
      </c>
      <c r="I357" s="164">
        <v>0</v>
      </c>
      <c r="J357" s="118">
        <v>80715000</v>
      </c>
      <c r="K357" s="126" t="s">
        <v>398</v>
      </c>
      <c r="L357" s="157" t="s">
        <v>158</v>
      </c>
      <c r="M357" s="163" t="s">
        <v>421</v>
      </c>
      <c r="N357" s="99" t="s">
        <v>198</v>
      </c>
      <c r="O357" s="151" t="s">
        <v>964</v>
      </c>
      <c r="P357" s="157" t="s">
        <v>348</v>
      </c>
      <c r="Q357" s="128">
        <v>80111600</v>
      </c>
      <c r="R357" s="163" t="s">
        <v>211</v>
      </c>
      <c r="S357" s="159" t="str">
        <f>MID(PAA[[#This Row],[Meta Proyecto de Inversión]],1,4)</f>
        <v>8173</v>
      </c>
      <c r="T357" s="159" t="str">
        <f>MID(PAA[[#This Row],[Meta Proyecto de Inversión]],6,1)</f>
        <v>2</v>
      </c>
      <c r="U357" s="160" t="str">
        <f>IFERROR(VLOOKUP(N357,TD!$B$50:$F$54,2,0)," ")</f>
        <v>O230117</v>
      </c>
      <c r="V357" s="160" t="str">
        <f>IFERROR(VLOOKUP(N357,TD!$B$50:$F$54,3,0)," ")</f>
        <v>4503</v>
      </c>
      <c r="W357" s="160">
        <f>IFERROR(VLOOKUP(N357,TD!$B$50:$F$54,4,0)," ")</f>
        <v>20240255</v>
      </c>
      <c r="X357" s="159" t="s">
        <v>164</v>
      </c>
      <c r="Y357" s="160" t="str">
        <f>IFERROR(VLOOKUP(X357,TD!$J$51:$K$64,2,0)," ")</f>
        <v>Servicio de atención a incidentes y emergencias.</v>
      </c>
      <c r="Z357" s="161" t="str">
        <f>CONCATENATE(X357,"-",Y357)</f>
        <v>04-Servicio de atención a incidentes y emergencias.</v>
      </c>
      <c r="AA357" s="159" t="s">
        <v>221</v>
      </c>
      <c r="AB357" s="160" t="str">
        <f>IFERROR(VLOOKUP(AA357,TD!$N$51:$O$66,2,0)," ")</f>
        <v>Servicio de atención a emergencias y desastres</v>
      </c>
      <c r="AC357" s="161" t="str">
        <f>CONCATENATE(AA357,"_",AB357)</f>
        <v>004_Servicio de atención a emergencias y desastres</v>
      </c>
      <c r="AD357" s="161" t="str">
        <f>CONCATENATE(Z357," ",AC357)</f>
        <v>04-Servicio de atención a incidentes y emergencias. 004_Servicio de atención a emergencias y desastres</v>
      </c>
      <c r="AE357" s="160" t="str">
        <f>CONCATENATE(U357,V357,W357,X357,AA357)</f>
        <v>O23011745032024025504004</v>
      </c>
      <c r="AF357" s="160" t="str">
        <f>IFERROR(VLOOKUP(AD357,TD!$J$66:$K$89,2,0)," ")</f>
        <v>PM/0131/0104/45030040255</v>
      </c>
      <c r="AG357" s="118" t="s">
        <v>385</v>
      </c>
      <c r="AH357" s="159" t="s">
        <v>193</v>
      </c>
      <c r="AI357" s="162" t="str">
        <f>CONCATENATE(PAA[[#This Row],[Id Interno]],"-",PAA[[#This Row],[tipo de Contrato (TH talento humano - B/S bienes y/o servicios)]],"-",S357,"-",T357,"-",PAA[[#This Row],[Objeto de la contratación]])</f>
        <v>20260316-TH-8173-2-Prestación de servicios profesionales de carácter financiero para estructurar, definir y verificar los aspectos técnicos y financieros de los procesos de contratación de bienes y servicios  en las etapas precontractual, contractual y postcontractual para el desarrollo de los programas de la Subdirección Operativa-S.O.</v>
      </c>
    </row>
    <row r="358" spans="2:35" ht="56" x14ac:dyDescent="0.35">
      <c r="B358" s="23">
        <v>20260317</v>
      </c>
      <c r="C358" s="99" t="s">
        <v>508</v>
      </c>
      <c r="D358" s="99" t="s">
        <v>119</v>
      </c>
      <c r="E358" s="99" t="s">
        <v>402</v>
      </c>
      <c r="F358" s="157" t="s">
        <v>128</v>
      </c>
      <c r="G358" s="157" t="s">
        <v>373</v>
      </c>
      <c r="H358" s="164">
        <v>12</v>
      </c>
      <c r="I358" s="164">
        <v>0</v>
      </c>
      <c r="J358" s="118">
        <v>6914369000</v>
      </c>
      <c r="K358" s="126" t="s">
        <v>398</v>
      </c>
      <c r="L358" s="157" t="s">
        <v>158</v>
      </c>
      <c r="M358" s="163" t="s">
        <v>421</v>
      </c>
      <c r="N358" s="99" t="s">
        <v>198</v>
      </c>
      <c r="O358" s="151" t="s">
        <v>964</v>
      </c>
      <c r="P358" s="157" t="s">
        <v>588</v>
      </c>
      <c r="Q358" s="128">
        <v>80111600</v>
      </c>
      <c r="R358" s="163" t="s">
        <v>212</v>
      </c>
      <c r="S358" s="159" t="str">
        <f>MID(PAA[[#This Row],[Meta Proyecto de Inversión]],1,4)</f>
        <v>8173</v>
      </c>
      <c r="T358" s="159" t="str">
        <f>MID(PAA[[#This Row],[Meta Proyecto de Inversión]],6,1)</f>
        <v>3</v>
      </c>
      <c r="U358" s="160" t="str">
        <f>IFERROR(VLOOKUP(N358,TD!$B$50:$F$54,2,0)," ")</f>
        <v>O230117</v>
      </c>
      <c r="V358" s="160" t="str">
        <f>IFERROR(VLOOKUP(N358,TD!$B$50:$F$54,3,0)," ")</f>
        <v>4503</v>
      </c>
      <c r="W358" s="160">
        <f>IFERROR(VLOOKUP(N358,TD!$B$50:$F$54,4,0)," ")</f>
        <v>20240255</v>
      </c>
      <c r="X358" s="159" t="s">
        <v>164</v>
      </c>
      <c r="Y358" s="160" t="str">
        <f>IFERROR(VLOOKUP(X358,TD!$J$51:$K$64,2,0)," ")</f>
        <v>Servicio de atención a incidentes y emergencias.</v>
      </c>
      <c r="Z358" s="161" t="str">
        <f>CONCATENATE(X358,"-",Y358)</f>
        <v>04-Servicio de atención a incidentes y emergencias.</v>
      </c>
      <c r="AA358" s="159" t="s">
        <v>221</v>
      </c>
      <c r="AB358" s="160" t="str">
        <f>IFERROR(VLOOKUP(AA358,TD!$N$51:$O$66,2,0)," ")</f>
        <v>Servicio de atención a emergencias y desastres</v>
      </c>
      <c r="AC358" s="161" t="str">
        <f>CONCATENATE(AA358,"_",AB358)</f>
        <v>004_Servicio de atención a emergencias y desastres</v>
      </c>
      <c r="AD358" s="161" t="str">
        <f>CONCATENATE(Z358," ",AC358)</f>
        <v>04-Servicio de atención a incidentes y emergencias. 004_Servicio de atención a emergencias y desastres</v>
      </c>
      <c r="AE358" s="160" t="str">
        <f>CONCATENATE(U358,V358,W358,X358,AA358)</f>
        <v>O23011745032024025504004</v>
      </c>
      <c r="AF358" s="160" t="str">
        <f>IFERROR(VLOOKUP(AD358,TD!$J$66:$K$89,2,0)," ")</f>
        <v>PM/0131/0104/45030040255</v>
      </c>
      <c r="AG358" s="118" t="s">
        <v>80</v>
      </c>
      <c r="AH358" s="159" t="s">
        <v>194</v>
      </c>
      <c r="AI358" s="162" t="str">
        <f>CONCATENATE(PAA[[#This Row],[Id Interno]],"-",PAA[[#This Row],[tipo de Contrato (TH talento humano - B/S bienes y/o servicios)]],"-",S358,"-",T358,"-",PAA[[#This Row],[Objeto de la contratación]])</f>
        <v>20260317-BS-8173-3-Pago pasivo exigible Subdirección Operativa</v>
      </c>
    </row>
    <row r="359" spans="2:35" ht="56" x14ac:dyDescent="0.35">
      <c r="B359" s="23">
        <v>20260318</v>
      </c>
      <c r="C359" s="99" t="s">
        <v>509</v>
      </c>
      <c r="D359" s="99" t="s">
        <v>78</v>
      </c>
      <c r="E359" s="99" t="s">
        <v>402</v>
      </c>
      <c r="F359" s="157" t="s">
        <v>101</v>
      </c>
      <c r="G359" s="157" t="s">
        <v>373</v>
      </c>
      <c r="H359" s="164">
        <v>12</v>
      </c>
      <c r="I359" s="164">
        <v>0</v>
      </c>
      <c r="J359" s="118">
        <f>430537660-12638000-49000000</f>
        <v>368899660</v>
      </c>
      <c r="K359" s="126" t="s">
        <v>398</v>
      </c>
      <c r="L359" s="157" t="s">
        <v>158</v>
      </c>
      <c r="M359" s="163" t="s">
        <v>421</v>
      </c>
      <c r="N359" s="99" t="s">
        <v>198</v>
      </c>
      <c r="O359" s="151" t="s">
        <v>964</v>
      </c>
      <c r="P359" s="157" t="s">
        <v>348</v>
      </c>
      <c r="Q359" s="128">
        <v>80111600</v>
      </c>
      <c r="R359" s="163" t="s">
        <v>211</v>
      </c>
      <c r="S359" s="159" t="str">
        <f>MID(PAA[[#This Row],[Meta Proyecto de Inversión]],1,4)</f>
        <v>8173</v>
      </c>
      <c r="T359" s="159" t="str">
        <f>MID(PAA[[#This Row],[Meta Proyecto de Inversión]],6,1)</f>
        <v>2</v>
      </c>
      <c r="U359" s="160" t="str">
        <f>IFERROR(VLOOKUP(N359,TD!$B$50:$F$54,2,0)," ")</f>
        <v>O230117</v>
      </c>
      <c r="V359" s="160" t="str">
        <f>IFERROR(VLOOKUP(N359,TD!$B$50:$F$54,3,0)," ")</f>
        <v>4503</v>
      </c>
      <c r="W359" s="160">
        <f>IFERROR(VLOOKUP(N359,TD!$B$50:$F$54,4,0)," ")</f>
        <v>20240255</v>
      </c>
      <c r="X359" s="159" t="s">
        <v>178</v>
      </c>
      <c r="Y359" s="160" t="str">
        <f>IFERROR(VLOOKUP(X359,TD!$J$51:$K$64,2,0)," ")</f>
        <v>Servicio de dotación y equipamento para el personal operativo</v>
      </c>
      <c r="Z359" s="161" t="str">
        <f>CONCATENATE(X359,"-",Y359)</f>
        <v>10-Servicio de dotación y equipamento para el personal operativo</v>
      </c>
      <c r="AA359" s="159" t="s">
        <v>221</v>
      </c>
      <c r="AB359" s="160" t="str">
        <f>IFERROR(VLOOKUP(AA359,TD!$N$51:$O$66,2,0)," ")</f>
        <v>Servicio de atención a emergencias y desastres</v>
      </c>
      <c r="AC359" s="161" t="str">
        <f>CONCATENATE(AA359,"_",AB359)</f>
        <v>004_Servicio de atención a emergencias y desastres</v>
      </c>
      <c r="AD359" s="161" t="str">
        <f>CONCATENATE(Z359," ",AC359)</f>
        <v>10-Servicio de dotación y equipamento para el personal operativo 004_Servicio de atención a emergencias y desastres</v>
      </c>
      <c r="AE359" s="160" t="str">
        <f>CONCATENATE(U359,V359,W359,X359,AA359)</f>
        <v>O23011745032024025510004</v>
      </c>
      <c r="AF359" s="160" t="str">
        <f>IFERROR(VLOOKUP(AD359,TD!$J$66:$K$89,2,0)," ")</f>
        <v>PM/0131/0110/45030040255</v>
      </c>
      <c r="AG359" s="118" t="s">
        <v>939</v>
      </c>
      <c r="AH359" s="159" t="s">
        <v>193</v>
      </c>
      <c r="AI359" s="162" t="str">
        <f>CONCATENATE(PAA[[#This Row],[Id Interno]],"-",PAA[[#This Row],[tipo de Contrato (TH talento humano - B/S bienes y/o servicios)]],"-",S359,"-",T359,"-",PAA[[#This Row],[Objeto de la contratación]])</f>
        <v>20260318-BS-8173-2-Adquisición de equipos de protección personal (E.P.P.)  para el personal uniformado de la UAE Cuerpo Oficial de Bomberos de Bogota, S.O.</v>
      </c>
    </row>
    <row r="360" spans="2:35" ht="56" x14ac:dyDescent="0.35">
      <c r="B360" s="23">
        <v>20260319</v>
      </c>
      <c r="C360" s="99" t="s">
        <v>510</v>
      </c>
      <c r="D360" s="99" t="s">
        <v>78</v>
      </c>
      <c r="E360" s="99" t="s">
        <v>402</v>
      </c>
      <c r="F360" s="157" t="s">
        <v>101</v>
      </c>
      <c r="G360" s="157" t="s">
        <v>373</v>
      </c>
      <c r="H360" s="164">
        <v>12</v>
      </c>
      <c r="I360" s="164">
        <v>0</v>
      </c>
      <c r="J360" s="118">
        <v>500000000</v>
      </c>
      <c r="K360" s="126" t="s">
        <v>398</v>
      </c>
      <c r="L360" s="157" t="s">
        <v>158</v>
      </c>
      <c r="M360" s="163" t="s">
        <v>421</v>
      </c>
      <c r="N360" s="99" t="s">
        <v>198</v>
      </c>
      <c r="O360" s="151" t="s">
        <v>964</v>
      </c>
      <c r="P360" s="157" t="s">
        <v>348</v>
      </c>
      <c r="Q360" s="128">
        <v>80111600</v>
      </c>
      <c r="R360" s="163" t="s">
        <v>211</v>
      </c>
      <c r="S360" s="159" t="str">
        <f>MID(PAA[[#This Row],[Meta Proyecto de Inversión]],1,4)</f>
        <v>8173</v>
      </c>
      <c r="T360" s="159" t="str">
        <f>MID(PAA[[#This Row],[Meta Proyecto de Inversión]],6,1)</f>
        <v>2</v>
      </c>
      <c r="U360" s="160" t="str">
        <f>IFERROR(VLOOKUP(N360,TD!$B$50:$F$54,2,0)," ")</f>
        <v>O230117</v>
      </c>
      <c r="V360" s="160" t="str">
        <f>IFERROR(VLOOKUP(N360,TD!$B$50:$F$54,3,0)," ")</f>
        <v>4503</v>
      </c>
      <c r="W360" s="160">
        <f>IFERROR(VLOOKUP(N360,TD!$B$50:$F$54,4,0)," ")</f>
        <v>20240255</v>
      </c>
      <c r="X360" s="159" t="s">
        <v>178</v>
      </c>
      <c r="Y360" s="160" t="str">
        <f>IFERROR(VLOOKUP(X360,TD!$J$51:$K$64,2,0)," ")</f>
        <v>Servicio de dotación y equipamento para el personal operativo</v>
      </c>
      <c r="Z360" s="161" t="str">
        <f>CONCATENATE(X360,"-",Y360)</f>
        <v>10-Servicio de dotación y equipamento para el personal operativo</v>
      </c>
      <c r="AA360" s="159" t="s">
        <v>221</v>
      </c>
      <c r="AB360" s="160" t="str">
        <f>IFERROR(VLOOKUP(AA360,TD!$N$51:$O$66,2,0)," ")</f>
        <v>Servicio de atención a emergencias y desastres</v>
      </c>
      <c r="AC360" s="161" t="str">
        <f>CONCATENATE(AA360,"_",AB360)</f>
        <v>004_Servicio de atención a emergencias y desastres</v>
      </c>
      <c r="AD360" s="161" t="str">
        <f>CONCATENATE(Z360," ",AC360)</f>
        <v>10-Servicio de dotación y equipamento para el personal operativo 004_Servicio de atención a emergencias y desastres</v>
      </c>
      <c r="AE360" s="160" t="str">
        <f>CONCATENATE(U360,V360,W360,X360,AA360)</f>
        <v>O23011745032024025510004</v>
      </c>
      <c r="AF360" s="160" t="str">
        <f>IFERROR(VLOOKUP(AD360,TD!$J$66:$K$89,2,0)," ")</f>
        <v>PM/0131/0110/45030040255</v>
      </c>
      <c r="AG360" s="118" t="s">
        <v>80</v>
      </c>
      <c r="AH360" s="159" t="s">
        <v>193</v>
      </c>
      <c r="AI360" s="162" t="str">
        <f>CONCATENATE(PAA[[#This Row],[Id Interno]],"-",PAA[[#This Row],[tipo de Contrato (TH talento humano - B/S bienes y/o servicios)]],"-",S360,"-",T360,"-",PAA[[#This Row],[Objeto de la contratación]])</f>
        <v>20260319-BS-8173-2-Adquisición de equipos, herramientas y accesorios (E.H.A.)  para la atención de emergencias de la UAE Cuerpo Oficial de Bomberos de Bogota, S.O.</v>
      </c>
    </row>
    <row r="361" spans="2:35" ht="56" x14ac:dyDescent="0.35">
      <c r="B361" s="23">
        <v>20260320</v>
      </c>
      <c r="C361" s="99" t="s">
        <v>901</v>
      </c>
      <c r="D361" s="99" t="s">
        <v>105</v>
      </c>
      <c r="E361" s="99" t="s">
        <v>363</v>
      </c>
      <c r="F361" s="157" t="s">
        <v>145</v>
      </c>
      <c r="G361" s="157" t="s">
        <v>379</v>
      </c>
      <c r="H361" s="164">
        <v>5</v>
      </c>
      <c r="I361" s="164">
        <v>15</v>
      </c>
      <c r="J361" s="118">
        <v>24915000</v>
      </c>
      <c r="K361" s="126" t="s">
        <v>398</v>
      </c>
      <c r="L361" s="157" t="s">
        <v>158</v>
      </c>
      <c r="M361" s="163" t="s">
        <v>421</v>
      </c>
      <c r="N361" s="99" t="s">
        <v>198</v>
      </c>
      <c r="O361" s="151" t="s">
        <v>964</v>
      </c>
      <c r="P361" s="157" t="s">
        <v>348</v>
      </c>
      <c r="Q361" s="128">
        <v>80111600</v>
      </c>
      <c r="R361" s="163" t="s">
        <v>211</v>
      </c>
      <c r="S361" s="159" t="str">
        <f>MID(PAA[[#This Row],[Meta Proyecto de Inversión]],1,4)</f>
        <v>8173</v>
      </c>
      <c r="T361" s="159" t="str">
        <f>MID(PAA[[#This Row],[Meta Proyecto de Inversión]],6,1)</f>
        <v>2</v>
      </c>
      <c r="U361" s="160" t="str">
        <f>IFERROR(VLOOKUP(N361,TD!$B$50:$F$54,2,0)," ")</f>
        <v>O230117</v>
      </c>
      <c r="V361" s="160" t="str">
        <f>IFERROR(VLOOKUP(N361,TD!$B$50:$F$54,3,0)," ")</f>
        <v>4503</v>
      </c>
      <c r="W361" s="160">
        <f>IFERROR(VLOOKUP(N361,TD!$B$50:$F$54,4,0)," ")</f>
        <v>20240255</v>
      </c>
      <c r="X361" s="159" t="s">
        <v>164</v>
      </c>
      <c r="Y361" s="160" t="str">
        <f>IFERROR(VLOOKUP(X361,TD!$J$51:$K$64,2,0)," ")</f>
        <v>Servicio de atención a incidentes y emergencias.</v>
      </c>
      <c r="Z361" s="161" t="str">
        <f>CONCATENATE(X361,"-",Y361)</f>
        <v>04-Servicio de atención a incidentes y emergencias.</v>
      </c>
      <c r="AA361" s="159" t="s">
        <v>221</v>
      </c>
      <c r="AB361" s="160" t="str">
        <f>IFERROR(VLOOKUP(AA361,TD!$N$51:$O$66,2,0)," ")</f>
        <v>Servicio de atención a emergencias y desastres</v>
      </c>
      <c r="AC361" s="161" t="str">
        <f>CONCATENATE(AA361,"_",AB361)</f>
        <v>004_Servicio de atención a emergencias y desastres</v>
      </c>
      <c r="AD361" s="161" t="str">
        <f>CONCATENATE(Z361," ",AC361)</f>
        <v>04-Servicio de atención a incidentes y emergencias. 004_Servicio de atención a emergencias y desastres</v>
      </c>
      <c r="AE361" s="160" t="str">
        <f>CONCATENATE(U361,V361,W361,X361,AA361)</f>
        <v>O23011745032024025504004</v>
      </c>
      <c r="AF361" s="160" t="str">
        <f>IFERROR(VLOOKUP(AD361,TD!$J$66:$K$89,2,0)," ")</f>
        <v>PM/0131/0104/45030040255</v>
      </c>
      <c r="AG361" s="118" t="s">
        <v>385</v>
      </c>
      <c r="AH361" s="159" t="s">
        <v>193</v>
      </c>
      <c r="AI361" s="162" t="str">
        <f>CONCATENATE(PAA[[#This Row],[Id Interno]],"-",PAA[[#This Row],[tipo de Contrato (TH talento humano - B/S bienes y/o servicios)]],"-",S361,"-",T361,"-",PAA[[#This Row],[Objeto de la contratación]])</f>
        <v>20260320-TH-8173-2-Prestación de servicios de apoyo a la gestión para ejecutar actividades administrativas y asistenciales para el diligenciamiento y seguimiento de las solicitudes en las herramientas de gestión de los procedimientos, para el desarrollo de los programas de la Subdirección Operativa-S.O.</v>
      </c>
    </row>
    <row r="362" spans="2:35" ht="56" x14ac:dyDescent="0.35">
      <c r="B362" s="23">
        <v>20260321</v>
      </c>
      <c r="C362" s="99" t="s">
        <v>902</v>
      </c>
      <c r="D362" s="99" t="s">
        <v>105</v>
      </c>
      <c r="E362" s="99" t="s">
        <v>363</v>
      </c>
      <c r="F362" s="157" t="s">
        <v>144</v>
      </c>
      <c r="G362" s="157" t="s">
        <v>379</v>
      </c>
      <c r="H362" s="164">
        <v>5</v>
      </c>
      <c r="I362" s="164">
        <v>0</v>
      </c>
      <c r="J362" s="118">
        <v>48500000</v>
      </c>
      <c r="K362" s="126" t="s">
        <v>398</v>
      </c>
      <c r="L362" s="157" t="s">
        <v>158</v>
      </c>
      <c r="M362" s="163" t="s">
        <v>421</v>
      </c>
      <c r="N362" s="99" t="s">
        <v>198</v>
      </c>
      <c r="O362" s="151" t="s">
        <v>964</v>
      </c>
      <c r="P362" s="157" t="s">
        <v>348</v>
      </c>
      <c r="Q362" s="128">
        <v>80111600</v>
      </c>
      <c r="R362" s="163" t="s">
        <v>211</v>
      </c>
      <c r="S362" s="159" t="str">
        <f>MID(PAA[[#This Row],[Meta Proyecto de Inversión]],1,4)</f>
        <v>8173</v>
      </c>
      <c r="T362" s="159" t="str">
        <f>MID(PAA[[#This Row],[Meta Proyecto de Inversión]],6,1)</f>
        <v>2</v>
      </c>
      <c r="U362" s="160" t="str">
        <f>IFERROR(VLOOKUP(N362,TD!$B$50:$F$54,2,0)," ")</f>
        <v>O230117</v>
      </c>
      <c r="V362" s="160" t="str">
        <f>IFERROR(VLOOKUP(N362,TD!$B$50:$F$54,3,0)," ")</f>
        <v>4503</v>
      </c>
      <c r="W362" s="160">
        <f>IFERROR(VLOOKUP(N362,TD!$B$50:$F$54,4,0)," ")</f>
        <v>20240255</v>
      </c>
      <c r="X362" s="159" t="s">
        <v>164</v>
      </c>
      <c r="Y362" s="160" t="str">
        <f>IFERROR(VLOOKUP(X362,TD!$J$51:$K$64,2,0)," ")</f>
        <v>Servicio de atención a incidentes y emergencias.</v>
      </c>
      <c r="Z362" s="161" t="str">
        <f>CONCATENATE(X362,"-",Y362)</f>
        <v>04-Servicio de atención a incidentes y emergencias.</v>
      </c>
      <c r="AA362" s="159" t="s">
        <v>221</v>
      </c>
      <c r="AB362" s="160" t="str">
        <f>IFERROR(VLOOKUP(AA362,TD!$N$51:$O$66,2,0)," ")</f>
        <v>Servicio de atención a emergencias y desastres</v>
      </c>
      <c r="AC362" s="161" t="str">
        <f>CONCATENATE(AA362,"_",AB362)</f>
        <v>004_Servicio de atención a emergencias y desastres</v>
      </c>
      <c r="AD362" s="161" t="str">
        <f>CONCATENATE(Z362," ",AC362)</f>
        <v>04-Servicio de atención a incidentes y emergencias. 004_Servicio de atención a emergencias y desastres</v>
      </c>
      <c r="AE362" s="160" t="str">
        <f>CONCATENATE(U362,V362,W362,X362,AA362)</f>
        <v>O23011745032024025504004</v>
      </c>
      <c r="AF362" s="160" t="str">
        <f>IFERROR(VLOOKUP(AD362,TD!$J$66:$K$89,2,0)," ")</f>
        <v>PM/0131/0104/45030040255</v>
      </c>
      <c r="AG362" s="118" t="s">
        <v>385</v>
      </c>
      <c r="AH362" s="159" t="s">
        <v>193</v>
      </c>
      <c r="AI362" s="162" t="str">
        <f>CONCATENATE(PAA[[#This Row],[Id Interno]],"-",PAA[[#This Row],[tipo de Contrato (TH talento humano - B/S bienes y/o servicios)]],"-",S362,"-",T362,"-",PAA[[#This Row],[Objeto de la contratación]])</f>
        <v>20260321-TH-8173-2-Prestación de servicios profesionales liderando la elaboración de informes estadísticos a partir de los datos asociados a los incidentes atendidos en el marco de la misionalidad de la UAECOB, para el acompañamiento de los programas de la Subdirección Operativa.</v>
      </c>
    </row>
    <row r="363" spans="2:35" ht="56" x14ac:dyDescent="0.35">
      <c r="B363" s="23">
        <v>20260322</v>
      </c>
      <c r="C363" s="99" t="s">
        <v>903</v>
      </c>
      <c r="D363" s="99" t="s">
        <v>105</v>
      </c>
      <c r="E363" s="99" t="s">
        <v>363</v>
      </c>
      <c r="F363" s="157" t="s">
        <v>144</v>
      </c>
      <c r="G363" s="157" t="s">
        <v>379</v>
      </c>
      <c r="H363" s="164">
        <v>4</v>
      </c>
      <c r="I363" s="164">
        <v>0</v>
      </c>
      <c r="J363" s="118">
        <v>26400000</v>
      </c>
      <c r="K363" s="126" t="s">
        <v>398</v>
      </c>
      <c r="L363" s="157" t="s">
        <v>158</v>
      </c>
      <c r="M363" s="163" t="s">
        <v>421</v>
      </c>
      <c r="N363" s="99" t="s">
        <v>198</v>
      </c>
      <c r="O363" s="151" t="s">
        <v>964</v>
      </c>
      <c r="P363" s="157" t="s">
        <v>348</v>
      </c>
      <c r="Q363" s="128">
        <v>80111600</v>
      </c>
      <c r="R363" s="163" t="s">
        <v>211</v>
      </c>
      <c r="S363" s="159" t="str">
        <f>MID(PAA[[#This Row],[Meta Proyecto de Inversión]],1,4)</f>
        <v>8173</v>
      </c>
      <c r="T363" s="159" t="str">
        <f>MID(PAA[[#This Row],[Meta Proyecto de Inversión]],6,1)</f>
        <v>2</v>
      </c>
      <c r="U363" s="160" t="str">
        <f>IFERROR(VLOOKUP(N363,TD!$B$50:$F$54,2,0)," ")</f>
        <v>O230117</v>
      </c>
      <c r="V363" s="160" t="str">
        <f>IFERROR(VLOOKUP(N363,TD!$B$50:$F$54,3,0)," ")</f>
        <v>4503</v>
      </c>
      <c r="W363" s="160">
        <f>IFERROR(VLOOKUP(N363,TD!$B$50:$F$54,4,0)," ")</f>
        <v>20240255</v>
      </c>
      <c r="X363" s="159" t="s">
        <v>164</v>
      </c>
      <c r="Y363" s="160" t="str">
        <f>IFERROR(VLOOKUP(X363,TD!$J$51:$K$64,2,0)," ")</f>
        <v>Servicio de atención a incidentes y emergencias.</v>
      </c>
      <c r="Z363" s="161" t="str">
        <f>CONCATENATE(X363,"-",Y363)</f>
        <v>04-Servicio de atención a incidentes y emergencias.</v>
      </c>
      <c r="AA363" s="159" t="s">
        <v>221</v>
      </c>
      <c r="AB363" s="160" t="str">
        <f>IFERROR(VLOOKUP(AA363,TD!$N$51:$O$66,2,0)," ")</f>
        <v>Servicio de atención a emergencias y desastres</v>
      </c>
      <c r="AC363" s="161" t="str">
        <f>CONCATENATE(AA363,"_",AB363)</f>
        <v>004_Servicio de atención a emergencias y desastres</v>
      </c>
      <c r="AD363" s="161" t="str">
        <f>CONCATENATE(Z363," ",AC363)</f>
        <v>04-Servicio de atención a incidentes y emergencias. 004_Servicio de atención a emergencias y desastres</v>
      </c>
      <c r="AE363" s="160" t="str">
        <f>CONCATENATE(U363,V363,W363,X363,AA363)</f>
        <v>O23011745032024025504004</v>
      </c>
      <c r="AF363" s="160" t="str">
        <f>IFERROR(VLOOKUP(AD363,TD!$J$66:$K$89,2,0)," ")</f>
        <v>PM/0131/0104/45030040255</v>
      </c>
      <c r="AG363" s="118" t="s">
        <v>385</v>
      </c>
      <c r="AH363" s="159" t="s">
        <v>193</v>
      </c>
      <c r="AI363" s="162" t="str">
        <f>CONCATENATE(PAA[[#This Row],[Id Interno]],"-",PAA[[#This Row],[tipo de Contrato (TH talento humano - B/S bienes y/o servicios)]],"-",S363,"-",T363,"-",PAA[[#This Row],[Objeto de la contratación]])</f>
        <v>20260322-TH-8173-2-Prestación de servicios profesionales para  fortalecer la articulación estratégica con entidades del orden distrital para la optimización de procesos operativos y técnicos, y la implementación de acciones orientadas al mejoramiento de la gestión de los programas de la Subdirección operativa-S.O.</v>
      </c>
    </row>
    <row r="364" spans="2:35" ht="56" x14ac:dyDescent="0.35">
      <c r="B364" s="23">
        <v>20260323</v>
      </c>
      <c r="C364" s="99" t="s">
        <v>904</v>
      </c>
      <c r="D364" s="99" t="s">
        <v>105</v>
      </c>
      <c r="E364" s="99" t="s">
        <v>363</v>
      </c>
      <c r="F364" s="157" t="s">
        <v>144</v>
      </c>
      <c r="G364" s="157" t="s">
        <v>379</v>
      </c>
      <c r="H364" s="164">
        <v>5</v>
      </c>
      <c r="I364" s="164">
        <v>0</v>
      </c>
      <c r="J364" s="118">
        <v>48500000</v>
      </c>
      <c r="K364" s="126" t="s">
        <v>398</v>
      </c>
      <c r="L364" s="157" t="s">
        <v>158</v>
      </c>
      <c r="M364" s="163" t="s">
        <v>421</v>
      </c>
      <c r="N364" s="99" t="s">
        <v>198</v>
      </c>
      <c r="O364" s="151" t="s">
        <v>964</v>
      </c>
      <c r="P364" s="157" t="s">
        <v>348</v>
      </c>
      <c r="Q364" s="128">
        <v>80111600</v>
      </c>
      <c r="R364" s="163" t="s">
        <v>211</v>
      </c>
      <c r="S364" s="159" t="str">
        <f>MID(PAA[[#This Row],[Meta Proyecto de Inversión]],1,4)</f>
        <v>8173</v>
      </c>
      <c r="T364" s="159" t="str">
        <f>MID(PAA[[#This Row],[Meta Proyecto de Inversión]],6,1)</f>
        <v>2</v>
      </c>
      <c r="U364" s="160" t="str">
        <f>IFERROR(VLOOKUP(N364,TD!$B$50:$F$54,2,0)," ")</f>
        <v>O230117</v>
      </c>
      <c r="V364" s="160" t="str">
        <f>IFERROR(VLOOKUP(N364,TD!$B$50:$F$54,3,0)," ")</f>
        <v>4503</v>
      </c>
      <c r="W364" s="160">
        <f>IFERROR(VLOOKUP(N364,TD!$B$50:$F$54,4,0)," ")</f>
        <v>20240255</v>
      </c>
      <c r="X364" s="159" t="s">
        <v>164</v>
      </c>
      <c r="Y364" s="160" t="str">
        <f>IFERROR(VLOOKUP(X364,TD!$J$51:$K$64,2,0)," ")</f>
        <v>Servicio de atención a incidentes y emergencias.</v>
      </c>
      <c r="Z364" s="161" t="str">
        <f>CONCATENATE(X364,"-",Y364)</f>
        <v>04-Servicio de atención a incidentes y emergencias.</v>
      </c>
      <c r="AA364" s="159" t="s">
        <v>221</v>
      </c>
      <c r="AB364" s="160" t="str">
        <f>IFERROR(VLOOKUP(AA364,TD!$N$51:$O$66,2,0)," ")</f>
        <v>Servicio de atención a emergencias y desastres</v>
      </c>
      <c r="AC364" s="161" t="str">
        <f>CONCATENATE(AA364,"_",AB364)</f>
        <v>004_Servicio de atención a emergencias y desastres</v>
      </c>
      <c r="AD364" s="161" t="str">
        <f>CONCATENATE(Z364," ",AC364)</f>
        <v>04-Servicio de atención a incidentes y emergencias. 004_Servicio de atención a emergencias y desastres</v>
      </c>
      <c r="AE364" s="160" t="str">
        <f>CONCATENATE(U364,V364,W364,X364,AA364)</f>
        <v>O23011745032024025504004</v>
      </c>
      <c r="AF364" s="160" t="str">
        <f>IFERROR(VLOOKUP(AD364,TD!$J$66:$K$89,2,0)," ")</f>
        <v>PM/0131/0104/45030040255</v>
      </c>
      <c r="AG364" s="118" t="s">
        <v>385</v>
      </c>
      <c r="AH364" s="159" t="s">
        <v>193</v>
      </c>
      <c r="AI364" s="162" t="str">
        <f>CONCATENATE(PAA[[#This Row],[Id Interno]],"-",PAA[[#This Row],[tipo de Contrato (TH talento humano - B/S bienes y/o servicios)]],"-",S364,"-",T364,"-",PAA[[#This Row],[Objeto de la contratación]])</f>
        <v>20260323-TH-8173-2-Prestar servicios profesionales jurídicos para el desarrollo de las actividades inherentes a los procesos de selección, brindando apoyo en la revisión, estructuración y seguimiento de la etapa precontractual, contractual y poscontractual de conformidad con lo establecido en el plan anual de adquisiciones, para el acompañamiento de los programas a cargo de la Subdirección operativa</v>
      </c>
    </row>
    <row r="365" spans="2:35" ht="56" x14ac:dyDescent="0.35">
      <c r="B365" s="23">
        <v>20260324</v>
      </c>
      <c r="C365" s="99" t="s">
        <v>905</v>
      </c>
      <c r="D365" s="99" t="s">
        <v>105</v>
      </c>
      <c r="E365" s="99" t="s">
        <v>363</v>
      </c>
      <c r="F365" s="157" t="s">
        <v>144</v>
      </c>
      <c r="G365" s="157" t="s">
        <v>379</v>
      </c>
      <c r="H365" s="164">
        <v>5</v>
      </c>
      <c r="I365" s="164">
        <v>0</v>
      </c>
      <c r="J365" s="118">
        <v>48500000</v>
      </c>
      <c r="K365" s="126" t="s">
        <v>398</v>
      </c>
      <c r="L365" s="157" t="s">
        <v>158</v>
      </c>
      <c r="M365" s="163" t="s">
        <v>421</v>
      </c>
      <c r="N365" s="99" t="s">
        <v>198</v>
      </c>
      <c r="O365" s="151" t="s">
        <v>964</v>
      </c>
      <c r="P365" s="157" t="s">
        <v>348</v>
      </c>
      <c r="Q365" s="128">
        <v>80111600</v>
      </c>
      <c r="R365" s="163" t="s">
        <v>211</v>
      </c>
      <c r="S365" s="159" t="str">
        <f>MID(PAA[[#This Row],[Meta Proyecto de Inversión]],1,4)</f>
        <v>8173</v>
      </c>
      <c r="T365" s="159" t="str">
        <f>MID(PAA[[#This Row],[Meta Proyecto de Inversión]],6,1)</f>
        <v>2</v>
      </c>
      <c r="U365" s="160" t="str">
        <f>IFERROR(VLOOKUP(N365,TD!$B$50:$F$54,2,0)," ")</f>
        <v>O230117</v>
      </c>
      <c r="V365" s="160" t="str">
        <f>IFERROR(VLOOKUP(N365,TD!$B$50:$F$54,3,0)," ")</f>
        <v>4503</v>
      </c>
      <c r="W365" s="160">
        <f>IFERROR(VLOOKUP(N365,TD!$B$50:$F$54,4,0)," ")</f>
        <v>20240255</v>
      </c>
      <c r="X365" s="159" t="s">
        <v>164</v>
      </c>
      <c r="Y365" s="160" t="str">
        <f>IFERROR(VLOOKUP(X365,TD!$J$51:$K$64,2,0)," ")</f>
        <v>Servicio de atención a incidentes y emergencias.</v>
      </c>
      <c r="Z365" s="161" t="str">
        <f>CONCATENATE(X365,"-",Y365)</f>
        <v>04-Servicio de atención a incidentes y emergencias.</v>
      </c>
      <c r="AA365" s="159" t="s">
        <v>221</v>
      </c>
      <c r="AB365" s="160" t="str">
        <f>IFERROR(VLOOKUP(AA365,TD!$N$51:$O$66,2,0)," ")</f>
        <v>Servicio de atención a emergencias y desastres</v>
      </c>
      <c r="AC365" s="161" t="str">
        <f>CONCATENATE(AA365,"_",AB365)</f>
        <v>004_Servicio de atención a emergencias y desastres</v>
      </c>
      <c r="AD365" s="161" t="str">
        <f>CONCATENATE(Z365," ",AC365)</f>
        <v>04-Servicio de atención a incidentes y emergencias. 004_Servicio de atención a emergencias y desastres</v>
      </c>
      <c r="AE365" s="160" t="str">
        <f>CONCATENATE(U365,V365,W365,X365,AA365)</f>
        <v>O23011745032024025504004</v>
      </c>
      <c r="AF365" s="160" t="str">
        <f>IFERROR(VLOOKUP(AD365,TD!$J$66:$K$89,2,0)," ")</f>
        <v>PM/0131/0104/45030040255</v>
      </c>
      <c r="AG365" s="118" t="s">
        <v>385</v>
      </c>
      <c r="AH365" s="159" t="s">
        <v>193</v>
      </c>
      <c r="AI365" s="162" t="str">
        <f>CONCATENATE(PAA[[#This Row],[Id Interno]],"-",PAA[[#This Row],[tipo de Contrato (TH talento humano - B/S bienes y/o servicios)]],"-",S365,"-",T365,"-",PAA[[#This Row],[Objeto de la contratación]])</f>
        <v>20260324-TH-8173-2-Prestación de servicios profesionales jurídicos para  realizar el seguimiento y control de las actividades de gestión propias de los procesos y procedimientos, para el acompañamiento de los programas de la Subdirección Operativa-S.O.</v>
      </c>
    </row>
    <row r="366" spans="2:35" ht="56" x14ac:dyDescent="0.35">
      <c r="B366" s="23">
        <v>20260325</v>
      </c>
      <c r="C366" s="99" t="s">
        <v>906</v>
      </c>
      <c r="D366" s="99" t="s">
        <v>105</v>
      </c>
      <c r="E366" s="99" t="s">
        <v>363</v>
      </c>
      <c r="F366" s="157" t="s">
        <v>144</v>
      </c>
      <c r="G366" s="157" t="s">
        <v>379</v>
      </c>
      <c r="H366" s="164">
        <v>5</v>
      </c>
      <c r="I366" s="164">
        <v>0</v>
      </c>
      <c r="J366" s="118">
        <v>48500000</v>
      </c>
      <c r="K366" s="126" t="s">
        <v>398</v>
      </c>
      <c r="L366" s="157" t="s">
        <v>158</v>
      </c>
      <c r="M366" s="163" t="s">
        <v>421</v>
      </c>
      <c r="N366" s="99" t="s">
        <v>198</v>
      </c>
      <c r="O366" s="151" t="s">
        <v>964</v>
      </c>
      <c r="P366" s="157" t="s">
        <v>348</v>
      </c>
      <c r="Q366" s="128">
        <v>80111600</v>
      </c>
      <c r="R366" s="163" t="s">
        <v>211</v>
      </c>
      <c r="S366" s="159" t="str">
        <f>MID(PAA[[#This Row],[Meta Proyecto de Inversión]],1,4)</f>
        <v>8173</v>
      </c>
      <c r="T366" s="159" t="str">
        <f>MID(PAA[[#This Row],[Meta Proyecto de Inversión]],6,1)</f>
        <v>2</v>
      </c>
      <c r="U366" s="160" t="str">
        <f>IFERROR(VLOOKUP(N366,TD!$B$50:$F$54,2,0)," ")</f>
        <v>O230117</v>
      </c>
      <c r="V366" s="160" t="str">
        <f>IFERROR(VLOOKUP(N366,TD!$B$50:$F$54,3,0)," ")</f>
        <v>4503</v>
      </c>
      <c r="W366" s="160">
        <f>IFERROR(VLOOKUP(N366,TD!$B$50:$F$54,4,0)," ")</f>
        <v>20240255</v>
      </c>
      <c r="X366" s="159" t="s">
        <v>164</v>
      </c>
      <c r="Y366" s="160" t="str">
        <f>IFERROR(VLOOKUP(X366,TD!$J$51:$K$64,2,0)," ")</f>
        <v>Servicio de atención a incidentes y emergencias.</v>
      </c>
      <c r="Z366" s="161" t="str">
        <f>CONCATENATE(X366,"-",Y366)</f>
        <v>04-Servicio de atención a incidentes y emergencias.</v>
      </c>
      <c r="AA366" s="159" t="s">
        <v>221</v>
      </c>
      <c r="AB366" s="160" t="str">
        <f>IFERROR(VLOOKUP(AA366,TD!$N$51:$O$66,2,0)," ")</f>
        <v>Servicio de atención a emergencias y desastres</v>
      </c>
      <c r="AC366" s="161" t="str">
        <f>CONCATENATE(AA366,"_",AB366)</f>
        <v>004_Servicio de atención a emergencias y desastres</v>
      </c>
      <c r="AD366" s="161" t="str">
        <f>CONCATENATE(Z366," ",AC366)</f>
        <v>04-Servicio de atención a incidentes y emergencias. 004_Servicio de atención a emergencias y desastres</v>
      </c>
      <c r="AE366" s="160" t="str">
        <f>CONCATENATE(U366,V366,W366,X366,AA366)</f>
        <v>O23011745032024025504004</v>
      </c>
      <c r="AF366" s="160" t="str">
        <f>IFERROR(VLOOKUP(AD366,TD!$J$66:$K$89,2,0)," ")</f>
        <v>PM/0131/0104/45030040255</v>
      </c>
      <c r="AG366" s="118" t="s">
        <v>385</v>
      </c>
      <c r="AH366" s="159" t="s">
        <v>193</v>
      </c>
      <c r="AI366" s="162" t="str">
        <f>CONCATENATE(PAA[[#This Row],[Id Interno]],"-",PAA[[#This Row],[tipo de Contrato (TH talento humano - B/S bienes y/o servicios)]],"-",S366,"-",T366,"-",PAA[[#This Row],[Objeto de la contratación]])</f>
        <v>20260325-TH-8173-2-Prestación de servicios profesionales jurídicos para  realizar el seguimiento y control de las actividades de gestión propias de los procesos y procedimientos, para el acompañamiento de los programas de la subdirección operativa y de las respuestas a Entes de control-S.O.</v>
      </c>
    </row>
    <row r="367" spans="2:35" ht="56" x14ac:dyDescent="0.35">
      <c r="B367" s="23">
        <v>20260326</v>
      </c>
      <c r="C367" s="99" t="s">
        <v>907</v>
      </c>
      <c r="D367" s="99" t="s">
        <v>105</v>
      </c>
      <c r="E367" s="99" t="s">
        <v>363</v>
      </c>
      <c r="F367" s="157" t="s">
        <v>144</v>
      </c>
      <c r="G367" s="157" t="s">
        <v>379</v>
      </c>
      <c r="H367" s="164">
        <v>5</v>
      </c>
      <c r="I367" s="164">
        <v>0</v>
      </c>
      <c r="J367" s="118">
        <v>33500000</v>
      </c>
      <c r="K367" s="126" t="s">
        <v>398</v>
      </c>
      <c r="L367" s="157" t="s">
        <v>158</v>
      </c>
      <c r="M367" s="163" t="s">
        <v>421</v>
      </c>
      <c r="N367" s="99" t="s">
        <v>198</v>
      </c>
      <c r="O367" s="151" t="s">
        <v>964</v>
      </c>
      <c r="P367" s="157" t="s">
        <v>348</v>
      </c>
      <c r="Q367" s="128">
        <v>80111600</v>
      </c>
      <c r="R367" s="163" t="s">
        <v>211</v>
      </c>
      <c r="S367" s="159" t="str">
        <f>MID(PAA[[#This Row],[Meta Proyecto de Inversión]],1,4)</f>
        <v>8173</v>
      </c>
      <c r="T367" s="159" t="str">
        <f>MID(PAA[[#This Row],[Meta Proyecto de Inversión]],6,1)</f>
        <v>2</v>
      </c>
      <c r="U367" s="160" t="str">
        <f>IFERROR(VLOOKUP(N367,TD!$B$50:$F$54,2,0)," ")</f>
        <v>O230117</v>
      </c>
      <c r="V367" s="160" t="str">
        <f>IFERROR(VLOOKUP(N367,TD!$B$50:$F$54,3,0)," ")</f>
        <v>4503</v>
      </c>
      <c r="W367" s="160">
        <f>IFERROR(VLOOKUP(N367,TD!$B$50:$F$54,4,0)," ")</f>
        <v>20240255</v>
      </c>
      <c r="X367" s="159" t="s">
        <v>164</v>
      </c>
      <c r="Y367" s="160" t="str">
        <f>IFERROR(VLOOKUP(X367,TD!$J$51:$K$64,2,0)," ")</f>
        <v>Servicio de atención a incidentes y emergencias.</v>
      </c>
      <c r="Z367" s="161" t="str">
        <f>CONCATENATE(X367,"-",Y367)</f>
        <v>04-Servicio de atención a incidentes y emergencias.</v>
      </c>
      <c r="AA367" s="159" t="s">
        <v>221</v>
      </c>
      <c r="AB367" s="160" t="str">
        <f>IFERROR(VLOOKUP(AA367,TD!$N$51:$O$66,2,0)," ")</f>
        <v>Servicio de atención a emergencias y desastres</v>
      </c>
      <c r="AC367" s="161" t="str">
        <f>CONCATENATE(AA367,"_",AB367)</f>
        <v>004_Servicio de atención a emergencias y desastres</v>
      </c>
      <c r="AD367" s="161" t="str">
        <f>CONCATENATE(Z367," ",AC367)</f>
        <v>04-Servicio de atención a incidentes y emergencias. 004_Servicio de atención a emergencias y desastres</v>
      </c>
      <c r="AE367" s="160" t="str">
        <f>CONCATENATE(U367,V367,W367,X367,AA367)</f>
        <v>O23011745032024025504004</v>
      </c>
      <c r="AF367" s="160" t="str">
        <f>IFERROR(VLOOKUP(AD367,TD!$J$66:$K$89,2,0)," ")</f>
        <v>PM/0131/0104/45030040255</v>
      </c>
      <c r="AG367" s="118" t="s">
        <v>385</v>
      </c>
      <c r="AH367" s="159" t="s">
        <v>193</v>
      </c>
      <c r="AI367" s="162" t="str">
        <f>CONCATENATE(PAA[[#This Row],[Id Interno]],"-",PAA[[#This Row],[tipo de Contrato (TH talento humano - B/S bienes y/o servicios)]],"-",S367,"-",T367,"-",PAA[[#This Row],[Objeto de la contratación]])</f>
        <v>20260326-TH-8173-2-Prestación de servicios profesionales para realizar el levantamiento de información, registro de novedades sobre herramientas tecnológicas,  optimización de procesos tecnológicos, operativos y administrativos, en articulación con las estaciones de bomberos, grupos especializados, demás áreas de la entidad, para el acompañamiento de los programas de la Subdireccion Operativa-S.O.</v>
      </c>
    </row>
    <row r="368" spans="2:35" ht="56" x14ac:dyDescent="0.35">
      <c r="B368" s="23">
        <v>20260327</v>
      </c>
      <c r="C368" s="99" t="s">
        <v>908</v>
      </c>
      <c r="D368" s="99" t="s">
        <v>105</v>
      </c>
      <c r="E368" s="99" t="s">
        <v>363</v>
      </c>
      <c r="F368" s="157" t="s">
        <v>144</v>
      </c>
      <c r="G368" s="157" t="s">
        <v>379</v>
      </c>
      <c r="H368" s="164">
        <v>5</v>
      </c>
      <c r="I368" s="164">
        <v>0</v>
      </c>
      <c r="J368" s="118">
        <v>36000000</v>
      </c>
      <c r="K368" s="126" t="s">
        <v>398</v>
      </c>
      <c r="L368" s="157" t="s">
        <v>158</v>
      </c>
      <c r="M368" s="163" t="s">
        <v>421</v>
      </c>
      <c r="N368" s="99" t="s">
        <v>198</v>
      </c>
      <c r="O368" s="151" t="s">
        <v>964</v>
      </c>
      <c r="P368" s="157" t="s">
        <v>348</v>
      </c>
      <c r="Q368" s="128">
        <v>80111600</v>
      </c>
      <c r="R368" s="163" t="s">
        <v>211</v>
      </c>
      <c r="S368" s="159" t="str">
        <f>MID(PAA[[#This Row],[Meta Proyecto de Inversión]],1,4)</f>
        <v>8173</v>
      </c>
      <c r="T368" s="159" t="str">
        <f>MID(PAA[[#This Row],[Meta Proyecto de Inversión]],6,1)</f>
        <v>2</v>
      </c>
      <c r="U368" s="160" t="str">
        <f>IFERROR(VLOOKUP(N368,TD!$B$50:$F$54,2,0)," ")</f>
        <v>O230117</v>
      </c>
      <c r="V368" s="160" t="str">
        <f>IFERROR(VLOOKUP(N368,TD!$B$50:$F$54,3,0)," ")</f>
        <v>4503</v>
      </c>
      <c r="W368" s="160">
        <f>IFERROR(VLOOKUP(N368,TD!$B$50:$F$54,4,0)," ")</f>
        <v>20240255</v>
      </c>
      <c r="X368" s="159" t="s">
        <v>164</v>
      </c>
      <c r="Y368" s="160" t="str">
        <f>IFERROR(VLOOKUP(X368,TD!$J$51:$K$64,2,0)," ")</f>
        <v>Servicio de atención a incidentes y emergencias.</v>
      </c>
      <c r="Z368" s="161" t="str">
        <f>CONCATENATE(X368,"-",Y368)</f>
        <v>04-Servicio de atención a incidentes y emergencias.</v>
      </c>
      <c r="AA368" s="159" t="s">
        <v>221</v>
      </c>
      <c r="AB368" s="160" t="str">
        <f>IFERROR(VLOOKUP(AA368,TD!$N$51:$O$66,2,0)," ")</f>
        <v>Servicio de atención a emergencias y desastres</v>
      </c>
      <c r="AC368" s="161" t="str">
        <f>CONCATENATE(AA368,"_",AB368)</f>
        <v>004_Servicio de atención a emergencias y desastres</v>
      </c>
      <c r="AD368" s="161" t="str">
        <f>CONCATENATE(Z368," ",AC368)</f>
        <v>04-Servicio de atención a incidentes y emergencias. 004_Servicio de atención a emergencias y desastres</v>
      </c>
      <c r="AE368" s="160" t="str">
        <f>CONCATENATE(U368,V368,W368,X368,AA368)</f>
        <v>O23011745032024025504004</v>
      </c>
      <c r="AF368" s="160" t="str">
        <f>IFERROR(VLOOKUP(AD368,TD!$J$66:$K$89,2,0)," ")</f>
        <v>PM/0131/0104/45030040255</v>
      </c>
      <c r="AG368" s="118" t="s">
        <v>385</v>
      </c>
      <c r="AH368" s="159" t="s">
        <v>193</v>
      </c>
      <c r="AI368" s="162" t="str">
        <f>CONCATENATE(PAA[[#This Row],[Id Interno]],"-",PAA[[#This Row],[tipo de Contrato (TH talento humano - B/S bienes y/o servicios)]],"-",S368,"-",T368,"-",PAA[[#This Row],[Objeto de la contratación]])</f>
        <v>20260327-TH-8173-2- Prestación de servicios profesionales para apoyar en el manejo o elaboración de bases de datos, insumos de respuesta, articulación, gestión de información, y levantamiento de requerimientos para entregar a tecnologías de la información con el fin de llevar a cabo la automatización de los procedimientos, para el acompañamiento de los programas de la Subdirección Operativa-S.O.</v>
      </c>
    </row>
    <row r="369" spans="2:35" ht="56" x14ac:dyDescent="0.35">
      <c r="B369" s="23">
        <v>20260328</v>
      </c>
      <c r="C369" s="99" t="s">
        <v>909</v>
      </c>
      <c r="D369" s="99" t="s">
        <v>105</v>
      </c>
      <c r="E369" s="99" t="s">
        <v>363</v>
      </c>
      <c r="F369" s="157" t="s">
        <v>144</v>
      </c>
      <c r="G369" s="157" t="s">
        <v>379</v>
      </c>
      <c r="H369" s="164">
        <v>5</v>
      </c>
      <c r="I369" s="164">
        <v>0</v>
      </c>
      <c r="J369" s="118">
        <v>42500000</v>
      </c>
      <c r="K369" s="126" t="s">
        <v>398</v>
      </c>
      <c r="L369" s="157" t="s">
        <v>158</v>
      </c>
      <c r="M369" s="163" t="s">
        <v>421</v>
      </c>
      <c r="N369" s="99" t="s">
        <v>198</v>
      </c>
      <c r="O369" s="151" t="s">
        <v>964</v>
      </c>
      <c r="P369" s="157" t="s">
        <v>348</v>
      </c>
      <c r="Q369" s="128">
        <v>80111600</v>
      </c>
      <c r="R369" s="163" t="s">
        <v>211</v>
      </c>
      <c r="S369" s="159" t="str">
        <f>MID(PAA[[#This Row],[Meta Proyecto de Inversión]],1,4)</f>
        <v>8173</v>
      </c>
      <c r="T369" s="159" t="str">
        <f>MID(PAA[[#This Row],[Meta Proyecto de Inversión]],6,1)</f>
        <v>2</v>
      </c>
      <c r="U369" s="160" t="str">
        <f>IFERROR(VLOOKUP(N369,TD!$B$50:$F$54,2,0)," ")</f>
        <v>O230117</v>
      </c>
      <c r="V369" s="160" t="str">
        <f>IFERROR(VLOOKUP(N369,TD!$B$50:$F$54,3,0)," ")</f>
        <v>4503</v>
      </c>
      <c r="W369" s="160">
        <f>IFERROR(VLOOKUP(N369,TD!$B$50:$F$54,4,0)," ")</f>
        <v>20240255</v>
      </c>
      <c r="X369" s="159" t="s">
        <v>164</v>
      </c>
      <c r="Y369" s="160" t="str">
        <f>IFERROR(VLOOKUP(X369,TD!$J$51:$K$64,2,0)," ")</f>
        <v>Servicio de atención a incidentes y emergencias.</v>
      </c>
      <c r="Z369" s="161" t="str">
        <f>CONCATENATE(X369,"-",Y369)</f>
        <v>04-Servicio de atención a incidentes y emergencias.</v>
      </c>
      <c r="AA369" s="159" t="s">
        <v>221</v>
      </c>
      <c r="AB369" s="160" t="str">
        <f>IFERROR(VLOOKUP(AA369,TD!$N$51:$O$66,2,0)," ")</f>
        <v>Servicio de atención a emergencias y desastres</v>
      </c>
      <c r="AC369" s="161" t="str">
        <f>CONCATENATE(AA369,"_",AB369)</f>
        <v>004_Servicio de atención a emergencias y desastres</v>
      </c>
      <c r="AD369" s="161" t="str">
        <f>CONCATENATE(Z369," ",AC369)</f>
        <v>04-Servicio de atención a incidentes y emergencias. 004_Servicio de atención a emergencias y desastres</v>
      </c>
      <c r="AE369" s="160" t="str">
        <f>CONCATENATE(U369,V369,W369,X369,AA369)</f>
        <v>O23011745032024025504004</v>
      </c>
      <c r="AF369" s="160" t="str">
        <f>IFERROR(VLOOKUP(AD369,TD!$J$66:$K$89,2,0)," ")</f>
        <v>PM/0131/0104/45030040255</v>
      </c>
      <c r="AG369" s="118" t="s">
        <v>385</v>
      </c>
      <c r="AH369" s="159" t="s">
        <v>193</v>
      </c>
      <c r="AI369" s="162" t="str">
        <f>CONCATENATE(PAA[[#This Row],[Id Interno]],"-",PAA[[#This Row],[tipo de Contrato (TH talento humano - B/S bienes y/o servicios)]],"-",S369,"-",T369,"-",PAA[[#This Row],[Objeto de la contratación]])</f>
        <v>20260328-TH-8173-2-Prestación de servicios profesionales para realizar la consolidación, seguimiento financiero, control y reporte de los planes y proyectos de inversión e indicadores, para el apoyo de los programas de la Subdirección Operativa-S.O.</v>
      </c>
    </row>
    <row r="370" spans="2:35" ht="56" x14ac:dyDescent="0.35">
      <c r="B370" s="23">
        <v>20260329</v>
      </c>
      <c r="C370" s="99" t="s">
        <v>910</v>
      </c>
      <c r="D370" s="99" t="s">
        <v>105</v>
      </c>
      <c r="E370" s="99" t="s">
        <v>363</v>
      </c>
      <c r="F370" s="157" t="s">
        <v>144</v>
      </c>
      <c r="G370" s="157" t="s">
        <v>379</v>
      </c>
      <c r="H370" s="164">
        <v>5</v>
      </c>
      <c r="I370" s="164">
        <v>0</v>
      </c>
      <c r="J370" s="118">
        <v>48500000</v>
      </c>
      <c r="K370" s="126" t="s">
        <v>398</v>
      </c>
      <c r="L370" s="157" t="s">
        <v>158</v>
      </c>
      <c r="M370" s="163" t="s">
        <v>421</v>
      </c>
      <c r="N370" s="99" t="s">
        <v>198</v>
      </c>
      <c r="O370" s="151" t="s">
        <v>964</v>
      </c>
      <c r="P370" s="157" t="s">
        <v>348</v>
      </c>
      <c r="Q370" s="128">
        <v>80111600</v>
      </c>
      <c r="R370" s="163" t="s">
        <v>211</v>
      </c>
      <c r="S370" s="159" t="str">
        <f>MID(PAA[[#This Row],[Meta Proyecto de Inversión]],1,4)</f>
        <v>8173</v>
      </c>
      <c r="T370" s="159" t="str">
        <f>MID(PAA[[#This Row],[Meta Proyecto de Inversión]],6,1)</f>
        <v>2</v>
      </c>
      <c r="U370" s="160" t="str">
        <f>IFERROR(VLOOKUP(N370,TD!$B$50:$F$54,2,0)," ")</f>
        <v>O230117</v>
      </c>
      <c r="V370" s="160" t="str">
        <f>IFERROR(VLOOKUP(N370,TD!$B$50:$F$54,3,0)," ")</f>
        <v>4503</v>
      </c>
      <c r="W370" s="160">
        <f>IFERROR(VLOOKUP(N370,TD!$B$50:$F$54,4,0)," ")</f>
        <v>20240255</v>
      </c>
      <c r="X370" s="159" t="s">
        <v>164</v>
      </c>
      <c r="Y370" s="160" t="str">
        <f>IFERROR(VLOOKUP(X370,TD!$J$51:$K$64,2,0)," ")</f>
        <v>Servicio de atención a incidentes y emergencias.</v>
      </c>
      <c r="Z370" s="161" t="str">
        <f>CONCATENATE(X370,"-",Y370)</f>
        <v>04-Servicio de atención a incidentes y emergencias.</v>
      </c>
      <c r="AA370" s="159" t="s">
        <v>221</v>
      </c>
      <c r="AB370" s="160" t="str">
        <f>IFERROR(VLOOKUP(AA370,TD!$N$51:$O$66,2,0)," ")</f>
        <v>Servicio de atención a emergencias y desastres</v>
      </c>
      <c r="AC370" s="161" t="str">
        <f>CONCATENATE(AA370,"_",AB370)</f>
        <v>004_Servicio de atención a emergencias y desastres</v>
      </c>
      <c r="AD370" s="161" t="str">
        <f>CONCATENATE(Z370," ",AC370)</f>
        <v>04-Servicio de atención a incidentes y emergencias. 004_Servicio de atención a emergencias y desastres</v>
      </c>
      <c r="AE370" s="160" t="str">
        <f>CONCATENATE(U370,V370,W370,X370,AA370)</f>
        <v>O23011745032024025504004</v>
      </c>
      <c r="AF370" s="160" t="str">
        <f>IFERROR(VLOOKUP(AD370,TD!$J$66:$K$89,2,0)," ")</f>
        <v>PM/0131/0104/45030040255</v>
      </c>
      <c r="AG370" s="118" t="s">
        <v>385</v>
      </c>
      <c r="AH370" s="159" t="s">
        <v>193</v>
      </c>
      <c r="AI370" s="162" t="str">
        <f>CONCATENATE(PAA[[#This Row],[Id Interno]],"-",PAA[[#This Row],[tipo de Contrato (TH talento humano - B/S bienes y/o servicios)]],"-",S370,"-",T370,"-",PAA[[#This Row],[Objeto de la contratación]])</f>
        <v>20260329-TH-8173-2-Prestación de servicios profesionales para liderar la estructuración, verificación de fichas técnicas y consolidación de los procesos de selección y demás documentos precontractuales conforme a las necesidades técnicas propias de la misionalidad de la entidad, para el apoyo de los programas de la Subdirección Operativa-S.O.</v>
      </c>
    </row>
    <row r="371" spans="2:35" ht="56" x14ac:dyDescent="0.35">
      <c r="B371" s="23">
        <v>20260330</v>
      </c>
      <c r="C371" s="99" t="s">
        <v>911</v>
      </c>
      <c r="D371" s="99" t="s">
        <v>105</v>
      </c>
      <c r="E371" s="99" t="s">
        <v>363</v>
      </c>
      <c r="F371" s="157" t="s">
        <v>145</v>
      </c>
      <c r="G371" s="157" t="s">
        <v>379</v>
      </c>
      <c r="H371" s="164">
        <v>6</v>
      </c>
      <c r="I371" s="164">
        <v>0</v>
      </c>
      <c r="J371" s="118">
        <v>18900000</v>
      </c>
      <c r="K371" s="126" t="s">
        <v>398</v>
      </c>
      <c r="L371" s="157" t="s">
        <v>158</v>
      </c>
      <c r="M371" s="163" t="s">
        <v>421</v>
      </c>
      <c r="N371" s="99" t="s">
        <v>198</v>
      </c>
      <c r="O371" s="151" t="s">
        <v>964</v>
      </c>
      <c r="P371" s="157" t="s">
        <v>348</v>
      </c>
      <c r="Q371" s="128">
        <v>80111600</v>
      </c>
      <c r="R371" s="163" t="s">
        <v>211</v>
      </c>
      <c r="S371" s="159" t="str">
        <f>MID(PAA[[#This Row],[Meta Proyecto de Inversión]],1,4)</f>
        <v>8173</v>
      </c>
      <c r="T371" s="159" t="str">
        <f>MID(PAA[[#This Row],[Meta Proyecto de Inversión]],6,1)</f>
        <v>2</v>
      </c>
      <c r="U371" s="160" t="str">
        <f>IFERROR(VLOOKUP(N371,TD!$B$50:$F$54,2,0)," ")</f>
        <v>O230117</v>
      </c>
      <c r="V371" s="160" t="str">
        <f>IFERROR(VLOOKUP(N371,TD!$B$50:$F$54,3,0)," ")</f>
        <v>4503</v>
      </c>
      <c r="W371" s="160">
        <f>IFERROR(VLOOKUP(N371,TD!$B$50:$F$54,4,0)," ")</f>
        <v>20240255</v>
      </c>
      <c r="X371" s="159" t="s">
        <v>164</v>
      </c>
      <c r="Y371" s="160" t="str">
        <f>IFERROR(VLOOKUP(X371,TD!$J$51:$K$64,2,0)," ")</f>
        <v>Servicio de atención a incidentes y emergencias.</v>
      </c>
      <c r="Z371" s="161" t="str">
        <f>CONCATENATE(X371,"-",Y371)</f>
        <v>04-Servicio de atención a incidentes y emergencias.</v>
      </c>
      <c r="AA371" s="159" t="s">
        <v>221</v>
      </c>
      <c r="AB371" s="160" t="str">
        <f>IFERROR(VLOOKUP(AA371,TD!$N$51:$O$66,2,0)," ")</f>
        <v>Servicio de atención a emergencias y desastres</v>
      </c>
      <c r="AC371" s="161" t="str">
        <f>CONCATENATE(AA371,"_",AB371)</f>
        <v>004_Servicio de atención a emergencias y desastres</v>
      </c>
      <c r="AD371" s="161" t="str">
        <f>CONCATENATE(Z371," ",AC371)</f>
        <v>04-Servicio de atención a incidentes y emergencias. 004_Servicio de atención a emergencias y desastres</v>
      </c>
      <c r="AE371" s="160" t="str">
        <f>CONCATENATE(U371,V371,W371,X371,AA371)</f>
        <v>O23011745032024025504004</v>
      </c>
      <c r="AF371" s="160" t="str">
        <f>IFERROR(VLOOKUP(AD371,TD!$J$66:$K$89,2,0)," ")</f>
        <v>PM/0131/0104/45030040255</v>
      </c>
      <c r="AG371" s="118" t="s">
        <v>385</v>
      </c>
      <c r="AH371" s="159" t="s">
        <v>193</v>
      </c>
      <c r="AI371" s="162" t="str">
        <f>CONCATENATE(PAA[[#This Row],[Id Interno]],"-",PAA[[#This Row],[tipo de Contrato (TH talento humano - B/S bienes y/o servicios)]],"-",S371,"-",T371,"-",PAA[[#This Row],[Objeto de la contratación]])</f>
        <v>20260330-TH-8173-2-Prestación de servicios de apoyo a la gestión en las actividades documentales, administrativas y manejo de las herramientas de gestión, para el acompañamiento de los programas de la Subdirección Operativa S.O.</v>
      </c>
    </row>
    <row r="372" spans="2:35" ht="56" x14ac:dyDescent="0.35">
      <c r="B372" s="23">
        <v>20260331</v>
      </c>
      <c r="C372" s="99" t="s">
        <v>680</v>
      </c>
      <c r="D372" s="99" t="s">
        <v>88</v>
      </c>
      <c r="E372" s="99" t="s">
        <v>402</v>
      </c>
      <c r="F372" s="157" t="s">
        <v>101</v>
      </c>
      <c r="G372" s="157" t="s">
        <v>373</v>
      </c>
      <c r="H372" s="164">
        <v>6</v>
      </c>
      <c r="I372" s="164">
        <v>0</v>
      </c>
      <c r="J372" s="118">
        <v>300000000</v>
      </c>
      <c r="K372" s="126" t="s">
        <v>398</v>
      </c>
      <c r="L372" s="157" t="s">
        <v>158</v>
      </c>
      <c r="M372" s="163" t="s">
        <v>421</v>
      </c>
      <c r="N372" s="99" t="s">
        <v>330</v>
      </c>
      <c r="O372" s="151" t="s">
        <v>963</v>
      </c>
      <c r="P372" s="157" t="s">
        <v>161</v>
      </c>
      <c r="Q372" s="128">
        <v>53102710</v>
      </c>
      <c r="R372" s="163" t="s">
        <v>331</v>
      </c>
      <c r="S372" s="159" t="str">
        <f>MID(PAA[[#This Row],[Meta Proyecto de Inversión]],1,4)</f>
        <v>No a</v>
      </c>
      <c r="T372" s="159" t="str">
        <f>MID(PAA[[#This Row],[Meta Proyecto de Inversión]],6,1)</f>
        <v>l</v>
      </c>
      <c r="U372" s="160" t="str">
        <f>IFERROR(VLOOKUP(N372,TD!$B$50:$F$54,2,0)," ")</f>
        <v>NA</v>
      </c>
      <c r="V372" s="160" t="str">
        <f>IFERROR(VLOOKUP(N372,TD!$B$50:$F$54,3,0)," ")</f>
        <v>NA</v>
      </c>
      <c r="W372" s="160" t="str">
        <f>IFERROR(VLOOKUP(N372,TD!$B$50:$F$54,4,0)," ")</f>
        <v>NA</v>
      </c>
      <c r="X372" s="159" t="s">
        <v>335</v>
      </c>
      <c r="Y372" s="160" t="str">
        <f>IFERROR(VLOOKUP(X372,TD!$J$51:$K$64,2,0)," ")</f>
        <v>N/A</v>
      </c>
      <c r="Z372" s="161" t="str">
        <f>CONCATENATE(X372,"-",Y372)</f>
        <v>N/A-N/A</v>
      </c>
      <c r="AA372" s="159" t="s">
        <v>335</v>
      </c>
      <c r="AB372" s="160" t="str">
        <f>IFERROR(VLOOKUP(AA372,TD!$N$51:$O$66,2,0)," ")</f>
        <v>N/A</v>
      </c>
      <c r="AC372" s="161" t="str">
        <f>CONCATENATE(AA372,"_",AB372)</f>
        <v>N/A_N/A</v>
      </c>
      <c r="AD372" s="161" t="str">
        <f>CONCATENATE(Z372," ",AC372)</f>
        <v>N/A-N/A N/A_N/A</v>
      </c>
      <c r="AE372" s="160" t="str">
        <f>CONCATENATE(U372,V372,W372,X372,AA372)</f>
        <v>NANANAN/AN/A</v>
      </c>
      <c r="AF372" s="160" t="str">
        <f>IFERROR(VLOOKUP(AD372,TD!$J$66:$K$89,2,0)," ")</f>
        <v>N/A</v>
      </c>
      <c r="AG372" s="118" t="s">
        <v>349</v>
      </c>
      <c r="AH372" s="159" t="s">
        <v>193</v>
      </c>
      <c r="AI372" s="162" t="str">
        <f>CONCATENATE(PAA[[#This Row],[Id Interno]],"-",PAA[[#This Row],[tipo de Contrato (TH talento humano - B/S bienes y/o servicios)]],"-",S372,"-",T372,"-",PAA[[#This Row],[Objeto de la contratación]])</f>
        <v>20260331-BS-No a-l-Adquisición de uniformes para el personal operativo de la UAECOB</v>
      </c>
    </row>
    <row r="373" spans="2:35" ht="56" x14ac:dyDescent="0.35">
      <c r="B373" s="23">
        <v>20260332</v>
      </c>
      <c r="C373" s="99" t="s">
        <v>912</v>
      </c>
      <c r="D373" s="99" t="s">
        <v>105</v>
      </c>
      <c r="E373" s="99" t="s">
        <v>363</v>
      </c>
      <c r="F373" s="157" t="s">
        <v>144</v>
      </c>
      <c r="G373" s="157" t="s">
        <v>379</v>
      </c>
      <c r="H373" s="164">
        <v>3</v>
      </c>
      <c r="I373" s="164">
        <v>0</v>
      </c>
      <c r="J373" s="118">
        <v>21600000</v>
      </c>
      <c r="K373" s="126" t="s">
        <v>398</v>
      </c>
      <c r="L373" s="157" t="s">
        <v>158</v>
      </c>
      <c r="M373" s="163" t="s">
        <v>421</v>
      </c>
      <c r="N373" s="99" t="s">
        <v>198</v>
      </c>
      <c r="O373" s="151" t="s">
        <v>964</v>
      </c>
      <c r="P373" s="157" t="s">
        <v>348</v>
      </c>
      <c r="Q373" s="128">
        <v>80111600</v>
      </c>
      <c r="R373" s="163" t="s">
        <v>211</v>
      </c>
      <c r="S373" s="159" t="str">
        <f>MID(PAA[[#This Row],[Meta Proyecto de Inversión]],1,4)</f>
        <v>8173</v>
      </c>
      <c r="T373" s="159" t="str">
        <f>MID(PAA[[#This Row],[Meta Proyecto de Inversión]],6,1)</f>
        <v>2</v>
      </c>
      <c r="U373" s="160" t="str">
        <f>IFERROR(VLOOKUP(N373,TD!$B$50:$F$54,2,0)," ")</f>
        <v>O230117</v>
      </c>
      <c r="V373" s="160" t="str">
        <f>IFERROR(VLOOKUP(N373,TD!$B$50:$F$54,3,0)," ")</f>
        <v>4503</v>
      </c>
      <c r="W373" s="160">
        <f>IFERROR(VLOOKUP(N373,TD!$B$50:$F$54,4,0)," ")</f>
        <v>20240255</v>
      </c>
      <c r="X373" s="159" t="s">
        <v>164</v>
      </c>
      <c r="Y373" s="160" t="str">
        <f>IFERROR(VLOOKUP(X373,TD!$J$51:$K$64,2,0)," ")</f>
        <v>Servicio de atención a incidentes y emergencias.</v>
      </c>
      <c r="Z373" s="161" t="str">
        <f>CONCATENATE(X373,"-",Y373)</f>
        <v>04-Servicio de atención a incidentes y emergencias.</v>
      </c>
      <c r="AA373" s="159" t="s">
        <v>221</v>
      </c>
      <c r="AB373" s="160" t="str">
        <f>IFERROR(VLOOKUP(AA373,TD!$N$51:$O$66,2,0)," ")</f>
        <v>Servicio de atención a emergencias y desastres</v>
      </c>
      <c r="AC373" s="161" t="str">
        <f>CONCATENATE(AA373,"_",AB373)</f>
        <v>004_Servicio de atención a emergencias y desastres</v>
      </c>
      <c r="AD373" s="161" t="str">
        <f>CONCATENATE(Z373," ",AC373)</f>
        <v>04-Servicio de atención a incidentes y emergencias. 004_Servicio de atención a emergencias y desastres</v>
      </c>
      <c r="AE373" s="160" t="str">
        <f>CONCATENATE(U373,V373,W373,X373,AA373)</f>
        <v>O23011745032024025504004</v>
      </c>
      <c r="AF373" s="160" t="str">
        <f>IFERROR(VLOOKUP(AD373,TD!$J$66:$K$89,2,0)," ")</f>
        <v>PM/0131/0104/45030040255</v>
      </c>
      <c r="AG373" s="118" t="s">
        <v>385</v>
      </c>
      <c r="AH373" s="159" t="s">
        <v>193</v>
      </c>
      <c r="AI373" s="162" t="str">
        <f>CONCATENATE(PAA[[#This Row],[Id Interno]],"-",PAA[[#This Row],[tipo de Contrato (TH talento humano - B/S bienes y/o servicios)]],"-",S373,"-",T373,"-",PAA[[#This Row],[Objeto de la contratación]])</f>
        <v>20260332-TH-8173-2-Prestación de servicios profesionales para apoyar en la consolidación y verificación de información técnica de los procesos de selección en las diferentes etapas conforme a la misionalidad de la entidad, para el acompañamiento de los programas de la Subdirección Operativa-S.O.</v>
      </c>
    </row>
    <row r="374" spans="2:35" ht="56" x14ac:dyDescent="0.35">
      <c r="B374" s="23">
        <v>20260333</v>
      </c>
      <c r="C374" s="99" t="s">
        <v>961</v>
      </c>
      <c r="D374" s="23" t="s">
        <v>105</v>
      </c>
      <c r="E374" s="23" t="s">
        <v>363</v>
      </c>
      <c r="F374" s="156" t="s">
        <v>145</v>
      </c>
      <c r="G374" s="157" t="s">
        <v>373</v>
      </c>
      <c r="H374" s="158">
        <v>10</v>
      </c>
      <c r="I374" s="158">
        <v>0</v>
      </c>
      <c r="J374" s="127">
        <v>37500000</v>
      </c>
      <c r="K374" s="88" t="s">
        <v>398</v>
      </c>
      <c r="L374" s="156" t="s">
        <v>156</v>
      </c>
      <c r="M374" s="159" t="s">
        <v>513</v>
      </c>
      <c r="N374" s="23" t="s">
        <v>198</v>
      </c>
      <c r="O374" s="151" t="s">
        <v>964</v>
      </c>
      <c r="P374" s="156" t="s">
        <v>348</v>
      </c>
      <c r="Q374" s="53">
        <v>80111600</v>
      </c>
      <c r="R374" s="159" t="s">
        <v>210</v>
      </c>
      <c r="S374" s="159" t="str">
        <f>MID(PAA[[#This Row],[Meta Proyecto de Inversión]],1,4)</f>
        <v>8173</v>
      </c>
      <c r="T374" s="159" t="str">
        <f>MID(PAA[[#This Row],[Meta Proyecto de Inversión]],6,1)</f>
        <v>1</v>
      </c>
      <c r="U374" s="160" t="str">
        <f>IFERROR(VLOOKUP(N374,TD!$B$50:$F$54,2,0)," ")</f>
        <v>O230117</v>
      </c>
      <c r="V374" s="160" t="str">
        <f>IFERROR(VLOOKUP(N374,TD!$B$50:$F$54,3,0)," ")</f>
        <v>4503</v>
      </c>
      <c r="W374" s="160">
        <f>IFERROR(VLOOKUP(N374,TD!$B$50:$F$54,4,0)," ")</f>
        <v>20240255</v>
      </c>
      <c r="X374" s="159" t="s">
        <v>166</v>
      </c>
      <c r="Y374" s="160" t="str">
        <f>IFERROR(VLOOKUP(X374,TD!$J$51:$K$64,2,0)," ")</f>
        <v>Servicio de capacitaciones en gestión del riesgo de incendios  a la ciudadania.</v>
      </c>
      <c r="Z374" s="161" t="str">
        <f>CONCATENATE(X374,"-",Y374)</f>
        <v>05-Servicio de capacitaciones en gestión del riesgo de incendios  a la ciudadania.</v>
      </c>
      <c r="AA374" s="159" t="s">
        <v>223</v>
      </c>
      <c r="AB374" s="160" t="str">
        <f>IFERROR(VLOOKUP(AA374,TD!$N$51:$O$66,2,0)," ")</f>
        <v>Servicio prevención y control de incendios</v>
      </c>
      <c r="AC374" s="161" t="str">
        <f>CONCATENATE(AA374,"_",AB374)</f>
        <v>035_Servicio prevención y control de incendios</v>
      </c>
      <c r="AD374" s="161" t="str">
        <f>CONCATENATE(Z374," ",AC374)</f>
        <v>05-Servicio de capacitaciones en gestión del riesgo de incendios  a la ciudadania. 035_Servicio prevención y control de incendios</v>
      </c>
      <c r="AE374" s="160" t="str">
        <f>CONCATENATE(U374,V374,W374,X374,AA374)</f>
        <v>O23011745032024025505035</v>
      </c>
      <c r="AF374" s="160" t="str">
        <f>IFERROR(VLOOKUP(AD374,TD!$J$66:$K$89,2,0)," ")</f>
        <v>PM/0131/0105/45030350255</v>
      </c>
      <c r="AG374" s="118" t="s">
        <v>385</v>
      </c>
      <c r="AH374" s="159" t="s">
        <v>193</v>
      </c>
      <c r="AI374" s="162" t="str">
        <f>CONCATENATE(PAA[[#This Row],[Id Interno]],"-",PAA[[#This Row],[tipo de Contrato (TH talento humano - B/S bienes y/o servicios)]],"-",S374,"-",T374,"-",PAA[[#This Row],[Objeto de la contratación]])</f>
        <v>20260333-TH-8173-1-Prestar servicios de apoyo como conductor a las acciones misionales de la Subdirección de Gestión del Riesgo.</v>
      </c>
    </row>
    <row r="375" spans="2:35" ht="56" x14ac:dyDescent="0.35">
      <c r="B375" s="23">
        <v>20260334</v>
      </c>
      <c r="C375" s="99" t="s">
        <v>547</v>
      </c>
      <c r="D375" s="23" t="s">
        <v>105</v>
      </c>
      <c r="E375" s="23" t="s">
        <v>363</v>
      </c>
      <c r="F375" s="156" t="s">
        <v>144</v>
      </c>
      <c r="G375" s="157" t="s">
        <v>373</v>
      </c>
      <c r="H375" s="158">
        <v>10</v>
      </c>
      <c r="I375" s="158">
        <v>0</v>
      </c>
      <c r="J375" s="127">
        <v>60000000</v>
      </c>
      <c r="K375" s="88" t="s">
        <v>398</v>
      </c>
      <c r="L375" s="156" t="s">
        <v>156</v>
      </c>
      <c r="M375" s="159" t="s">
        <v>513</v>
      </c>
      <c r="N375" s="23" t="s">
        <v>198</v>
      </c>
      <c r="O375" s="151" t="s">
        <v>964</v>
      </c>
      <c r="P375" s="156" t="s">
        <v>348</v>
      </c>
      <c r="Q375" s="53">
        <v>80111600</v>
      </c>
      <c r="R375" s="159" t="s">
        <v>210</v>
      </c>
      <c r="S375" s="159" t="str">
        <f>MID(PAA[[#This Row],[Meta Proyecto de Inversión]],1,4)</f>
        <v>8173</v>
      </c>
      <c r="T375" s="159" t="str">
        <f>MID(PAA[[#This Row],[Meta Proyecto de Inversión]],6,1)</f>
        <v>1</v>
      </c>
      <c r="U375" s="160" t="str">
        <f>IFERROR(VLOOKUP(N375,TD!$B$50:$F$54,2,0)," ")</f>
        <v>O230117</v>
      </c>
      <c r="V375" s="160" t="str">
        <f>IFERROR(VLOOKUP(N375,TD!$B$50:$F$54,3,0)," ")</f>
        <v>4503</v>
      </c>
      <c r="W375" s="160">
        <f>IFERROR(VLOOKUP(N375,TD!$B$50:$F$54,4,0)," ")</f>
        <v>20240255</v>
      </c>
      <c r="X375" s="159" t="s">
        <v>166</v>
      </c>
      <c r="Y375" s="160" t="str">
        <f>IFERROR(VLOOKUP(X375,TD!$J$51:$K$64,2,0)," ")</f>
        <v>Servicio de capacitaciones en gestión del riesgo de incendios  a la ciudadania.</v>
      </c>
      <c r="Z375" s="161" t="str">
        <f>CONCATENATE(X375,"-",Y375)</f>
        <v>05-Servicio de capacitaciones en gestión del riesgo de incendios  a la ciudadania.</v>
      </c>
      <c r="AA375" s="159" t="s">
        <v>223</v>
      </c>
      <c r="AB375" s="160" t="str">
        <f>IFERROR(VLOOKUP(AA375,TD!$N$51:$O$66,2,0)," ")</f>
        <v>Servicio prevención y control de incendios</v>
      </c>
      <c r="AC375" s="161" t="str">
        <f>CONCATENATE(AA375,"_",AB375)</f>
        <v>035_Servicio prevención y control de incendios</v>
      </c>
      <c r="AD375" s="161" t="str">
        <f>CONCATENATE(Z375," ",AC375)</f>
        <v>05-Servicio de capacitaciones en gestión del riesgo de incendios  a la ciudadania. 035_Servicio prevención y control de incendios</v>
      </c>
      <c r="AE375" s="160" t="str">
        <f>CONCATENATE(U375,V375,W375,X375,AA375)</f>
        <v>O23011745032024025505035</v>
      </c>
      <c r="AF375" s="160" t="str">
        <f>IFERROR(VLOOKUP(AD375,TD!$J$66:$K$89,2,0)," ")</f>
        <v>PM/0131/0105/45030350255</v>
      </c>
      <c r="AG375" s="118" t="s">
        <v>385</v>
      </c>
      <c r="AH375" s="159" t="s">
        <v>193</v>
      </c>
      <c r="AI375" s="162" t="str">
        <f>CONCATENATE(PAA[[#This Row],[Id Interno]],"-",PAA[[#This Row],[tipo de Contrato (TH talento humano - B/S bienes y/o servicios)]],"-",S375,"-",T375,"-",PAA[[#This Row],[Objeto de la contratación]])</f>
        <v>20260334-TH-8173-1-Prestar servicios profesionales para apoyar la planeación y gestión de las  estrategias de reducción y/o conocimiento del riesgo  para la Subdirección de Gestión del Riesgo._SGR</v>
      </c>
    </row>
    <row r="376" spans="2:35" ht="56" x14ac:dyDescent="0.35">
      <c r="B376" s="23">
        <v>20260335</v>
      </c>
      <c r="C376" s="99" t="s">
        <v>548</v>
      </c>
      <c r="D376" s="23" t="s">
        <v>105</v>
      </c>
      <c r="E376" s="23" t="s">
        <v>363</v>
      </c>
      <c r="F376" s="156" t="s">
        <v>144</v>
      </c>
      <c r="G376" s="157" t="s">
        <v>373</v>
      </c>
      <c r="H376" s="158">
        <v>8</v>
      </c>
      <c r="I376" s="158">
        <v>0</v>
      </c>
      <c r="J376" s="127">
        <v>40000000</v>
      </c>
      <c r="K376" s="88" t="s">
        <v>398</v>
      </c>
      <c r="L376" s="156" t="s">
        <v>156</v>
      </c>
      <c r="M376" s="159" t="s">
        <v>513</v>
      </c>
      <c r="N376" s="23" t="s">
        <v>198</v>
      </c>
      <c r="O376" s="151" t="s">
        <v>964</v>
      </c>
      <c r="P376" s="156" t="s">
        <v>348</v>
      </c>
      <c r="Q376" s="53">
        <v>80111600</v>
      </c>
      <c r="R376" s="159" t="s">
        <v>210</v>
      </c>
      <c r="S376" s="159" t="str">
        <f>MID(PAA[[#This Row],[Meta Proyecto de Inversión]],1,4)</f>
        <v>8173</v>
      </c>
      <c r="T376" s="159" t="str">
        <f>MID(PAA[[#This Row],[Meta Proyecto de Inversión]],6,1)</f>
        <v>1</v>
      </c>
      <c r="U376" s="160" t="str">
        <f>IFERROR(VLOOKUP(N376,TD!$B$50:$F$54,2,0)," ")</f>
        <v>O230117</v>
      </c>
      <c r="V376" s="160" t="str">
        <f>IFERROR(VLOOKUP(N376,TD!$B$50:$F$54,3,0)," ")</f>
        <v>4503</v>
      </c>
      <c r="W376" s="160">
        <f>IFERROR(VLOOKUP(N376,TD!$B$50:$F$54,4,0)," ")</f>
        <v>20240255</v>
      </c>
      <c r="X376" s="159" t="s">
        <v>166</v>
      </c>
      <c r="Y376" s="160" t="str">
        <f>IFERROR(VLOOKUP(X376,TD!$J$51:$K$64,2,0)," ")</f>
        <v>Servicio de capacitaciones en gestión del riesgo de incendios  a la ciudadania.</v>
      </c>
      <c r="Z376" s="161" t="str">
        <f>CONCATENATE(X376,"-",Y376)</f>
        <v>05-Servicio de capacitaciones en gestión del riesgo de incendios  a la ciudadania.</v>
      </c>
      <c r="AA376" s="159" t="s">
        <v>223</v>
      </c>
      <c r="AB376" s="160" t="str">
        <f>IFERROR(VLOOKUP(AA376,TD!$N$51:$O$66,2,0)," ")</f>
        <v>Servicio prevención y control de incendios</v>
      </c>
      <c r="AC376" s="161" t="str">
        <f>CONCATENATE(AA376,"_",AB376)</f>
        <v>035_Servicio prevención y control de incendios</v>
      </c>
      <c r="AD376" s="161" t="str">
        <f>CONCATENATE(Z376," ",AC376)</f>
        <v>05-Servicio de capacitaciones en gestión del riesgo de incendios  a la ciudadania. 035_Servicio prevención y control de incendios</v>
      </c>
      <c r="AE376" s="160" t="str">
        <f>CONCATENATE(U376,V376,W376,X376,AA376)</f>
        <v>O23011745032024025505035</v>
      </c>
      <c r="AF376" s="160" t="str">
        <f>IFERROR(VLOOKUP(AD376,TD!$J$66:$K$89,2,0)," ")</f>
        <v>PM/0131/0105/45030350255</v>
      </c>
      <c r="AG376" s="118" t="s">
        <v>385</v>
      </c>
      <c r="AH376" s="159" t="s">
        <v>193</v>
      </c>
      <c r="AI376" s="162" t="str">
        <f>CONCATENATE(PAA[[#This Row],[Id Interno]],"-",PAA[[#This Row],[tipo de Contrato (TH talento humano - B/S bienes y/o servicios)]],"-",S376,"-",T376,"-",PAA[[#This Row],[Objeto de la contratación]])</f>
        <v>20260335-TH-8173-1-Prestar servicios profesionales en  los componentes tecnológicos e informáticos relacionados con los aspectos misionales de la Subdirección de Gestión del Riesgo._SGR</v>
      </c>
    </row>
    <row r="377" spans="2:35" ht="56" x14ac:dyDescent="0.35">
      <c r="B377" s="23">
        <v>20260336</v>
      </c>
      <c r="C377" s="99" t="s">
        <v>549</v>
      </c>
      <c r="D377" s="23" t="s">
        <v>105</v>
      </c>
      <c r="E377" s="23" t="s">
        <v>363</v>
      </c>
      <c r="F377" s="156" t="s">
        <v>145</v>
      </c>
      <c r="G377" s="157" t="s">
        <v>373</v>
      </c>
      <c r="H377" s="158">
        <v>8</v>
      </c>
      <c r="I377" s="158">
        <v>0</v>
      </c>
      <c r="J377" s="127">
        <v>32000000</v>
      </c>
      <c r="K377" s="88" t="s">
        <v>398</v>
      </c>
      <c r="L377" s="156" t="s">
        <v>156</v>
      </c>
      <c r="M377" s="159" t="s">
        <v>513</v>
      </c>
      <c r="N377" s="23" t="s">
        <v>198</v>
      </c>
      <c r="O377" s="151" t="s">
        <v>964</v>
      </c>
      <c r="P377" s="156" t="s">
        <v>348</v>
      </c>
      <c r="Q377" s="53">
        <v>80111600</v>
      </c>
      <c r="R377" s="159" t="s">
        <v>210</v>
      </c>
      <c r="S377" s="159" t="str">
        <f>MID(PAA[[#This Row],[Meta Proyecto de Inversión]],1,4)</f>
        <v>8173</v>
      </c>
      <c r="T377" s="159" t="str">
        <f>MID(PAA[[#This Row],[Meta Proyecto de Inversión]],6,1)</f>
        <v>1</v>
      </c>
      <c r="U377" s="160" t="str">
        <f>IFERROR(VLOOKUP(N377,TD!$B$50:$F$54,2,0)," ")</f>
        <v>O230117</v>
      </c>
      <c r="V377" s="160" t="str">
        <f>IFERROR(VLOOKUP(N377,TD!$B$50:$F$54,3,0)," ")</f>
        <v>4503</v>
      </c>
      <c r="W377" s="160">
        <f>IFERROR(VLOOKUP(N377,TD!$B$50:$F$54,4,0)," ")</f>
        <v>20240255</v>
      </c>
      <c r="X377" s="159" t="s">
        <v>166</v>
      </c>
      <c r="Y377" s="160" t="str">
        <f>IFERROR(VLOOKUP(X377,TD!$J$51:$K$64,2,0)," ")</f>
        <v>Servicio de capacitaciones en gestión del riesgo de incendios  a la ciudadania.</v>
      </c>
      <c r="Z377" s="161" t="str">
        <f>CONCATENATE(X377,"-",Y377)</f>
        <v>05-Servicio de capacitaciones en gestión del riesgo de incendios  a la ciudadania.</v>
      </c>
      <c r="AA377" s="159" t="s">
        <v>223</v>
      </c>
      <c r="AB377" s="160" t="str">
        <f>IFERROR(VLOOKUP(AA377,TD!$N$51:$O$66,2,0)," ")</f>
        <v>Servicio prevención y control de incendios</v>
      </c>
      <c r="AC377" s="161" t="str">
        <f>CONCATENATE(AA377,"_",AB377)</f>
        <v>035_Servicio prevención y control de incendios</v>
      </c>
      <c r="AD377" s="161" t="str">
        <f>CONCATENATE(Z377," ",AC377)</f>
        <v>05-Servicio de capacitaciones en gestión del riesgo de incendios  a la ciudadania. 035_Servicio prevención y control de incendios</v>
      </c>
      <c r="AE377" s="160" t="str">
        <f>CONCATENATE(U377,V377,W377,X377,AA377)</f>
        <v>O23011745032024025505035</v>
      </c>
      <c r="AF377" s="160" t="str">
        <f>IFERROR(VLOOKUP(AD377,TD!$J$66:$K$89,2,0)," ")</f>
        <v>PM/0131/0105/45030350255</v>
      </c>
      <c r="AG377" s="118" t="s">
        <v>385</v>
      </c>
      <c r="AH377" s="159" t="s">
        <v>193</v>
      </c>
      <c r="AI377" s="162" t="str">
        <f>CONCATENATE(PAA[[#This Row],[Id Interno]],"-",PAA[[#This Row],[tipo de Contrato (TH talento humano - B/S bienes y/o servicios)]],"-",S377,"-",T377,"-",PAA[[#This Row],[Objeto de la contratación]])</f>
        <v>20260336-TH-8173-1-Prestar servicios de apoyo para el seguimiento y respuesta de requerimientos ciudadanos relacionados con la misionalidad de la Subdirección de Gestión del Riesgo_SGR</v>
      </c>
    </row>
    <row r="378" spans="2:35" ht="56" x14ac:dyDescent="0.35">
      <c r="B378" s="23">
        <v>20260337</v>
      </c>
      <c r="C378" s="99" t="s">
        <v>550</v>
      </c>
      <c r="D378" s="23" t="s">
        <v>105</v>
      </c>
      <c r="E378" s="23" t="s">
        <v>363</v>
      </c>
      <c r="F378" s="156" t="s">
        <v>144</v>
      </c>
      <c r="G378" s="157" t="s">
        <v>373</v>
      </c>
      <c r="H378" s="158">
        <v>7</v>
      </c>
      <c r="I378" s="158">
        <v>15</v>
      </c>
      <c r="J378" s="127">
        <v>53600000</v>
      </c>
      <c r="K378" s="88" t="s">
        <v>398</v>
      </c>
      <c r="L378" s="156" t="s">
        <v>156</v>
      </c>
      <c r="M378" s="159" t="s">
        <v>513</v>
      </c>
      <c r="N378" s="23" t="s">
        <v>198</v>
      </c>
      <c r="O378" s="151" t="s">
        <v>964</v>
      </c>
      <c r="P378" s="156" t="s">
        <v>348</v>
      </c>
      <c r="Q378" s="53">
        <v>80111600</v>
      </c>
      <c r="R378" s="159" t="s">
        <v>210</v>
      </c>
      <c r="S378" s="159" t="str">
        <f>MID(PAA[[#This Row],[Meta Proyecto de Inversión]],1,4)</f>
        <v>8173</v>
      </c>
      <c r="T378" s="159" t="str">
        <f>MID(PAA[[#This Row],[Meta Proyecto de Inversión]],6,1)</f>
        <v>1</v>
      </c>
      <c r="U378" s="160" t="str">
        <f>IFERROR(VLOOKUP(N378,TD!$B$50:$F$54,2,0)," ")</f>
        <v>O230117</v>
      </c>
      <c r="V378" s="160" t="str">
        <f>IFERROR(VLOOKUP(N378,TD!$B$50:$F$54,3,0)," ")</f>
        <v>4503</v>
      </c>
      <c r="W378" s="160">
        <f>IFERROR(VLOOKUP(N378,TD!$B$50:$F$54,4,0)," ")</f>
        <v>20240255</v>
      </c>
      <c r="X378" s="159" t="s">
        <v>166</v>
      </c>
      <c r="Y378" s="160" t="str">
        <f>IFERROR(VLOOKUP(X378,TD!$J$51:$K$64,2,0)," ")</f>
        <v>Servicio de capacitaciones en gestión del riesgo de incendios  a la ciudadania.</v>
      </c>
      <c r="Z378" s="161" t="str">
        <f>CONCATENATE(X378,"-",Y378)</f>
        <v>05-Servicio de capacitaciones en gestión del riesgo de incendios  a la ciudadania.</v>
      </c>
      <c r="AA378" s="159" t="s">
        <v>223</v>
      </c>
      <c r="AB378" s="160" t="str">
        <f>IFERROR(VLOOKUP(AA378,TD!$N$51:$O$66,2,0)," ")</f>
        <v>Servicio prevención y control de incendios</v>
      </c>
      <c r="AC378" s="161" t="str">
        <f>CONCATENATE(AA378,"_",AB378)</f>
        <v>035_Servicio prevención y control de incendios</v>
      </c>
      <c r="AD378" s="161" t="str">
        <f>CONCATENATE(Z378," ",AC378)</f>
        <v>05-Servicio de capacitaciones en gestión del riesgo de incendios  a la ciudadania. 035_Servicio prevención y control de incendios</v>
      </c>
      <c r="AE378" s="160" t="str">
        <f>CONCATENATE(U378,V378,W378,X378,AA378)</f>
        <v>O23011745032024025505035</v>
      </c>
      <c r="AF378" s="160" t="str">
        <f>IFERROR(VLOOKUP(AD378,TD!$J$66:$K$89,2,0)," ")</f>
        <v>PM/0131/0105/45030350255</v>
      </c>
      <c r="AG378" s="118" t="s">
        <v>385</v>
      </c>
      <c r="AH378" s="159" t="s">
        <v>193</v>
      </c>
      <c r="AI378" s="162" t="str">
        <f>CONCATENATE(PAA[[#This Row],[Id Interno]],"-",PAA[[#This Row],[tipo de Contrato (TH talento humano - B/S bienes y/o servicios)]],"-",S378,"-",T378,"-",PAA[[#This Row],[Objeto de la contratación]])</f>
        <v>20260337-TH-8173-1-Prestar servicios profesionales en la gestión misional mediante el  análisis y seguimiento financiero de la Subdirección de Gestión del Riesgo_SGR</v>
      </c>
    </row>
    <row r="379" spans="2:35" ht="56" x14ac:dyDescent="0.35">
      <c r="B379" s="23">
        <v>20260338</v>
      </c>
      <c r="C379" s="99" t="s">
        <v>551</v>
      </c>
      <c r="D379" s="23" t="s">
        <v>105</v>
      </c>
      <c r="E379" s="23" t="s">
        <v>363</v>
      </c>
      <c r="F379" s="156" t="s">
        <v>144</v>
      </c>
      <c r="G379" s="157" t="s">
        <v>373</v>
      </c>
      <c r="H379" s="158">
        <v>10</v>
      </c>
      <c r="I379" s="158">
        <v>0</v>
      </c>
      <c r="J379" s="127">
        <v>70000000</v>
      </c>
      <c r="K379" s="88" t="s">
        <v>398</v>
      </c>
      <c r="L379" s="156" t="s">
        <v>156</v>
      </c>
      <c r="M379" s="159" t="s">
        <v>513</v>
      </c>
      <c r="N379" s="23" t="s">
        <v>198</v>
      </c>
      <c r="O379" s="151" t="s">
        <v>964</v>
      </c>
      <c r="P379" s="156" t="s">
        <v>348</v>
      </c>
      <c r="Q379" s="53">
        <v>80111600</v>
      </c>
      <c r="R379" s="159" t="s">
        <v>210</v>
      </c>
      <c r="S379" s="159" t="str">
        <f>MID(PAA[[#This Row],[Meta Proyecto de Inversión]],1,4)</f>
        <v>8173</v>
      </c>
      <c r="T379" s="159" t="str">
        <f>MID(PAA[[#This Row],[Meta Proyecto de Inversión]],6,1)</f>
        <v>1</v>
      </c>
      <c r="U379" s="160" t="str">
        <f>IFERROR(VLOOKUP(N379,TD!$B$50:$F$54,2,0)," ")</f>
        <v>O230117</v>
      </c>
      <c r="V379" s="160" t="str">
        <f>IFERROR(VLOOKUP(N379,TD!$B$50:$F$54,3,0)," ")</f>
        <v>4503</v>
      </c>
      <c r="W379" s="160">
        <f>IFERROR(VLOOKUP(N379,TD!$B$50:$F$54,4,0)," ")</f>
        <v>20240255</v>
      </c>
      <c r="X379" s="159" t="s">
        <v>166</v>
      </c>
      <c r="Y379" s="160" t="str">
        <f>IFERROR(VLOOKUP(X379,TD!$J$51:$K$64,2,0)," ")</f>
        <v>Servicio de capacitaciones en gestión del riesgo de incendios  a la ciudadania.</v>
      </c>
      <c r="Z379" s="161" t="str">
        <f>CONCATENATE(X379,"-",Y379)</f>
        <v>05-Servicio de capacitaciones en gestión del riesgo de incendios  a la ciudadania.</v>
      </c>
      <c r="AA379" s="159" t="s">
        <v>223</v>
      </c>
      <c r="AB379" s="160" t="str">
        <f>IFERROR(VLOOKUP(AA379,TD!$N$51:$O$66,2,0)," ")</f>
        <v>Servicio prevención y control de incendios</v>
      </c>
      <c r="AC379" s="161" t="str">
        <f>CONCATENATE(AA379,"_",AB379)</f>
        <v>035_Servicio prevención y control de incendios</v>
      </c>
      <c r="AD379" s="161" t="str">
        <f>CONCATENATE(Z379," ",AC379)</f>
        <v>05-Servicio de capacitaciones en gestión del riesgo de incendios  a la ciudadania. 035_Servicio prevención y control de incendios</v>
      </c>
      <c r="AE379" s="160" t="str">
        <f>CONCATENATE(U379,V379,W379,X379,AA379)</f>
        <v>O23011745032024025505035</v>
      </c>
      <c r="AF379" s="160" t="str">
        <f>IFERROR(VLOOKUP(AD379,TD!$J$66:$K$89,2,0)," ")</f>
        <v>PM/0131/0105/45030350255</v>
      </c>
      <c r="AG379" s="118" t="s">
        <v>385</v>
      </c>
      <c r="AH379" s="159" t="s">
        <v>193</v>
      </c>
      <c r="AI379" s="162" t="str">
        <f>CONCATENATE(PAA[[#This Row],[Id Interno]],"-",PAA[[#This Row],[tipo de Contrato (TH talento humano - B/S bienes y/o servicios)]],"-",S379,"-",T379,"-",PAA[[#This Row],[Objeto de la contratación]])</f>
        <v>20260338-TH-8173-1-Prestar servicios profesionales para la gestión misional  mediante la estructuración y seguimiento de procesos contractuales y asuntos jurídicos de la Subdirección de Gestión del Riesgo_SGR</v>
      </c>
    </row>
    <row r="380" spans="2:35" ht="56" x14ac:dyDescent="0.35">
      <c r="B380" s="23">
        <v>20260340</v>
      </c>
      <c r="C380" s="99" t="s">
        <v>552</v>
      </c>
      <c r="D380" s="23" t="s">
        <v>105</v>
      </c>
      <c r="E380" s="23" t="s">
        <v>363</v>
      </c>
      <c r="F380" s="156" t="s">
        <v>144</v>
      </c>
      <c r="G380" s="157" t="s">
        <v>373</v>
      </c>
      <c r="H380" s="158">
        <v>10</v>
      </c>
      <c r="I380" s="158">
        <v>0</v>
      </c>
      <c r="J380" s="127">
        <v>70000000</v>
      </c>
      <c r="K380" s="88" t="s">
        <v>398</v>
      </c>
      <c r="L380" s="156" t="s">
        <v>156</v>
      </c>
      <c r="M380" s="159" t="s">
        <v>513</v>
      </c>
      <c r="N380" s="23" t="s">
        <v>198</v>
      </c>
      <c r="O380" s="151" t="s">
        <v>964</v>
      </c>
      <c r="P380" s="156" t="s">
        <v>348</v>
      </c>
      <c r="Q380" s="53">
        <v>80111600</v>
      </c>
      <c r="R380" s="159" t="s">
        <v>210</v>
      </c>
      <c r="S380" s="159" t="str">
        <f>MID(PAA[[#This Row],[Meta Proyecto de Inversión]],1,4)</f>
        <v>8173</v>
      </c>
      <c r="T380" s="159" t="str">
        <f>MID(PAA[[#This Row],[Meta Proyecto de Inversión]],6,1)</f>
        <v>1</v>
      </c>
      <c r="U380" s="160" t="str">
        <f>IFERROR(VLOOKUP(N380,TD!$B$50:$F$54,2,0)," ")</f>
        <v>O230117</v>
      </c>
      <c r="V380" s="160" t="str">
        <f>IFERROR(VLOOKUP(N380,TD!$B$50:$F$54,3,0)," ")</f>
        <v>4503</v>
      </c>
      <c r="W380" s="160">
        <f>IFERROR(VLOOKUP(N380,TD!$B$50:$F$54,4,0)," ")</f>
        <v>20240255</v>
      </c>
      <c r="X380" s="159" t="s">
        <v>166</v>
      </c>
      <c r="Y380" s="160" t="str">
        <f>IFERROR(VLOOKUP(X380,TD!$J$51:$K$64,2,0)," ")</f>
        <v>Servicio de capacitaciones en gestión del riesgo de incendios  a la ciudadania.</v>
      </c>
      <c r="Z380" s="161" t="str">
        <f>CONCATENATE(X380,"-",Y380)</f>
        <v>05-Servicio de capacitaciones en gestión del riesgo de incendios  a la ciudadania.</v>
      </c>
      <c r="AA380" s="159" t="s">
        <v>223</v>
      </c>
      <c r="AB380" s="160" t="str">
        <f>IFERROR(VLOOKUP(AA380,TD!$N$51:$O$66,2,0)," ")</f>
        <v>Servicio prevención y control de incendios</v>
      </c>
      <c r="AC380" s="161" t="str">
        <f>CONCATENATE(AA380,"_",AB380)</f>
        <v>035_Servicio prevención y control de incendios</v>
      </c>
      <c r="AD380" s="161" t="str">
        <f>CONCATENATE(Z380," ",AC380)</f>
        <v>05-Servicio de capacitaciones en gestión del riesgo de incendios  a la ciudadania. 035_Servicio prevención y control de incendios</v>
      </c>
      <c r="AE380" s="160" t="str">
        <f>CONCATENATE(U380,V380,W380,X380,AA380)</f>
        <v>O23011745032024025505035</v>
      </c>
      <c r="AF380" s="160" t="str">
        <f>IFERROR(VLOOKUP(AD380,TD!$J$66:$K$89,2,0)," ")</f>
        <v>PM/0131/0105/45030350255</v>
      </c>
      <c r="AG380" s="118" t="s">
        <v>385</v>
      </c>
      <c r="AH380" s="159" t="s">
        <v>193</v>
      </c>
      <c r="AI380" s="162" t="str">
        <f>CONCATENATE(PAA[[#This Row],[Id Interno]],"-",PAA[[#This Row],[tipo de Contrato (TH talento humano - B/S bienes y/o servicios)]],"-",S380,"-",T380,"-",PAA[[#This Row],[Objeto de la contratación]])</f>
        <v xml:space="preserve">20260340-TH-8173-1-Prestar servicios profesionales para la gestión misional en sus componentes técnico, administrativo y financiero de la Subdirección de Gestión del Riesgo_SGR. </v>
      </c>
    </row>
    <row r="381" spans="2:35" ht="56" x14ac:dyDescent="0.35">
      <c r="B381" s="23">
        <v>20260341</v>
      </c>
      <c r="C381" s="99" t="s">
        <v>553</v>
      </c>
      <c r="D381" s="23" t="s">
        <v>105</v>
      </c>
      <c r="E381" s="23" t="s">
        <v>363</v>
      </c>
      <c r="F381" s="156" t="s">
        <v>144</v>
      </c>
      <c r="G381" s="157" t="s">
        <v>373</v>
      </c>
      <c r="H381" s="158">
        <v>8</v>
      </c>
      <c r="I381" s="158">
        <v>0</v>
      </c>
      <c r="J381" s="127">
        <v>72800000</v>
      </c>
      <c r="K381" s="88" t="s">
        <v>398</v>
      </c>
      <c r="L381" s="156" t="s">
        <v>156</v>
      </c>
      <c r="M381" s="159" t="s">
        <v>513</v>
      </c>
      <c r="N381" s="23" t="s">
        <v>198</v>
      </c>
      <c r="O381" s="151" t="s">
        <v>964</v>
      </c>
      <c r="P381" s="156" t="s">
        <v>348</v>
      </c>
      <c r="Q381" s="53">
        <v>80111600</v>
      </c>
      <c r="R381" s="159" t="s">
        <v>210</v>
      </c>
      <c r="S381" s="159" t="str">
        <f>MID(PAA[[#This Row],[Meta Proyecto de Inversión]],1,4)</f>
        <v>8173</v>
      </c>
      <c r="T381" s="159" t="str">
        <f>MID(PAA[[#This Row],[Meta Proyecto de Inversión]],6,1)</f>
        <v>1</v>
      </c>
      <c r="U381" s="160" t="str">
        <f>IFERROR(VLOOKUP(N381,TD!$B$50:$F$54,2,0)," ")</f>
        <v>O230117</v>
      </c>
      <c r="V381" s="160" t="str">
        <f>IFERROR(VLOOKUP(N381,TD!$B$50:$F$54,3,0)," ")</f>
        <v>4503</v>
      </c>
      <c r="W381" s="160">
        <f>IFERROR(VLOOKUP(N381,TD!$B$50:$F$54,4,0)," ")</f>
        <v>20240255</v>
      </c>
      <c r="X381" s="159" t="s">
        <v>170</v>
      </c>
      <c r="Y381" s="160" t="str">
        <f>IFERROR(VLOOKUP(X381,TD!$J$51:$K$64,2,0)," ")</f>
        <v>Servicio de inspecciones técnicas realizadas</v>
      </c>
      <c r="Z381" s="161" t="str">
        <f>CONCATENATE(X381,"-",Y381)</f>
        <v>06-Servicio de inspecciones técnicas realizadas</v>
      </c>
      <c r="AA381" s="159" t="s">
        <v>223</v>
      </c>
      <c r="AB381" s="160" t="str">
        <f>IFERROR(VLOOKUP(AA381,TD!$N$51:$O$66,2,0)," ")</f>
        <v>Servicio prevención y control de incendios</v>
      </c>
      <c r="AC381" s="161" t="str">
        <f>CONCATENATE(AA381,"_",AB381)</f>
        <v>035_Servicio prevención y control de incendios</v>
      </c>
      <c r="AD381" s="161" t="str">
        <f>CONCATENATE(Z381," ",AC381)</f>
        <v>06-Servicio de inspecciones técnicas realizadas 035_Servicio prevención y control de incendios</v>
      </c>
      <c r="AE381" s="160" t="str">
        <f>CONCATENATE(U381,V381,W381,X381,AA381)</f>
        <v>O23011745032024025506035</v>
      </c>
      <c r="AF381" s="160" t="str">
        <f>IFERROR(VLOOKUP(AD381,TD!$J$66:$K$89,2,0)," ")</f>
        <v>PM/0131/0106/45030350255</v>
      </c>
      <c r="AG381" s="118" t="s">
        <v>385</v>
      </c>
      <c r="AH381" s="159" t="s">
        <v>193</v>
      </c>
      <c r="AI381" s="162" t="str">
        <f>CONCATENATE(PAA[[#This Row],[Id Interno]],"-",PAA[[#This Row],[tipo de Contrato (TH talento humano - B/S bienes y/o servicios)]],"-",S381,"-",T381,"-",PAA[[#This Row],[Objeto de la contratación]])</f>
        <v>20260341-TH-8173-1-Prestar servicios profesionales  liderando las actividades del proceso de inspecciones técnicas de la subdireccion de gestion del riesgo.._SGR</v>
      </c>
    </row>
    <row r="382" spans="2:35" ht="56" x14ac:dyDescent="0.35">
      <c r="B382" s="23">
        <v>20260342</v>
      </c>
      <c r="C382" s="99" t="s">
        <v>554</v>
      </c>
      <c r="D382" s="23" t="s">
        <v>105</v>
      </c>
      <c r="E382" s="23" t="s">
        <v>363</v>
      </c>
      <c r="F382" s="156" t="s">
        <v>144</v>
      </c>
      <c r="G382" s="157" t="s">
        <v>373</v>
      </c>
      <c r="H382" s="158">
        <v>10</v>
      </c>
      <c r="I382" s="158">
        <v>0</v>
      </c>
      <c r="J382" s="127">
        <v>50000000</v>
      </c>
      <c r="K382" s="88" t="s">
        <v>398</v>
      </c>
      <c r="L382" s="156" t="s">
        <v>156</v>
      </c>
      <c r="M382" s="159" t="s">
        <v>513</v>
      </c>
      <c r="N382" s="23" t="s">
        <v>198</v>
      </c>
      <c r="O382" s="151" t="s">
        <v>964</v>
      </c>
      <c r="P382" s="156" t="s">
        <v>348</v>
      </c>
      <c r="Q382" s="53">
        <v>80111600</v>
      </c>
      <c r="R382" s="159" t="s">
        <v>210</v>
      </c>
      <c r="S382" s="159" t="str">
        <f>MID(PAA[[#This Row],[Meta Proyecto de Inversión]],1,4)</f>
        <v>8173</v>
      </c>
      <c r="T382" s="159" t="str">
        <f>MID(PAA[[#This Row],[Meta Proyecto de Inversión]],6,1)</f>
        <v>1</v>
      </c>
      <c r="U382" s="160" t="str">
        <f>IFERROR(VLOOKUP(N382,TD!$B$50:$F$54,2,0)," ")</f>
        <v>O230117</v>
      </c>
      <c r="V382" s="160" t="str">
        <f>IFERROR(VLOOKUP(N382,TD!$B$50:$F$54,3,0)," ")</f>
        <v>4503</v>
      </c>
      <c r="W382" s="160">
        <f>IFERROR(VLOOKUP(N382,TD!$B$50:$F$54,4,0)," ")</f>
        <v>20240255</v>
      </c>
      <c r="X382" s="159" t="s">
        <v>170</v>
      </c>
      <c r="Y382" s="160" t="str">
        <f>IFERROR(VLOOKUP(X382,TD!$J$51:$K$64,2,0)," ")</f>
        <v>Servicio de inspecciones técnicas realizadas</v>
      </c>
      <c r="Z382" s="161" t="str">
        <f>CONCATENATE(X382,"-",Y382)</f>
        <v>06-Servicio de inspecciones técnicas realizadas</v>
      </c>
      <c r="AA382" s="159" t="s">
        <v>223</v>
      </c>
      <c r="AB382" s="160" t="str">
        <f>IFERROR(VLOOKUP(AA382,TD!$N$51:$O$66,2,0)," ")</f>
        <v>Servicio prevención y control de incendios</v>
      </c>
      <c r="AC382" s="161" t="str">
        <f>CONCATENATE(AA382,"_",AB382)</f>
        <v>035_Servicio prevención y control de incendios</v>
      </c>
      <c r="AD382" s="161" t="str">
        <f>CONCATENATE(Z382," ",AC382)</f>
        <v>06-Servicio de inspecciones técnicas realizadas 035_Servicio prevención y control de incendios</v>
      </c>
      <c r="AE382" s="160" t="str">
        <f>CONCATENATE(U382,V382,W382,X382,AA382)</f>
        <v>O23011745032024025506035</v>
      </c>
      <c r="AF382" s="160" t="str">
        <f>IFERROR(VLOOKUP(AD382,TD!$J$66:$K$89,2,0)," ")</f>
        <v>PM/0131/0106/45030350255</v>
      </c>
      <c r="AG382" s="118" t="s">
        <v>385</v>
      </c>
      <c r="AH382" s="159" t="s">
        <v>193</v>
      </c>
      <c r="AI382" s="162" t="str">
        <f>CONCATENATE(PAA[[#This Row],[Id Interno]],"-",PAA[[#This Row],[tipo de Contrato (TH talento humano - B/S bienes y/o servicios)]],"-",S382,"-",T382,"-",PAA[[#This Row],[Objeto de la contratación]])</f>
        <v>20260342-TH-8173-1-Prestar  servicios profesionales en las actividades relacionadas con la emision de conceptos a cargo de la Subdirección de Gestión del Riesgo._SGR</v>
      </c>
    </row>
    <row r="383" spans="2:35" ht="56" x14ac:dyDescent="0.35">
      <c r="B383" s="23">
        <v>20260343</v>
      </c>
      <c r="C383" s="99" t="s">
        <v>554</v>
      </c>
      <c r="D383" s="23" t="s">
        <v>105</v>
      </c>
      <c r="E383" s="23" t="s">
        <v>363</v>
      </c>
      <c r="F383" s="156" t="s">
        <v>144</v>
      </c>
      <c r="G383" s="157" t="s">
        <v>373</v>
      </c>
      <c r="H383" s="158">
        <v>9</v>
      </c>
      <c r="I383" s="158">
        <v>0</v>
      </c>
      <c r="J383" s="127">
        <v>45400000</v>
      </c>
      <c r="K383" s="88" t="s">
        <v>398</v>
      </c>
      <c r="L383" s="156" t="s">
        <v>156</v>
      </c>
      <c r="M383" s="159" t="s">
        <v>513</v>
      </c>
      <c r="N383" s="23" t="s">
        <v>198</v>
      </c>
      <c r="O383" s="151" t="s">
        <v>964</v>
      </c>
      <c r="P383" s="156" t="s">
        <v>348</v>
      </c>
      <c r="Q383" s="53">
        <v>80111600</v>
      </c>
      <c r="R383" s="159" t="s">
        <v>210</v>
      </c>
      <c r="S383" s="159" t="str">
        <f>MID(PAA[[#This Row],[Meta Proyecto de Inversión]],1,4)</f>
        <v>8173</v>
      </c>
      <c r="T383" s="159" t="str">
        <f>MID(PAA[[#This Row],[Meta Proyecto de Inversión]],6,1)</f>
        <v>1</v>
      </c>
      <c r="U383" s="160" t="str">
        <f>IFERROR(VLOOKUP(N383,TD!$B$50:$F$54,2,0)," ")</f>
        <v>O230117</v>
      </c>
      <c r="V383" s="160" t="str">
        <f>IFERROR(VLOOKUP(N383,TD!$B$50:$F$54,3,0)," ")</f>
        <v>4503</v>
      </c>
      <c r="W383" s="160">
        <f>IFERROR(VLOOKUP(N383,TD!$B$50:$F$54,4,0)," ")</f>
        <v>20240255</v>
      </c>
      <c r="X383" s="159" t="s">
        <v>170</v>
      </c>
      <c r="Y383" s="160" t="str">
        <f>IFERROR(VLOOKUP(X383,TD!$J$51:$K$64,2,0)," ")</f>
        <v>Servicio de inspecciones técnicas realizadas</v>
      </c>
      <c r="Z383" s="161" t="str">
        <f>CONCATENATE(X383,"-",Y383)</f>
        <v>06-Servicio de inspecciones técnicas realizadas</v>
      </c>
      <c r="AA383" s="159" t="s">
        <v>223</v>
      </c>
      <c r="AB383" s="160" t="str">
        <f>IFERROR(VLOOKUP(AA383,TD!$N$51:$O$66,2,0)," ")</f>
        <v>Servicio prevención y control de incendios</v>
      </c>
      <c r="AC383" s="161" t="str">
        <f>CONCATENATE(AA383,"_",AB383)</f>
        <v>035_Servicio prevención y control de incendios</v>
      </c>
      <c r="AD383" s="161" t="str">
        <f>CONCATENATE(Z383," ",AC383)</f>
        <v>06-Servicio de inspecciones técnicas realizadas 035_Servicio prevención y control de incendios</v>
      </c>
      <c r="AE383" s="160" t="str">
        <f>CONCATENATE(U383,V383,W383,X383,AA383)</f>
        <v>O23011745032024025506035</v>
      </c>
      <c r="AF383" s="160" t="str">
        <f>IFERROR(VLOOKUP(AD383,TD!$J$66:$K$89,2,0)," ")</f>
        <v>PM/0131/0106/45030350255</v>
      </c>
      <c r="AG383" s="118" t="s">
        <v>385</v>
      </c>
      <c r="AH383" s="159" t="s">
        <v>193</v>
      </c>
      <c r="AI383" s="162" t="str">
        <f>CONCATENATE(PAA[[#This Row],[Id Interno]],"-",PAA[[#This Row],[tipo de Contrato (TH talento humano - B/S bienes y/o servicios)]],"-",S383,"-",T383,"-",PAA[[#This Row],[Objeto de la contratación]])</f>
        <v>20260343-TH-8173-1-Prestar  servicios profesionales en las actividades relacionadas con la emision de conceptos a cargo de la Subdirección de Gestión del Riesgo._SGR</v>
      </c>
    </row>
    <row r="384" spans="2:35" ht="56" x14ac:dyDescent="0.35">
      <c r="B384" s="23">
        <v>20260344</v>
      </c>
      <c r="C384" s="99" t="s">
        <v>555</v>
      </c>
      <c r="D384" s="23" t="s">
        <v>105</v>
      </c>
      <c r="E384" s="23" t="s">
        <v>363</v>
      </c>
      <c r="F384" s="156" t="s">
        <v>144</v>
      </c>
      <c r="G384" s="157" t="s">
        <v>373</v>
      </c>
      <c r="H384" s="158">
        <v>8</v>
      </c>
      <c r="I384" s="158">
        <v>0</v>
      </c>
      <c r="J384" s="127">
        <v>48000000</v>
      </c>
      <c r="K384" s="88" t="s">
        <v>398</v>
      </c>
      <c r="L384" s="156" t="s">
        <v>156</v>
      </c>
      <c r="M384" s="159" t="s">
        <v>513</v>
      </c>
      <c r="N384" s="23" t="s">
        <v>198</v>
      </c>
      <c r="O384" s="151" t="s">
        <v>964</v>
      </c>
      <c r="P384" s="156" t="s">
        <v>348</v>
      </c>
      <c r="Q384" s="53">
        <v>80111600</v>
      </c>
      <c r="R384" s="159" t="s">
        <v>210</v>
      </c>
      <c r="S384" s="159" t="str">
        <f>MID(PAA[[#This Row],[Meta Proyecto de Inversión]],1,4)</f>
        <v>8173</v>
      </c>
      <c r="T384" s="159" t="str">
        <f>MID(PAA[[#This Row],[Meta Proyecto de Inversión]],6,1)</f>
        <v>1</v>
      </c>
      <c r="U384" s="160" t="str">
        <f>IFERROR(VLOOKUP(N384,TD!$B$50:$F$54,2,0)," ")</f>
        <v>O230117</v>
      </c>
      <c r="V384" s="160" t="str">
        <f>IFERROR(VLOOKUP(N384,TD!$B$50:$F$54,3,0)," ")</f>
        <v>4503</v>
      </c>
      <c r="W384" s="160">
        <f>IFERROR(VLOOKUP(N384,TD!$B$50:$F$54,4,0)," ")</f>
        <v>20240255</v>
      </c>
      <c r="X384" s="159" t="s">
        <v>170</v>
      </c>
      <c r="Y384" s="160" t="str">
        <f>IFERROR(VLOOKUP(X384,TD!$J$51:$K$64,2,0)," ")</f>
        <v>Servicio de inspecciones técnicas realizadas</v>
      </c>
      <c r="Z384" s="161" t="str">
        <f>CONCATENATE(X384,"-",Y384)</f>
        <v>06-Servicio de inspecciones técnicas realizadas</v>
      </c>
      <c r="AA384" s="159" t="s">
        <v>223</v>
      </c>
      <c r="AB384" s="160" t="str">
        <f>IFERROR(VLOOKUP(AA384,TD!$N$51:$O$66,2,0)," ")</f>
        <v>Servicio prevención y control de incendios</v>
      </c>
      <c r="AC384" s="161" t="str">
        <f>CONCATENATE(AA384,"_",AB384)</f>
        <v>035_Servicio prevención y control de incendios</v>
      </c>
      <c r="AD384" s="161" t="str">
        <f>CONCATENATE(Z384," ",AC384)</f>
        <v>06-Servicio de inspecciones técnicas realizadas 035_Servicio prevención y control de incendios</v>
      </c>
      <c r="AE384" s="160" t="str">
        <f>CONCATENATE(U384,V384,W384,X384,AA384)</f>
        <v>O23011745032024025506035</v>
      </c>
      <c r="AF384" s="160" t="str">
        <f>IFERROR(VLOOKUP(AD384,TD!$J$66:$K$89,2,0)," ")</f>
        <v>PM/0131/0106/45030350255</v>
      </c>
      <c r="AG384" s="118" t="s">
        <v>385</v>
      </c>
      <c r="AH384" s="159" t="s">
        <v>193</v>
      </c>
      <c r="AI384" s="162" t="str">
        <f>CONCATENATE(PAA[[#This Row],[Id Interno]],"-",PAA[[#This Row],[tipo de Contrato (TH talento humano - B/S bienes y/o servicios)]],"-",S384,"-",T384,"-",PAA[[#This Row],[Objeto de la contratación]])</f>
        <v>20260344-TH-8173-1-Prestarservicios profesionales en las actividades relacionadas con la emision de conceptos a cargo de la Subdirección de Gestión del Riesgo._SGR</v>
      </c>
    </row>
    <row r="385" spans="2:35" ht="56" x14ac:dyDescent="0.35">
      <c r="B385" s="23">
        <v>20260345</v>
      </c>
      <c r="C385" s="99" t="s">
        <v>555</v>
      </c>
      <c r="D385" s="23" t="s">
        <v>105</v>
      </c>
      <c r="E385" s="23" t="s">
        <v>363</v>
      </c>
      <c r="F385" s="156" t="s">
        <v>144</v>
      </c>
      <c r="G385" s="157" t="s">
        <v>373</v>
      </c>
      <c r="H385" s="158">
        <v>8</v>
      </c>
      <c r="I385" s="158">
        <v>0</v>
      </c>
      <c r="J385" s="127">
        <v>48000000</v>
      </c>
      <c r="K385" s="88" t="s">
        <v>398</v>
      </c>
      <c r="L385" s="156" t="s">
        <v>156</v>
      </c>
      <c r="M385" s="159" t="s">
        <v>513</v>
      </c>
      <c r="N385" s="23" t="s">
        <v>198</v>
      </c>
      <c r="O385" s="151" t="s">
        <v>964</v>
      </c>
      <c r="P385" s="156" t="s">
        <v>348</v>
      </c>
      <c r="Q385" s="53">
        <v>80111600</v>
      </c>
      <c r="R385" s="159" t="s">
        <v>210</v>
      </c>
      <c r="S385" s="159" t="str">
        <f>MID(PAA[[#This Row],[Meta Proyecto de Inversión]],1,4)</f>
        <v>8173</v>
      </c>
      <c r="T385" s="159" t="str">
        <f>MID(PAA[[#This Row],[Meta Proyecto de Inversión]],6,1)</f>
        <v>1</v>
      </c>
      <c r="U385" s="160" t="str">
        <f>IFERROR(VLOOKUP(N385,TD!$B$50:$F$54,2,0)," ")</f>
        <v>O230117</v>
      </c>
      <c r="V385" s="160" t="str">
        <f>IFERROR(VLOOKUP(N385,TD!$B$50:$F$54,3,0)," ")</f>
        <v>4503</v>
      </c>
      <c r="W385" s="160">
        <f>IFERROR(VLOOKUP(N385,TD!$B$50:$F$54,4,0)," ")</f>
        <v>20240255</v>
      </c>
      <c r="X385" s="159" t="s">
        <v>170</v>
      </c>
      <c r="Y385" s="160" t="str">
        <f>IFERROR(VLOOKUP(X385,TD!$J$51:$K$64,2,0)," ")</f>
        <v>Servicio de inspecciones técnicas realizadas</v>
      </c>
      <c r="Z385" s="161" t="str">
        <f>CONCATENATE(X385,"-",Y385)</f>
        <v>06-Servicio de inspecciones técnicas realizadas</v>
      </c>
      <c r="AA385" s="159" t="s">
        <v>223</v>
      </c>
      <c r="AB385" s="160" t="str">
        <f>IFERROR(VLOOKUP(AA385,TD!$N$51:$O$66,2,0)," ")</f>
        <v>Servicio prevención y control de incendios</v>
      </c>
      <c r="AC385" s="161" t="str">
        <f>CONCATENATE(AA385,"_",AB385)</f>
        <v>035_Servicio prevención y control de incendios</v>
      </c>
      <c r="AD385" s="161" t="str">
        <f>CONCATENATE(Z385," ",AC385)</f>
        <v>06-Servicio de inspecciones técnicas realizadas 035_Servicio prevención y control de incendios</v>
      </c>
      <c r="AE385" s="160" t="str">
        <f>CONCATENATE(U385,V385,W385,X385,AA385)</f>
        <v>O23011745032024025506035</v>
      </c>
      <c r="AF385" s="160" t="str">
        <f>IFERROR(VLOOKUP(AD385,TD!$J$66:$K$89,2,0)," ")</f>
        <v>PM/0131/0106/45030350255</v>
      </c>
      <c r="AG385" s="118" t="s">
        <v>385</v>
      </c>
      <c r="AH385" s="159" t="s">
        <v>193</v>
      </c>
      <c r="AI385" s="162" t="str">
        <f>CONCATENATE(PAA[[#This Row],[Id Interno]],"-",PAA[[#This Row],[tipo de Contrato (TH talento humano - B/S bienes y/o servicios)]],"-",S385,"-",T385,"-",PAA[[#This Row],[Objeto de la contratación]])</f>
        <v>20260345-TH-8173-1-Prestarservicios profesionales en las actividades relacionadas con la emision de conceptos a cargo de la Subdirección de Gestión del Riesgo._SGR</v>
      </c>
    </row>
    <row r="386" spans="2:35" ht="56" x14ac:dyDescent="0.35">
      <c r="B386" s="23">
        <v>20260346</v>
      </c>
      <c r="C386" s="99" t="s">
        <v>555</v>
      </c>
      <c r="D386" s="23" t="s">
        <v>105</v>
      </c>
      <c r="E386" s="23" t="s">
        <v>363</v>
      </c>
      <c r="F386" s="156" t="s">
        <v>144</v>
      </c>
      <c r="G386" s="157" t="s">
        <v>373</v>
      </c>
      <c r="H386" s="158">
        <v>8</v>
      </c>
      <c r="I386" s="158">
        <v>0</v>
      </c>
      <c r="J386" s="127">
        <v>48000000</v>
      </c>
      <c r="K386" s="88" t="s">
        <v>398</v>
      </c>
      <c r="L386" s="156" t="s">
        <v>156</v>
      </c>
      <c r="M386" s="159" t="s">
        <v>513</v>
      </c>
      <c r="N386" s="23" t="s">
        <v>198</v>
      </c>
      <c r="O386" s="151" t="s">
        <v>964</v>
      </c>
      <c r="P386" s="156" t="s">
        <v>348</v>
      </c>
      <c r="Q386" s="53">
        <v>80111600</v>
      </c>
      <c r="R386" s="159" t="s">
        <v>210</v>
      </c>
      <c r="S386" s="159" t="str">
        <f>MID(PAA[[#This Row],[Meta Proyecto de Inversión]],1,4)</f>
        <v>8173</v>
      </c>
      <c r="T386" s="159" t="str">
        <f>MID(PAA[[#This Row],[Meta Proyecto de Inversión]],6,1)</f>
        <v>1</v>
      </c>
      <c r="U386" s="160" t="str">
        <f>IFERROR(VLOOKUP(N386,TD!$B$50:$F$54,2,0)," ")</f>
        <v>O230117</v>
      </c>
      <c r="V386" s="160" t="str">
        <f>IFERROR(VLOOKUP(N386,TD!$B$50:$F$54,3,0)," ")</f>
        <v>4503</v>
      </c>
      <c r="W386" s="160">
        <f>IFERROR(VLOOKUP(N386,TD!$B$50:$F$54,4,0)," ")</f>
        <v>20240255</v>
      </c>
      <c r="X386" s="159" t="s">
        <v>170</v>
      </c>
      <c r="Y386" s="160" t="str">
        <f>IFERROR(VLOOKUP(X386,TD!$J$51:$K$64,2,0)," ")</f>
        <v>Servicio de inspecciones técnicas realizadas</v>
      </c>
      <c r="Z386" s="161" t="str">
        <f>CONCATENATE(X386,"-",Y386)</f>
        <v>06-Servicio de inspecciones técnicas realizadas</v>
      </c>
      <c r="AA386" s="159" t="s">
        <v>223</v>
      </c>
      <c r="AB386" s="160" t="str">
        <f>IFERROR(VLOOKUP(AA386,TD!$N$51:$O$66,2,0)," ")</f>
        <v>Servicio prevención y control de incendios</v>
      </c>
      <c r="AC386" s="161" t="str">
        <f>CONCATENATE(AA386,"_",AB386)</f>
        <v>035_Servicio prevención y control de incendios</v>
      </c>
      <c r="AD386" s="161" t="str">
        <f>CONCATENATE(Z386," ",AC386)</f>
        <v>06-Servicio de inspecciones técnicas realizadas 035_Servicio prevención y control de incendios</v>
      </c>
      <c r="AE386" s="160" t="str">
        <f>CONCATENATE(U386,V386,W386,X386,AA386)</f>
        <v>O23011745032024025506035</v>
      </c>
      <c r="AF386" s="160" t="str">
        <f>IFERROR(VLOOKUP(AD386,TD!$J$66:$K$89,2,0)," ")</f>
        <v>PM/0131/0106/45030350255</v>
      </c>
      <c r="AG386" s="118" t="s">
        <v>385</v>
      </c>
      <c r="AH386" s="159" t="s">
        <v>193</v>
      </c>
      <c r="AI386" s="162" t="str">
        <f>CONCATENATE(PAA[[#This Row],[Id Interno]],"-",PAA[[#This Row],[tipo de Contrato (TH talento humano - B/S bienes y/o servicios)]],"-",S386,"-",T386,"-",PAA[[#This Row],[Objeto de la contratación]])</f>
        <v>20260346-TH-8173-1-Prestarservicios profesionales en las actividades relacionadas con la emision de conceptos a cargo de la Subdirección de Gestión del Riesgo._SGR</v>
      </c>
    </row>
    <row r="387" spans="2:35" ht="56" x14ac:dyDescent="0.35">
      <c r="B387" s="23">
        <v>20260347</v>
      </c>
      <c r="C387" s="99" t="s">
        <v>555</v>
      </c>
      <c r="D387" s="23" t="s">
        <v>105</v>
      </c>
      <c r="E387" s="23" t="s">
        <v>363</v>
      </c>
      <c r="F387" s="156" t="s">
        <v>144</v>
      </c>
      <c r="G387" s="157" t="s">
        <v>373</v>
      </c>
      <c r="H387" s="158">
        <v>10</v>
      </c>
      <c r="I387" s="158">
        <v>0</v>
      </c>
      <c r="J387" s="127">
        <v>70000000</v>
      </c>
      <c r="K387" s="88" t="s">
        <v>398</v>
      </c>
      <c r="L387" s="156" t="s">
        <v>156</v>
      </c>
      <c r="M387" s="159" t="s">
        <v>513</v>
      </c>
      <c r="N387" s="23" t="s">
        <v>198</v>
      </c>
      <c r="O387" s="151" t="s">
        <v>964</v>
      </c>
      <c r="P387" s="156" t="s">
        <v>348</v>
      </c>
      <c r="Q387" s="53">
        <v>80111600</v>
      </c>
      <c r="R387" s="159" t="s">
        <v>210</v>
      </c>
      <c r="S387" s="159" t="str">
        <f>MID(PAA[[#This Row],[Meta Proyecto de Inversión]],1,4)</f>
        <v>8173</v>
      </c>
      <c r="T387" s="159" t="str">
        <f>MID(PAA[[#This Row],[Meta Proyecto de Inversión]],6,1)</f>
        <v>1</v>
      </c>
      <c r="U387" s="160" t="str">
        <f>IFERROR(VLOOKUP(N387,TD!$B$50:$F$54,2,0)," ")</f>
        <v>O230117</v>
      </c>
      <c r="V387" s="160" t="str">
        <f>IFERROR(VLOOKUP(N387,TD!$B$50:$F$54,3,0)," ")</f>
        <v>4503</v>
      </c>
      <c r="W387" s="160">
        <f>IFERROR(VLOOKUP(N387,TD!$B$50:$F$54,4,0)," ")</f>
        <v>20240255</v>
      </c>
      <c r="X387" s="159" t="s">
        <v>170</v>
      </c>
      <c r="Y387" s="160" t="str">
        <f>IFERROR(VLOOKUP(X387,TD!$J$51:$K$64,2,0)," ")</f>
        <v>Servicio de inspecciones técnicas realizadas</v>
      </c>
      <c r="Z387" s="161" t="str">
        <f>CONCATENATE(X387,"-",Y387)</f>
        <v>06-Servicio de inspecciones técnicas realizadas</v>
      </c>
      <c r="AA387" s="159" t="s">
        <v>223</v>
      </c>
      <c r="AB387" s="160" t="str">
        <f>IFERROR(VLOOKUP(AA387,TD!$N$51:$O$66,2,0)," ")</f>
        <v>Servicio prevención y control de incendios</v>
      </c>
      <c r="AC387" s="161" t="str">
        <f>CONCATENATE(AA387,"_",AB387)</f>
        <v>035_Servicio prevención y control de incendios</v>
      </c>
      <c r="AD387" s="161" t="str">
        <f>CONCATENATE(Z387," ",AC387)</f>
        <v>06-Servicio de inspecciones técnicas realizadas 035_Servicio prevención y control de incendios</v>
      </c>
      <c r="AE387" s="160" t="str">
        <f>CONCATENATE(U387,V387,W387,X387,AA387)</f>
        <v>O23011745032024025506035</v>
      </c>
      <c r="AF387" s="160" t="str">
        <f>IFERROR(VLOOKUP(AD387,TD!$J$66:$K$89,2,0)," ")</f>
        <v>PM/0131/0106/45030350255</v>
      </c>
      <c r="AG387" s="118" t="s">
        <v>385</v>
      </c>
      <c r="AH387" s="159" t="s">
        <v>193</v>
      </c>
      <c r="AI387" s="162" t="str">
        <f>CONCATENATE(PAA[[#This Row],[Id Interno]],"-",PAA[[#This Row],[tipo de Contrato (TH talento humano - B/S bienes y/o servicios)]],"-",S387,"-",T387,"-",PAA[[#This Row],[Objeto de la contratación]])</f>
        <v>20260347-TH-8173-1-Prestarservicios profesionales en las actividades relacionadas con la emision de conceptos a cargo de la Subdirección de Gestión del Riesgo._SGR</v>
      </c>
    </row>
    <row r="388" spans="2:35" ht="56" x14ac:dyDescent="0.35">
      <c r="B388" s="23">
        <v>20260348</v>
      </c>
      <c r="C388" s="99" t="s">
        <v>555</v>
      </c>
      <c r="D388" s="23" t="s">
        <v>105</v>
      </c>
      <c r="E388" s="23" t="s">
        <v>363</v>
      </c>
      <c r="F388" s="156" t="s">
        <v>144</v>
      </c>
      <c r="G388" s="157" t="s">
        <v>373</v>
      </c>
      <c r="H388" s="158">
        <v>10</v>
      </c>
      <c r="I388" s="158">
        <v>0</v>
      </c>
      <c r="J388" s="127">
        <v>70000000</v>
      </c>
      <c r="K388" s="88" t="s">
        <v>398</v>
      </c>
      <c r="L388" s="156" t="s">
        <v>156</v>
      </c>
      <c r="M388" s="159" t="s">
        <v>513</v>
      </c>
      <c r="N388" s="23" t="s">
        <v>198</v>
      </c>
      <c r="O388" s="151" t="s">
        <v>964</v>
      </c>
      <c r="P388" s="156" t="s">
        <v>348</v>
      </c>
      <c r="Q388" s="53">
        <v>80111600</v>
      </c>
      <c r="R388" s="159" t="s">
        <v>210</v>
      </c>
      <c r="S388" s="159" t="str">
        <f>MID(PAA[[#This Row],[Meta Proyecto de Inversión]],1,4)</f>
        <v>8173</v>
      </c>
      <c r="T388" s="159" t="str">
        <f>MID(PAA[[#This Row],[Meta Proyecto de Inversión]],6,1)</f>
        <v>1</v>
      </c>
      <c r="U388" s="160" t="str">
        <f>IFERROR(VLOOKUP(N388,TD!$B$50:$F$54,2,0)," ")</f>
        <v>O230117</v>
      </c>
      <c r="V388" s="160" t="str">
        <f>IFERROR(VLOOKUP(N388,TD!$B$50:$F$54,3,0)," ")</f>
        <v>4503</v>
      </c>
      <c r="W388" s="160">
        <f>IFERROR(VLOOKUP(N388,TD!$B$50:$F$54,4,0)," ")</f>
        <v>20240255</v>
      </c>
      <c r="X388" s="159" t="s">
        <v>170</v>
      </c>
      <c r="Y388" s="160" t="str">
        <f>IFERROR(VLOOKUP(X388,TD!$J$51:$K$64,2,0)," ")</f>
        <v>Servicio de inspecciones técnicas realizadas</v>
      </c>
      <c r="Z388" s="161" t="str">
        <f>CONCATENATE(X388,"-",Y388)</f>
        <v>06-Servicio de inspecciones técnicas realizadas</v>
      </c>
      <c r="AA388" s="159" t="s">
        <v>223</v>
      </c>
      <c r="AB388" s="160" t="str">
        <f>IFERROR(VLOOKUP(AA388,TD!$N$51:$O$66,2,0)," ")</f>
        <v>Servicio prevención y control de incendios</v>
      </c>
      <c r="AC388" s="161" t="str">
        <f>CONCATENATE(AA388,"_",AB388)</f>
        <v>035_Servicio prevención y control de incendios</v>
      </c>
      <c r="AD388" s="161" t="str">
        <f>CONCATENATE(Z388," ",AC388)</f>
        <v>06-Servicio de inspecciones técnicas realizadas 035_Servicio prevención y control de incendios</v>
      </c>
      <c r="AE388" s="160" t="str">
        <f>CONCATENATE(U388,V388,W388,X388,AA388)</f>
        <v>O23011745032024025506035</v>
      </c>
      <c r="AF388" s="160" t="str">
        <f>IFERROR(VLOOKUP(AD388,TD!$J$66:$K$89,2,0)," ")</f>
        <v>PM/0131/0106/45030350255</v>
      </c>
      <c r="AG388" s="118" t="s">
        <v>385</v>
      </c>
      <c r="AH388" s="159" t="s">
        <v>193</v>
      </c>
      <c r="AI388" s="162" t="str">
        <f>CONCATENATE(PAA[[#This Row],[Id Interno]],"-",PAA[[#This Row],[tipo de Contrato (TH talento humano - B/S bienes y/o servicios)]],"-",S388,"-",T388,"-",PAA[[#This Row],[Objeto de la contratación]])</f>
        <v>20260348-TH-8173-1-Prestarservicios profesionales en las actividades relacionadas con la emision de conceptos a cargo de la Subdirección de Gestión del Riesgo._SGR</v>
      </c>
    </row>
    <row r="389" spans="2:35" ht="56" x14ac:dyDescent="0.35">
      <c r="B389" s="23">
        <v>20260349</v>
      </c>
      <c r="C389" s="99" t="s">
        <v>556</v>
      </c>
      <c r="D389" s="23" t="s">
        <v>105</v>
      </c>
      <c r="E389" s="23" t="s">
        <v>363</v>
      </c>
      <c r="F389" s="156" t="s">
        <v>145</v>
      </c>
      <c r="G389" s="157" t="s">
        <v>373</v>
      </c>
      <c r="H389" s="158">
        <v>10</v>
      </c>
      <c r="I389" s="158">
        <v>0</v>
      </c>
      <c r="J389" s="127">
        <v>45000000</v>
      </c>
      <c r="K389" s="88" t="s">
        <v>398</v>
      </c>
      <c r="L389" s="156" t="s">
        <v>156</v>
      </c>
      <c r="M389" s="159" t="s">
        <v>513</v>
      </c>
      <c r="N389" s="23" t="s">
        <v>198</v>
      </c>
      <c r="O389" s="151" t="s">
        <v>964</v>
      </c>
      <c r="P389" s="156" t="s">
        <v>348</v>
      </c>
      <c r="Q389" s="53">
        <v>80111600</v>
      </c>
      <c r="R389" s="159" t="s">
        <v>210</v>
      </c>
      <c r="S389" s="159" t="str">
        <f>MID(PAA[[#This Row],[Meta Proyecto de Inversión]],1,4)</f>
        <v>8173</v>
      </c>
      <c r="T389" s="159" t="str">
        <f>MID(PAA[[#This Row],[Meta Proyecto de Inversión]],6,1)</f>
        <v>1</v>
      </c>
      <c r="U389" s="160" t="str">
        <f>IFERROR(VLOOKUP(N389,TD!$B$50:$F$54,2,0)," ")</f>
        <v>O230117</v>
      </c>
      <c r="V389" s="160" t="str">
        <f>IFERROR(VLOOKUP(N389,TD!$B$50:$F$54,3,0)," ")</f>
        <v>4503</v>
      </c>
      <c r="W389" s="160">
        <f>IFERROR(VLOOKUP(N389,TD!$B$50:$F$54,4,0)," ")</f>
        <v>20240255</v>
      </c>
      <c r="X389" s="159" t="s">
        <v>170</v>
      </c>
      <c r="Y389" s="160" t="str">
        <f>IFERROR(VLOOKUP(X389,TD!$J$51:$K$64,2,0)," ")</f>
        <v>Servicio de inspecciones técnicas realizadas</v>
      </c>
      <c r="Z389" s="161" t="str">
        <f>CONCATENATE(X389,"-",Y389)</f>
        <v>06-Servicio de inspecciones técnicas realizadas</v>
      </c>
      <c r="AA389" s="159" t="s">
        <v>223</v>
      </c>
      <c r="AB389" s="160" t="str">
        <f>IFERROR(VLOOKUP(AA389,TD!$N$51:$O$66,2,0)," ")</f>
        <v>Servicio prevención y control de incendios</v>
      </c>
      <c r="AC389" s="161" t="str">
        <f>CONCATENATE(AA389,"_",AB389)</f>
        <v>035_Servicio prevención y control de incendios</v>
      </c>
      <c r="AD389" s="161" t="str">
        <f>CONCATENATE(Z389," ",AC389)</f>
        <v>06-Servicio de inspecciones técnicas realizadas 035_Servicio prevención y control de incendios</v>
      </c>
      <c r="AE389" s="160" t="str">
        <f>CONCATENATE(U389,V389,W389,X389,AA389)</f>
        <v>O23011745032024025506035</v>
      </c>
      <c r="AF389" s="160" t="str">
        <f>IFERROR(VLOOKUP(AD389,TD!$J$66:$K$89,2,0)," ")</f>
        <v>PM/0131/0106/45030350255</v>
      </c>
      <c r="AG389" s="118" t="s">
        <v>385</v>
      </c>
      <c r="AH389" s="159" t="s">
        <v>193</v>
      </c>
      <c r="AI389" s="162" t="str">
        <f>CONCATENATE(PAA[[#This Row],[Id Interno]],"-",PAA[[#This Row],[tipo de Contrato (TH talento humano - B/S bienes y/o servicios)]],"-",S389,"-",T389,"-",PAA[[#This Row],[Objeto de la contratación]])</f>
        <v>20260349-TH-8173-1-Prestar  servicios de apoyo tecnico para realizar las inspecciones relacionadas con la emision de conceptos a cargo de la Subdirección de Gestión del Riesgo._SGR</v>
      </c>
    </row>
    <row r="390" spans="2:35" ht="56" x14ac:dyDescent="0.35">
      <c r="B390" s="23">
        <v>20260350</v>
      </c>
      <c r="C390" s="99" t="s">
        <v>556</v>
      </c>
      <c r="D390" s="23" t="s">
        <v>105</v>
      </c>
      <c r="E390" s="23" t="s">
        <v>363</v>
      </c>
      <c r="F390" s="156" t="s">
        <v>145</v>
      </c>
      <c r="G390" s="157" t="s">
        <v>373</v>
      </c>
      <c r="H390" s="158">
        <v>10</v>
      </c>
      <c r="I390" s="158">
        <v>0</v>
      </c>
      <c r="J390" s="127">
        <v>40000000</v>
      </c>
      <c r="K390" s="88" t="s">
        <v>398</v>
      </c>
      <c r="L390" s="156" t="s">
        <v>156</v>
      </c>
      <c r="M390" s="159" t="s">
        <v>513</v>
      </c>
      <c r="N390" s="23" t="s">
        <v>198</v>
      </c>
      <c r="O390" s="151" t="s">
        <v>964</v>
      </c>
      <c r="P390" s="156" t="s">
        <v>348</v>
      </c>
      <c r="Q390" s="53">
        <v>80111600</v>
      </c>
      <c r="R390" s="159" t="s">
        <v>210</v>
      </c>
      <c r="S390" s="159" t="str">
        <f>MID(PAA[[#This Row],[Meta Proyecto de Inversión]],1,4)</f>
        <v>8173</v>
      </c>
      <c r="T390" s="159" t="str">
        <f>MID(PAA[[#This Row],[Meta Proyecto de Inversión]],6,1)</f>
        <v>1</v>
      </c>
      <c r="U390" s="160" t="str">
        <f>IFERROR(VLOOKUP(N390,TD!$B$50:$F$54,2,0)," ")</f>
        <v>O230117</v>
      </c>
      <c r="V390" s="160" t="str">
        <f>IFERROR(VLOOKUP(N390,TD!$B$50:$F$54,3,0)," ")</f>
        <v>4503</v>
      </c>
      <c r="W390" s="160">
        <f>IFERROR(VLOOKUP(N390,TD!$B$50:$F$54,4,0)," ")</f>
        <v>20240255</v>
      </c>
      <c r="X390" s="159" t="s">
        <v>170</v>
      </c>
      <c r="Y390" s="160" t="str">
        <f>IFERROR(VLOOKUP(X390,TD!$J$51:$K$64,2,0)," ")</f>
        <v>Servicio de inspecciones técnicas realizadas</v>
      </c>
      <c r="Z390" s="161" t="str">
        <f>CONCATENATE(X390,"-",Y390)</f>
        <v>06-Servicio de inspecciones técnicas realizadas</v>
      </c>
      <c r="AA390" s="159" t="s">
        <v>223</v>
      </c>
      <c r="AB390" s="160" t="str">
        <f>IFERROR(VLOOKUP(AA390,TD!$N$51:$O$66,2,0)," ")</f>
        <v>Servicio prevención y control de incendios</v>
      </c>
      <c r="AC390" s="161" t="str">
        <f>CONCATENATE(AA390,"_",AB390)</f>
        <v>035_Servicio prevención y control de incendios</v>
      </c>
      <c r="AD390" s="161" t="str">
        <f>CONCATENATE(Z390," ",AC390)</f>
        <v>06-Servicio de inspecciones técnicas realizadas 035_Servicio prevención y control de incendios</v>
      </c>
      <c r="AE390" s="160" t="str">
        <f>CONCATENATE(U390,V390,W390,X390,AA390)</f>
        <v>O23011745032024025506035</v>
      </c>
      <c r="AF390" s="160" t="str">
        <f>IFERROR(VLOOKUP(AD390,TD!$J$66:$K$89,2,0)," ")</f>
        <v>PM/0131/0106/45030350255</v>
      </c>
      <c r="AG390" s="118" t="s">
        <v>385</v>
      </c>
      <c r="AH390" s="159" t="s">
        <v>193</v>
      </c>
      <c r="AI390" s="162" t="str">
        <f>CONCATENATE(PAA[[#This Row],[Id Interno]],"-",PAA[[#This Row],[tipo de Contrato (TH talento humano - B/S bienes y/o servicios)]],"-",S390,"-",T390,"-",PAA[[#This Row],[Objeto de la contratación]])</f>
        <v>20260350-TH-8173-1-Prestar  servicios de apoyo tecnico para realizar las inspecciones relacionadas con la emision de conceptos a cargo de la Subdirección de Gestión del Riesgo._SGR</v>
      </c>
    </row>
    <row r="391" spans="2:35" ht="56" x14ac:dyDescent="0.35">
      <c r="B391" s="23">
        <v>20260351</v>
      </c>
      <c r="C391" s="99" t="s">
        <v>556</v>
      </c>
      <c r="D391" s="23" t="s">
        <v>105</v>
      </c>
      <c r="E391" s="23" t="s">
        <v>363</v>
      </c>
      <c r="F391" s="156" t="s">
        <v>145</v>
      </c>
      <c r="G391" s="157" t="s">
        <v>373</v>
      </c>
      <c r="H391" s="158">
        <v>10</v>
      </c>
      <c r="I391" s="158">
        <v>0</v>
      </c>
      <c r="J391" s="127">
        <v>40000000</v>
      </c>
      <c r="K391" s="88" t="s">
        <v>398</v>
      </c>
      <c r="L391" s="156" t="s">
        <v>156</v>
      </c>
      <c r="M391" s="159" t="s">
        <v>513</v>
      </c>
      <c r="N391" s="23" t="s">
        <v>198</v>
      </c>
      <c r="O391" s="151" t="s">
        <v>964</v>
      </c>
      <c r="P391" s="156" t="s">
        <v>348</v>
      </c>
      <c r="Q391" s="53">
        <v>80111600</v>
      </c>
      <c r="R391" s="159" t="s">
        <v>210</v>
      </c>
      <c r="S391" s="159" t="str">
        <f>MID(PAA[[#This Row],[Meta Proyecto de Inversión]],1,4)</f>
        <v>8173</v>
      </c>
      <c r="T391" s="159" t="str">
        <f>MID(PAA[[#This Row],[Meta Proyecto de Inversión]],6,1)</f>
        <v>1</v>
      </c>
      <c r="U391" s="160" t="str">
        <f>IFERROR(VLOOKUP(N391,TD!$B$50:$F$54,2,0)," ")</f>
        <v>O230117</v>
      </c>
      <c r="V391" s="160" t="str">
        <f>IFERROR(VLOOKUP(N391,TD!$B$50:$F$54,3,0)," ")</f>
        <v>4503</v>
      </c>
      <c r="W391" s="160">
        <f>IFERROR(VLOOKUP(N391,TD!$B$50:$F$54,4,0)," ")</f>
        <v>20240255</v>
      </c>
      <c r="X391" s="159" t="s">
        <v>170</v>
      </c>
      <c r="Y391" s="160" t="str">
        <f>IFERROR(VLOOKUP(X391,TD!$J$51:$K$64,2,0)," ")</f>
        <v>Servicio de inspecciones técnicas realizadas</v>
      </c>
      <c r="Z391" s="161" t="str">
        <f>CONCATENATE(X391,"-",Y391)</f>
        <v>06-Servicio de inspecciones técnicas realizadas</v>
      </c>
      <c r="AA391" s="159" t="s">
        <v>223</v>
      </c>
      <c r="AB391" s="160" t="str">
        <f>IFERROR(VLOOKUP(AA391,TD!$N$51:$O$66,2,0)," ")</f>
        <v>Servicio prevención y control de incendios</v>
      </c>
      <c r="AC391" s="161" t="str">
        <f>CONCATENATE(AA391,"_",AB391)</f>
        <v>035_Servicio prevención y control de incendios</v>
      </c>
      <c r="AD391" s="161" t="str">
        <f>CONCATENATE(Z391," ",AC391)</f>
        <v>06-Servicio de inspecciones técnicas realizadas 035_Servicio prevención y control de incendios</v>
      </c>
      <c r="AE391" s="160" t="str">
        <f>CONCATENATE(U391,V391,W391,X391,AA391)</f>
        <v>O23011745032024025506035</v>
      </c>
      <c r="AF391" s="160" t="str">
        <f>IFERROR(VLOOKUP(AD391,TD!$J$66:$K$89,2,0)," ")</f>
        <v>PM/0131/0106/45030350255</v>
      </c>
      <c r="AG391" s="118" t="s">
        <v>385</v>
      </c>
      <c r="AH391" s="159" t="s">
        <v>193</v>
      </c>
      <c r="AI391" s="162" t="str">
        <f>CONCATENATE(PAA[[#This Row],[Id Interno]],"-",PAA[[#This Row],[tipo de Contrato (TH talento humano - B/S bienes y/o servicios)]],"-",S391,"-",T391,"-",PAA[[#This Row],[Objeto de la contratación]])</f>
        <v>20260351-TH-8173-1-Prestar  servicios de apoyo tecnico para realizar las inspecciones relacionadas con la emision de conceptos a cargo de la Subdirección de Gestión del Riesgo._SGR</v>
      </c>
    </row>
    <row r="392" spans="2:35" ht="56" x14ac:dyDescent="0.35">
      <c r="B392" s="23">
        <v>20260352</v>
      </c>
      <c r="C392" s="99" t="s">
        <v>556</v>
      </c>
      <c r="D392" s="23" t="s">
        <v>105</v>
      </c>
      <c r="E392" s="23" t="s">
        <v>363</v>
      </c>
      <c r="F392" s="156" t="s">
        <v>145</v>
      </c>
      <c r="G392" s="157" t="s">
        <v>373</v>
      </c>
      <c r="H392" s="158">
        <v>10</v>
      </c>
      <c r="I392" s="158">
        <v>0</v>
      </c>
      <c r="J392" s="127">
        <v>40000000</v>
      </c>
      <c r="K392" s="88" t="s">
        <v>398</v>
      </c>
      <c r="L392" s="156" t="s">
        <v>156</v>
      </c>
      <c r="M392" s="159" t="s">
        <v>513</v>
      </c>
      <c r="N392" s="23" t="s">
        <v>198</v>
      </c>
      <c r="O392" s="151" t="s">
        <v>964</v>
      </c>
      <c r="P392" s="156" t="s">
        <v>348</v>
      </c>
      <c r="Q392" s="53">
        <v>80111600</v>
      </c>
      <c r="R392" s="159" t="s">
        <v>210</v>
      </c>
      <c r="S392" s="159" t="str">
        <f>MID(PAA[[#This Row],[Meta Proyecto de Inversión]],1,4)</f>
        <v>8173</v>
      </c>
      <c r="T392" s="159" t="str">
        <f>MID(PAA[[#This Row],[Meta Proyecto de Inversión]],6,1)</f>
        <v>1</v>
      </c>
      <c r="U392" s="160" t="str">
        <f>IFERROR(VLOOKUP(N392,TD!$B$50:$F$54,2,0)," ")</f>
        <v>O230117</v>
      </c>
      <c r="V392" s="160" t="str">
        <f>IFERROR(VLOOKUP(N392,TD!$B$50:$F$54,3,0)," ")</f>
        <v>4503</v>
      </c>
      <c r="W392" s="160">
        <f>IFERROR(VLOOKUP(N392,TD!$B$50:$F$54,4,0)," ")</f>
        <v>20240255</v>
      </c>
      <c r="X392" s="159" t="s">
        <v>170</v>
      </c>
      <c r="Y392" s="160" t="str">
        <f>IFERROR(VLOOKUP(X392,TD!$J$51:$K$64,2,0)," ")</f>
        <v>Servicio de inspecciones técnicas realizadas</v>
      </c>
      <c r="Z392" s="161" t="str">
        <f>CONCATENATE(X392,"-",Y392)</f>
        <v>06-Servicio de inspecciones técnicas realizadas</v>
      </c>
      <c r="AA392" s="159" t="s">
        <v>223</v>
      </c>
      <c r="AB392" s="160" t="str">
        <f>IFERROR(VLOOKUP(AA392,TD!$N$51:$O$66,2,0)," ")</f>
        <v>Servicio prevención y control de incendios</v>
      </c>
      <c r="AC392" s="161" t="str">
        <f>CONCATENATE(AA392,"_",AB392)</f>
        <v>035_Servicio prevención y control de incendios</v>
      </c>
      <c r="AD392" s="161" t="str">
        <f>CONCATENATE(Z392," ",AC392)</f>
        <v>06-Servicio de inspecciones técnicas realizadas 035_Servicio prevención y control de incendios</v>
      </c>
      <c r="AE392" s="160" t="str">
        <f>CONCATENATE(U392,V392,W392,X392,AA392)</f>
        <v>O23011745032024025506035</v>
      </c>
      <c r="AF392" s="160" t="str">
        <f>IFERROR(VLOOKUP(AD392,TD!$J$66:$K$89,2,0)," ")</f>
        <v>PM/0131/0106/45030350255</v>
      </c>
      <c r="AG392" s="118" t="s">
        <v>385</v>
      </c>
      <c r="AH392" s="159" t="s">
        <v>193</v>
      </c>
      <c r="AI392" s="162" t="str">
        <f>CONCATENATE(PAA[[#This Row],[Id Interno]],"-",PAA[[#This Row],[tipo de Contrato (TH talento humano - B/S bienes y/o servicios)]],"-",S392,"-",T392,"-",PAA[[#This Row],[Objeto de la contratación]])</f>
        <v>20260352-TH-8173-1-Prestar  servicios de apoyo tecnico para realizar las inspecciones relacionadas con la emision de conceptos a cargo de la Subdirección de Gestión del Riesgo._SGR</v>
      </c>
    </row>
    <row r="393" spans="2:35" ht="56" x14ac:dyDescent="0.35">
      <c r="B393" s="23">
        <v>20260353</v>
      </c>
      <c r="C393" s="99" t="s">
        <v>556</v>
      </c>
      <c r="D393" s="23" t="s">
        <v>105</v>
      </c>
      <c r="E393" s="23" t="s">
        <v>363</v>
      </c>
      <c r="F393" s="156" t="s">
        <v>145</v>
      </c>
      <c r="G393" s="157" t="s">
        <v>373</v>
      </c>
      <c r="H393" s="158">
        <v>10</v>
      </c>
      <c r="I393" s="158">
        <v>0</v>
      </c>
      <c r="J393" s="127">
        <v>40000000</v>
      </c>
      <c r="K393" s="88" t="s">
        <v>398</v>
      </c>
      <c r="L393" s="156" t="s">
        <v>156</v>
      </c>
      <c r="M393" s="159" t="s">
        <v>513</v>
      </c>
      <c r="N393" s="23" t="s">
        <v>198</v>
      </c>
      <c r="O393" s="151" t="s">
        <v>964</v>
      </c>
      <c r="P393" s="156" t="s">
        <v>348</v>
      </c>
      <c r="Q393" s="53">
        <v>80111600</v>
      </c>
      <c r="R393" s="159" t="s">
        <v>210</v>
      </c>
      <c r="S393" s="159" t="str">
        <f>MID(PAA[[#This Row],[Meta Proyecto de Inversión]],1,4)</f>
        <v>8173</v>
      </c>
      <c r="T393" s="159" t="str">
        <f>MID(PAA[[#This Row],[Meta Proyecto de Inversión]],6,1)</f>
        <v>1</v>
      </c>
      <c r="U393" s="160" t="str">
        <f>IFERROR(VLOOKUP(N393,TD!$B$50:$F$54,2,0)," ")</f>
        <v>O230117</v>
      </c>
      <c r="V393" s="160" t="str">
        <f>IFERROR(VLOOKUP(N393,TD!$B$50:$F$54,3,0)," ")</f>
        <v>4503</v>
      </c>
      <c r="W393" s="160">
        <f>IFERROR(VLOOKUP(N393,TD!$B$50:$F$54,4,0)," ")</f>
        <v>20240255</v>
      </c>
      <c r="X393" s="159" t="s">
        <v>170</v>
      </c>
      <c r="Y393" s="160" t="str">
        <f>IFERROR(VLOOKUP(X393,TD!$J$51:$K$64,2,0)," ")</f>
        <v>Servicio de inspecciones técnicas realizadas</v>
      </c>
      <c r="Z393" s="161" t="str">
        <f>CONCATENATE(X393,"-",Y393)</f>
        <v>06-Servicio de inspecciones técnicas realizadas</v>
      </c>
      <c r="AA393" s="159" t="s">
        <v>223</v>
      </c>
      <c r="AB393" s="160" t="str">
        <f>IFERROR(VLOOKUP(AA393,TD!$N$51:$O$66,2,0)," ")</f>
        <v>Servicio prevención y control de incendios</v>
      </c>
      <c r="AC393" s="161" t="str">
        <f>CONCATENATE(AA393,"_",AB393)</f>
        <v>035_Servicio prevención y control de incendios</v>
      </c>
      <c r="AD393" s="161" t="str">
        <f>CONCATENATE(Z393," ",AC393)</f>
        <v>06-Servicio de inspecciones técnicas realizadas 035_Servicio prevención y control de incendios</v>
      </c>
      <c r="AE393" s="160" t="str">
        <f>CONCATENATE(U393,V393,W393,X393,AA393)</f>
        <v>O23011745032024025506035</v>
      </c>
      <c r="AF393" s="160" t="str">
        <f>IFERROR(VLOOKUP(AD393,TD!$J$66:$K$89,2,0)," ")</f>
        <v>PM/0131/0106/45030350255</v>
      </c>
      <c r="AG393" s="118" t="s">
        <v>385</v>
      </c>
      <c r="AH393" s="159" t="s">
        <v>193</v>
      </c>
      <c r="AI393" s="162" t="str">
        <f>CONCATENATE(PAA[[#This Row],[Id Interno]],"-",PAA[[#This Row],[tipo de Contrato (TH talento humano - B/S bienes y/o servicios)]],"-",S393,"-",T393,"-",PAA[[#This Row],[Objeto de la contratación]])</f>
        <v>20260353-TH-8173-1-Prestar  servicios de apoyo tecnico para realizar las inspecciones relacionadas con la emision de conceptos a cargo de la Subdirección de Gestión del Riesgo._SGR</v>
      </c>
    </row>
    <row r="394" spans="2:35" ht="56" x14ac:dyDescent="0.35">
      <c r="B394" s="23">
        <v>20260354</v>
      </c>
      <c r="C394" s="99" t="s">
        <v>557</v>
      </c>
      <c r="D394" s="23" t="s">
        <v>105</v>
      </c>
      <c r="E394" s="23" t="s">
        <v>363</v>
      </c>
      <c r="F394" s="156" t="s">
        <v>145</v>
      </c>
      <c r="G394" s="157" t="s">
        <v>373</v>
      </c>
      <c r="H394" s="158">
        <v>10</v>
      </c>
      <c r="I394" s="158">
        <v>0</v>
      </c>
      <c r="J394" s="127">
        <v>40000000</v>
      </c>
      <c r="K394" s="88" t="s">
        <v>398</v>
      </c>
      <c r="L394" s="156" t="s">
        <v>156</v>
      </c>
      <c r="M394" s="159" t="s">
        <v>513</v>
      </c>
      <c r="N394" s="23" t="s">
        <v>198</v>
      </c>
      <c r="O394" s="151" t="s">
        <v>964</v>
      </c>
      <c r="P394" s="156" t="s">
        <v>348</v>
      </c>
      <c r="Q394" s="53">
        <v>80111600</v>
      </c>
      <c r="R394" s="159" t="s">
        <v>210</v>
      </c>
      <c r="S394" s="159" t="str">
        <f>MID(PAA[[#This Row],[Meta Proyecto de Inversión]],1,4)</f>
        <v>8173</v>
      </c>
      <c r="T394" s="159" t="str">
        <f>MID(PAA[[#This Row],[Meta Proyecto de Inversión]],6,1)</f>
        <v>1</v>
      </c>
      <c r="U394" s="160" t="str">
        <f>IFERROR(VLOOKUP(N394,TD!$B$50:$F$54,2,0)," ")</f>
        <v>O230117</v>
      </c>
      <c r="V394" s="160" t="str">
        <f>IFERROR(VLOOKUP(N394,TD!$B$50:$F$54,3,0)," ")</f>
        <v>4503</v>
      </c>
      <c r="W394" s="160">
        <f>IFERROR(VLOOKUP(N394,TD!$B$50:$F$54,4,0)," ")</f>
        <v>20240255</v>
      </c>
      <c r="X394" s="159" t="s">
        <v>170</v>
      </c>
      <c r="Y394" s="160" t="str">
        <f>IFERROR(VLOOKUP(X394,TD!$J$51:$K$64,2,0)," ")</f>
        <v>Servicio de inspecciones técnicas realizadas</v>
      </c>
      <c r="Z394" s="161" t="str">
        <f>CONCATENATE(X394,"-",Y394)</f>
        <v>06-Servicio de inspecciones técnicas realizadas</v>
      </c>
      <c r="AA394" s="159" t="s">
        <v>223</v>
      </c>
      <c r="AB394" s="160" t="str">
        <f>IFERROR(VLOOKUP(AA394,TD!$N$51:$O$66,2,0)," ")</f>
        <v>Servicio prevención y control de incendios</v>
      </c>
      <c r="AC394" s="161" t="str">
        <f>CONCATENATE(AA394,"_",AB394)</f>
        <v>035_Servicio prevención y control de incendios</v>
      </c>
      <c r="AD394" s="161" t="str">
        <f>CONCATENATE(Z394," ",AC394)</f>
        <v>06-Servicio de inspecciones técnicas realizadas 035_Servicio prevención y control de incendios</v>
      </c>
      <c r="AE394" s="160" t="str">
        <f>CONCATENATE(U394,V394,W394,X394,AA394)</f>
        <v>O23011745032024025506035</v>
      </c>
      <c r="AF394" s="160" t="str">
        <f>IFERROR(VLOOKUP(AD394,TD!$J$66:$K$89,2,0)," ")</f>
        <v>PM/0131/0106/45030350255</v>
      </c>
      <c r="AG394" s="118" t="s">
        <v>385</v>
      </c>
      <c r="AH394" s="159" t="s">
        <v>193</v>
      </c>
      <c r="AI394" s="162" t="str">
        <f>CONCATENATE(PAA[[#This Row],[Id Interno]],"-",PAA[[#This Row],[tipo de Contrato (TH talento humano - B/S bienes y/o servicios)]],"-",S394,"-",T394,"-",PAA[[#This Row],[Objeto de la contratación]])</f>
        <v>20260354-TH-8173-1-  Prestar  servicios de apoyo tecnico para realizar las inspecciones relacionadas con la emision de conceptos a cargo de la Subdirección de Gestión del Riesgo._SGR</v>
      </c>
    </row>
    <row r="395" spans="2:35" ht="56" x14ac:dyDescent="0.35">
      <c r="B395" s="23">
        <v>20260355</v>
      </c>
      <c r="C395" s="99" t="s">
        <v>556</v>
      </c>
      <c r="D395" s="23" t="s">
        <v>105</v>
      </c>
      <c r="E395" s="23" t="s">
        <v>363</v>
      </c>
      <c r="F395" s="156" t="s">
        <v>145</v>
      </c>
      <c r="G395" s="157" t="s">
        <v>373</v>
      </c>
      <c r="H395" s="158">
        <v>10</v>
      </c>
      <c r="I395" s="158">
        <v>0</v>
      </c>
      <c r="J395" s="127">
        <v>40000000</v>
      </c>
      <c r="K395" s="88" t="s">
        <v>398</v>
      </c>
      <c r="L395" s="156" t="s">
        <v>156</v>
      </c>
      <c r="M395" s="159" t="s">
        <v>513</v>
      </c>
      <c r="N395" s="23" t="s">
        <v>198</v>
      </c>
      <c r="O395" s="151" t="s">
        <v>964</v>
      </c>
      <c r="P395" s="156" t="s">
        <v>348</v>
      </c>
      <c r="Q395" s="53">
        <v>80111600</v>
      </c>
      <c r="R395" s="159" t="s">
        <v>210</v>
      </c>
      <c r="S395" s="159" t="str">
        <f>MID(PAA[[#This Row],[Meta Proyecto de Inversión]],1,4)</f>
        <v>8173</v>
      </c>
      <c r="T395" s="159" t="str">
        <f>MID(PAA[[#This Row],[Meta Proyecto de Inversión]],6,1)</f>
        <v>1</v>
      </c>
      <c r="U395" s="160" t="str">
        <f>IFERROR(VLOOKUP(N395,TD!$B$50:$F$54,2,0)," ")</f>
        <v>O230117</v>
      </c>
      <c r="V395" s="160" t="str">
        <f>IFERROR(VLOOKUP(N395,TD!$B$50:$F$54,3,0)," ")</f>
        <v>4503</v>
      </c>
      <c r="W395" s="160">
        <f>IFERROR(VLOOKUP(N395,TD!$B$50:$F$54,4,0)," ")</f>
        <v>20240255</v>
      </c>
      <c r="X395" s="159" t="s">
        <v>170</v>
      </c>
      <c r="Y395" s="160" t="str">
        <f>IFERROR(VLOOKUP(X395,TD!$J$51:$K$64,2,0)," ")</f>
        <v>Servicio de inspecciones técnicas realizadas</v>
      </c>
      <c r="Z395" s="161" t="str">
        <f>CONCATENATE(X395,"-",Y395)</f>
        <v>06-Servicio de inspecciones técnicas realizadas</v>
      </c>
      <c r="AA395" s="159" t="s">
        <v>223</v>
      </c>
      <c r="AB395" s="160" t="str">
        <f>IFERROR(VLOOKUP(AA395,TD!$N$51:$O$66,2,0)," ")</f>
        <v>Servicio prevención y control de incendios</v>
      </c>
      <c r="AC395" s="161" t="str">
        <f>CONCATENATE(AA395,"_",AB395)</f>
        <v>035_Servicio prevención y control de incendios</v>
      </c>
      <c r="AD395" s="161" t="str">
        <f>CONCATENATE(Z395," ",AC395)</f>
        <v>06-Servicio de inspecciones técnicas realizadas 035_Servicio prevención y control de incendios</v>
      </c>
      <c r="AE395" s="160" t="str">
        <f>CONCATENATE(U395,V395,W395,X395,AA395)</f>
        <v>O23011745032024025506035</v>
      </c>
      <c r="AF395" s="160" t="str">
        <f>IFERROR(VLOOKUP(AD395,TD!$J$66:$K$89,2,0)," ")</f>
        <v>PM/0131/0106/45030350255</v>
      </c>
      <c r="AG395" s="118" t="s">
        <v>385</v>
      </c>
      <c r="AH395" s="159" t="s">
        <v>193</v>
      </c>
      <c r="AI395" s="162" t="str">
        <f>CONCATENATE(PAA[[#This Row],[Id Interno]],"-",PAA[[#This Row],[tipo de Contrato (TH talento humano - B/S bienes y/o servicios)]],"-",S395,"-",T395,"-",PAA[[#This Row],[Objeto de la contratación]])</f>
        <v>20260355-TH-8173-1-Prestar  servicios de apoyo tecnico para realizar las inspecciones relacionadas con la emision de conceptos a cargo de la Subdirección de Gestión del Riesgo._SGR</v>
      </c>
    </row>
    <row r="396" spans="2:35" ht="56" x14ac:dyDescent="0.35">
      <c r="B396" s="23">
        <v>20260356</v>
      </c>
      <c r="C396" s="99" t="s">
        <v>556</v>
      </c>
      <c r="D396" s="23" t="s">
        <v>105</v>
      </c>
      <c r="E396" s="23" t="s">
        <v>363</v>
      </c>
      <c r="F396" s="156" t="s">
        <v>145</v>
      </c>
      <c r="G396" s="157" t="s">
        <v>373</v>
      </c>
      <c r="H396" s="158">
        <v>10</v>
      </c>
      <c r="I396" s="158">
        <v>0</v>
      </c>
      <c r="J396" s="127">
        <v>40000000</v>
      </c>
      <c r="K396" s="88" t="s">
        <v>398</v>
      </c>
      <c r="L396" s="156" t="s">
        <v>156</v>
      </c>
      <c r="M396" s="159" t="s">
        <v>513</v>
      </c>
      <c r="N396" s="23" t="s">
        <v>198</v>
      </c>
      <c r="O396" s="151" t="s">
        <v>964</v>
      </c>
      <c r="P396" s="156" t="s">
        <v>348</v>
      </c>
      <c r="Q396" s="53">
        <v>80111600</v>
      </c>
      <c r="R396" s="159" t="s">
        <v>210</v>
      </c>
      <c r="S396" s="159" t="str">
        <f>MID(PAA[[#This Row],[Meta Proyecto de Inversión]],1,4)</f>
        <v>8173</v>
      </c>
      <c r="T396" s="159" t="str">
        <f>MID(PAA[[#This Row],[Meta Proyecto de Inversión]],6,1)</f>
        <v>1</v>
      </c>
      <c r="U396" s="160" t="str">
        <f>IFERROR(VLOOKUP(N396,TD!$B$50:$F$54,2,0)," ")</f>
        <v>O230117</v>
      </c>
      <c r="V396" s="160" t="str">
        <f>IFERROR(VLOOKUP(N396,TD!$B$50:$F$54,3,0)," ")</f>
        <v>4503</v>
      </c>
      <c r="W396" s="160">
        <f>IFERROR(VLOOKUP(N396,TD!$B$50:$F$54,4,0)," ")</f>
        <v>20240255</v>
      </c>
      <c r="X396" s="159" t="s">
        <v>170</v>
      </c>
      <c r="Y396" s="160" t="str">
        <f>IFERROR(VLOOKUP(X396,TD!$J$51:$K$64,2,0)," ")</f>
        <v>Servicio de inspecciones técnicas realizadas</v>
      </c>
      <c r="Z396" s="161" t="str">
        <f>CONCATENATE(X396,"-",Y396)</f>
        <v>06-Servicio de inspecciones técnicas realizadas</v>
      </c>
      <c r="AA396" s="159" t="s">
        <v>223</v>
      </c>
      <c r="AB396" s="160" t="str">
        <f>IFERROR(VLOOKUP(AA396,TD!$N$51:$O$66,2,0)," ")</f>
        <v>Servicio prevención y control de incendios</v>
      </c>
      <c r="AC396" s="161" t="str">
        <f>CONCATENATE(AA396,"_",AB396)</f>
        <v>035_Servicio prevención y control de incendios</v>
      </c>
      <c r="AD396" s="161" t="str">
        <f>CONCATENATE(Z396," ",AC396)</f>
        <v>06-Servicio de inspecciones técnicas realizadas 035_Servicio prevención y control de incendios</v>
      </c>
      <c r="AE396" s="160" t="str">
        <f>CONCATENATE(U396,V396,W396,X396,AA396)</f>
        <v>O23011745032024025506035</v>
      </c>
      <c r="AF396" s="160" t="str">
        <f>IFERROR(VLOOKUP(AD396,TD!$J$66:$K$89,2,0)," ")</f>
        <v>PM/0131/0106/45030350255</v>
      </c>
      <c r="AG396" s="118" t="s">
        <v>385</v>
      </c>
      <c r="AH396" s="159" t="s">
        <v>193</v>
      </c>
      <c r="AI396" s="162" t="str">
        <f>CONCATENATE(PAA[[#This Row],[Id Interno]],"-",PAA[[#This Row],[tipo de Contrato (TH talento humano - B/S bienes y/o servicios)]],"-",S396,"-",T396,"-",PAA[[#This Row],[Objeto de la contratación]])</f>
        <v>20260356-TH-8173-1-Prestar  servicios de apoyo tecnico para realizar las inspecciones relacionadas con la emision de conceptos a cargo de la Subdirección de Gestión del Riesgo._SGR</v>
      </c>
    </row>
    <row r="397" spans="2:35" ht="70" x14ac:dyDescent="0.35">
      <c r="B397" s="23">
        <v>20260357</v>
      </c>
      <c r="C397" s="99" t="s">
        <v>556</v>
      </c>
      <c r="D397" s="23" t="s">
        <v>105</v>
      </c>
      <c r="E397" s="23" t="s">
        <v>363</v>
      </c>
      <c r="F397" s="156" t="s">
        <v>145</v>
      </c>
      <c r="G397" s="157" t="s">
        <v>373</v>
      </c>
      <c r="H397" s="158">
        <v>10</v>
      </c>
      <c r="I397" s="158">
        <v>0</v>
      </c>
      <c r="J397" s="127">
        <v>40000000</v>
      </c>
      <c r="K397" s="88" t="s">
        <v>398</v>
      </c>
      <c r="L397" s="156" t="s">
        <v>156</v>
      </c>
      <c r="M397" s="159" t="s">
        <v>513</v>
      </c>
      <c r="N397" s="23" t="s">
        <v>198</v>
      </c>
      <c r="O397" s="151" t="s">
        <v>964</v>
      </c>
      <c r="P397" s="156" t="s">
        <v>348</v>
      </c>
      <c r="Q397" s="53">
        <v>80111600</v>
      </c>
      <c r="R397" s="159" t="s">
        <v>210</v>
      </c>
      <c r="S397" s="159" t="str">
        <f>MID(PAA[[#This Row],[Meta Proyecto de Inversión]],1,4)</f>
        <v>8173</v>
      </c>
      <c r="T397" s="159" t="str">
        <f>MID(PAA[[#This Row],[Meta Proyecto de Inversión]],6,1)</f>
        <v>1</v>
      </c>
      <c r="U397" s="160" t="str">
        <f>IFERROR(VLOOKUP(N397,TD!$B$50:$F$54,2,0)," ")</f>
        <v>O230117</v>
      </c>
      <c r="V397" s="160" t="str">
        <f>IFERROR(VLOOKUP(N397,TD!$B$50:$F$54,3,0)," ")</f>
        <v>4503</v>
      </c>
      <c r="W397" s="160">
        <f>IFERROR(VLOOKUP(N397,TD!$B$50:$F$54,4,0)," ")</f>
        <v>20240255</v>
      </c>
      <c r="X397" s="159" t="s">
        <v>170</v>
      </c>
      <c r="Y397" s="160" t="str">
        <f>IFERROR(VLOOKUP(X397,TD!$J$51:$K$64,2,0)," ")</f>
        <v>Servicio de inspecciones técnicas realizadas</v>
      </c>
      <c r="Z397" s="161" t="str">
        <f>CONCATENATE(X397,"-",Y397)</f>
        <v>06-Servicio de inspecciones técnicas realizadas</v>
      </c>
      <c r="AA397" s="159" t="s">
        <v>223</v>
      </c>
      <c r="AB397" s="160" t="str">
        <f>IFERROR(VLOOKUP(AA397,TD!$N$51:$O$66,2,0)," ")</f>
        <v>Servicio prevención y control de incendios</v>
      </c>
      <c r="AC397" s="161" t="str">
        <f>CONCATENATE(AA397,"_",AB397)</f>
        <v>035_Servicio prevención y control de incendios</v>
      </c>
      <c r="AD397" s="161" t="str">
        <f>CONCATENATE(Z397," ",AC397)</f>
        <v>06-Servicio de inspecciones técnicas realizadas 035_Servicio prevención y control de incendios</v>
      </c>
      <c r="AE397" s="160" t="str">
        <f>CONCATENATE(U397,V397,W397,X397,AA397)</f>
        <v>O23011745032024025506035</v>
      </c>
      <c r="AF397" s="160" t="str">
        <f>IFERROR(VLOOKUP(AD397,TD!$J$66:$K$89,2,0)," ")</f>
        <v>PM/0131/0106/45030350255</v>
      </c>
      <c r="AG397" s="118" t="s">
        <v>385</v>
      </c>
      <c r="AH397" s="159" t="s">
        <v>193</v>
      </c>
      <c r="AI397" s="162" t="str">
        <f>CONCATENATE(PAA[[#This Row],[Id Interno]],"-",PAA[[#This Row],[tipo de Contrato (TH talento humano - B/S bienes y/o servicios)]],"-",S397,"-",T397,"-",PAA[[#This Row],[Objeto de la contratación]])</f>
        <v>20260357-TH-8173-1-Prestar  servicios de apoyo tecnico para realizar las inspecciones relacionadas con la emision de conceptos a cargo de la Subdirección de Gestión del Riesgo._SGR</v>
      </c>
    </row>
    <row r="398" spans="2:35" ht="56" x14ac:dyDescent="0.35">
      <c r="B398" s="23">
        <v>20260358</v>
      </c>
      <c r="C398" s="99" t="s">
        <v>556</v>
      </c>
      <c r="D398" s="23" t="s">
        <v>105</v>
      </c>
      <c r="E398" s="23" t="s">
        <v>363</v>
      </c>
      <c r="F398" s="156" t="s">
        <v>145</v>
      </c>
      <c r="G398" s="157" t="s">
        <v>373</v>
      </c>
      <c r="H398" s="158">
        <v>10</v>
      </c>
      <c r="I398" s="158">
        <v>0</v>
      </c>
      <c r="J398" s="127">
        <v>40000000</v>
      </c>
      <c r="K398" s="88" t="s">
        <v>398</v>
      </c>
      <c r="L398" s="156" t="s">
        <v>156</v>
      </c>
      <c r="M398" s="159" t="s">
        <v>513</v>
      </c>
      <c r="N398" s="23" t="s">
        <v>198</v>
      </c>
      <c r="O398" s="151" t="s">
        <v>964</v>
      </c>
      <c r="P398" s="156" t="s">
        <v>348</v>
      </c>
      <c r="Q398" s="53">
        <v>80111600</v>
      </c>
      <c r="R398" s="159" t="s">
        <v>210</v>
      </c>
      <c r="S398" s="159" t="str">
        <f>MID(PAA[[#This Row],[Meta Proyecto de Inversión]],1,4)</f>
        <v>8173</v>
      </c>
      <c r="T398" s="159" t="str">
        <f>MID(PAA[[#This Row],[Meta Proyecto de Inversión]],6,1)</f>
        <v>1</v>
      </c>
      <c r="U398" s="160" t="str">
        <f>IFERROR(VLOOKUP(N398,TD!$B$50:$F$54,2,0)," ")</f>
        <v>O230117</v>
      </c>
      <c r="V398" s="160" t="str">
        <f>IFERROR(VLOOKUP(N398,TD!$B$50:$F$54,3,0)," ")</f>
        <v>4503</v>
      </c>
      <c r="W398" s="160">
        <f>IFERROR(VLOOKUP(N398,TD!$B$50:$F$54,4,0)," ")</f>
        <v>20240255</v>
      </c>
      <c r="X398" s="159" t="s">
        <v>170</v>
      </c>
      <c r="Y398" s="160" t="str">
        <f>IFERROR(VLOOKUP(X398,TD!$J$51:$K$64,2,0)," ")</f>
        <v>Servicio de inspecciones técnicas realizadas</v>
      </c>
      <c r="Z398" s="161" t="str">
        <f>CONCATENATE(X398,"-",Y398)</f>
        <v>06-Servicio de inspecciones técnicas realizadas</v>
      </c>
      <c r="AA398" s="159" t="s">
        <v>223</v>
      </c>
      <c r="AB398" s="160" t="str">
        <f>IFERROR(VLOOKUP(AA398,TD!$N$51:$O$66,2,0)," ")</f>
        <v>Servicio prevención y control de incendios</v>
      </c>
      <c r="AC398" s="161" t="str">
        <f>CONCATENATE(AA398,"_",AB398)</f>
        <v>035_Servicio prevención y control de incendios</v>
      </c>
      <c r="AD398" s="161" t="str">
        <f>CONCATENATE(Z398," ",AC398)</f>
        <v>06-Servicio de inspecciones técnicas realizadas 035_Servicio prevención y control de incendios</v>
      </c>
      <c r="AE398" s="160" t="str">
        <f>CONCATENATE(U398,V398,W398,X398,AA398)</f>
        <v>O23011745032024025506035</v>
      </c>
      <c r="AF398" s="160" t="str">
        <f>IFERROR(VLOOKUP(AD398,TD!$J$66:$K$89,2,0)," ")</f>
        <v>PM/0131/0106/45030350255</v>
      </c>
      <c r="AG398" s="118" t="s">
        <v>385</v>
      </c>
      <c r="AH398" s="159" t="s">
        <v>193</v>
      </c>
      <c r="AI398" s="162" t="str">
        <f>CONCATENATE(PAA[[#This Row],[Id Interno]],"-",PAA[[#This Row],[tipo de Contrato (TH talento humano - B/S bienes y/o servicios)]],"-",S398,"-",T398,"-",PAA[[#This Row],[Objeto de la contratación]])</f>
        <v>20260358-TH-8173-1-Prestar  servicios de apoyo tecnico para realizar las inspecciones relacionadas con la emision de conceptos a cargo de la Subdirección de Gestión del Riesgo._SGR</v>
      </c>
    </row>
    <row r="399" spans="2:35" ht="56" x14ac:dyDescent="0.35">
      <c r="B399" s="23">
        <v>20260359</v>
      </c>
      <c r="C399" s="99" t="s">
        <v>556</v>
      </c>
      <c r="D399" s="23" t="s">
        <v>105</v>
      </c>
      <c r="E399" s="23" t="s">
        <v>363</v>
      </c>
      <c r="F399" s="156" t="s">
        <v>145</v>
      </c>
      <c r="G399" s="157" t="s">
        <v>373</v>
      </c>
      <c r="H399" s="158">
        <v>10</v>
      </c>
      <c r="I399" s="158">
        <v>0</v>
      </c>
      <c r="J399" s="127">
        <v>40000000</v>
      </c>
      <c r="K399" s="88" t="s">
        <v>398</v>
      </c>
      <c r="L399" s="156" t="s">
        <v>156</v>
      </c>
      <c r="M399" s="159" t="s">
        <v>513</v>
      </c>
      <c r="N399" s="23" t="s">
        <v>198</v>
      </c>
      <c r="O399" s="151" t="s">
        <v>964</v>
      </c>
      <c r="P399" s="156" t="s">
        <v>348</v>
      </c>
      <c r="Q399" s="53">
        <v>80111600</v>
      </c>
      <c r="R399" s="159" t="s">
        <v>210</v>
      </c>
      <c r="S399" s="159" t="str">
        <f>MID(PAA[[#This Row],[Meta Proyecto de Inversión]],1,4)</f>
        <v>8173</v>
      </c>
      <c r="T399" s="159" t="str">
        <f>MID(PAA[[#This Row],[Meta Proyecto de Inversión]],6,1)</f>
        <v>1</v>
      </c>
      <c r="U399" s="160" t="str">
        <f>IFERROR(VLOOKUP(N399,TD!$B$50:$F$54,2,0)," ")</f>
        <v>O230117</v>
      </c>
      <c r="V399" s="160" t="str">
        <f>IFERROR(VLOOKUP(N399,TD!$B$50:$F$54,3,0)," ")</f>
        <v>4503</v>
      </c>
      <c r="W399" s="160">
        <f>IFERROR(VLOOKUP(N399,TD!$B$50:$F$54,4,0)," ")</f>
        <v>20240255</v>
      </c>
      <c r="X399" s="159" t="s">
        <v>170</v>
      </c>
      <c r="Y399" s="160" t="str">
        <f>IFERROR(VLOOKUP(X399,TD!$J$51:$K$64,2,0)," ")</f>
        <v>Servicio de inspecciones técnicas realizadas</v>
      </c>
      <c r="Z399" s="161" t="str">
        <f>CONCATENATE(X399,"-",Y399)</f>
        <v>06-Servicio de inspecciones técnicas realizadas</v>
      </c>
      <c r="AA399" s="159" t="s">
        <v>223</v>
      </c>
      <c r="AB399" s="160" t="str">
        <f>IFERROR(VLOOKUP(AA399,TD!$N$51:$O$66,2,0)," ")</f>
        <v>Servicio prevención y control de incendios</v>
      </c>
      <c r="AC399" s="161" t="str">
        <f>CONCATENATE(AA399,"_",AB399)</f>
        <v>035_Servicio prevención y control de incendios</v>
      </c>
      <c r="AD399" s="161" t="str">
        <f>CONCATENATE(Z399," ",AC399)</f>
        <v>06-Servicio de inspecciones técnicas realizadas 035_Servicio prevención y control de incendios</v>
      </c>
      <c r="AE399" s="160" t="str">
        <f>CONCATENATE(U399,V399,W399,X399,AA399)</f>
        <v>O23011745032024025506035</v>
      </c>
      <c r="AF399" s="160" t="str">
        <f>IFERROR(VLOOKUP(AD399,TD!$J$66:$K$89,2,0)," ")</f>
        <v>PM/0131/0106/45030350255</v>
      </c>
      <c r="AG399" s="118" t="s">
        <v>385</v>
      </c>
      <c r="AH399" s="159" t="s">
        <v>193</v>
      </c>
      <c r="AI399" s="162" t="str">
        <f>CONCATENATE(PAA[[#This Row],[Id Interno]],"-",PAA[[#This Row],[tipo de Contrato (TH talento humano - B/S bienes y/o servicios)]],"-",S399,"-",T399,"-",PAA[[#This Row],[Objeto de la contratación]])</f>
        <v>20260359-TH-8173-1-Prestar  servicios de apoyo tecnico para realizar las inspecciones relacionadas con la emision de conceptos a cargo de la Subdirección de Gestión del Riesgo._SGR</v>
      </c>
    </row>
    <row r="400" spans="2:35" ht="56" x14ac:dyDescent="0.35">
      <c r="B400" s="23">
        <v>20260360</v>
      </c>
      <c r="C400" s="99" t="s">
        <v>556</v>
      </c>
      <c r="D400" s="23" t="s">
        <v>105</v>
      </c>
      <c r="E400" s="23" t="s">
        <v>363</v>
      </c>
      <c r="F400" s="156" t="s">
        <v>145</v>
      </c>
      <c r="G400" s="157" t="s">
        <v>373</v>
      </c>
      <c r="H400" s="158">
        <v>10</v>
      </c>
      <c r="I400" s="158">
        <v>0</v>
      </c>
      <c r="J400" s="127">
        <v>40000000</v>
      </c>
      <c r="K400" s="88" t="s">
        <v>398</v>
      </c>
      <c r="L400" s="156" t="s">
        <v>156</v>
      </c>
      <c r="M400" s="159" t="s">
        <v>513</v>
      </c>
      <c r="N400" s="23" t="s">
        <v>198</v>
      </c>
      <c r="O400" s="151" t="s">
        <v>964</v>
      </c>
      <c r="P400" s="156" t="s">
        <v>348</v>
      </c>
      <c r="Q400" s="53">
        <v>80111600</v>
      </c>
      <c r="R400" s="159" t="s">
        <v>210</v>
      </c>
      <c r="S400" s="159" t="str">
        <f>MID(PAA[[#This Row],[Meta Proyecto de Inversión]],1,4)</f>
        <v>8173</v>
      </c>
      <c r="T400" s="159" t="str">
        <f>MID(PAA[[#This Row],[Meta Proyecto de Inversión]],6,1)</f>
        <v>1</v>
      </c>
      <c r="U400" s="160" t="str">
        <f>IFERROR(VLOOKUP(N400,TD!$B$50:$F$54,2,0)," ")</f>
        <v>O230117</v>
      </c>
      <c r="V400" s="160" t="str">
        <f>IFERROR(VLOOKUP(N400,TD!$B$50:$F$54,3,0)," ")</f>
        <v>4503</v>
      </c>
      <c r="W400" s="160">
        <f>IFERROR(VLOOKUP(N400,TD!$B$50:$F$54,4,0)," ")</f>
        <v>20240255</v>
      </c>
      <c r="X400" s="159" t="s">
        <v>170</v>
      </c>
      <c r="Y400" s="160" t="str">
        <f>IFERROR(VLOOKUP(X400,TD!$J$51:$K$64,2,0)," ")</f>
        <v>Servicio de inspecciones técnicas realizadas</v>
      </c>
      <c r="Z400" s="161" t="str">
        <f>CONCATENATE(X400,"-",Y400)</f>
        <v>06-Servicio de inspecciones técnicas realizadas</v>
      </c>
      <c r="AA400" s="159" t="s">
        <v>223</v>
      </c>
      <c r="AB400" s="160" t="str">
        <f>IFERROR(VLOOKUP(AA400,TD!$N$51:$O$66,2,0)," ")</f>
        <v>Servicio prevención y control de incendios</v>
      </c>
      <c r="AC400" s="161" t="str">
        <f>CONCATENATE(AA400,"_",AB400)</f>
        <v>035_Servicio prevención y control de incendios</v>
      </c>
      <c r="AD400" s="161" t="str">
        <f>CONCATENATE(Z400," ",AC400)</f>
        <v>06-Servicio de inspecciones técnicas realizadas 035_Servicio prevención y control de incendios</v>
      </c>
      <c r="AE400" s="160" t="str">
        <f>CONCATENATE(U400,V400,W400,X400,AA400)</f>
        <v>O23011745032024025506035</v>
      </c>
      <c r="AF400" s="160" t="str">
        <f>IFERROR(VLOOKUP(AD400,TD!$J$66:$K$89,2,0)," ")</f>
        <v>PM/0131/0106/45030350255</v>
      </c>
      <c r="AG400" s="118" t="s">
        <v>385</v>
      </c>
      <c r="AH400" s="159" t="s">
        <v>193</v>
      </c>
      <c r="AI400" s="162" t="str">
        <f>CONCATENATE(PAA[[#This Row],[Id Interno]],"-",PAA[[#This Row],[tipo de Contrato (TH talento humano - B/S bienes y/o servicios)]],"-",S400,"-",T400,"-",PAA[[#This Row],[Objeto de la contratación]])</f>
        <v>20260360-TH-8173-1-Prestar  servicios de apoyo tecnico para realizar las inspecciones relacionadas con la emision de conceptos a cargo de la Subdirección de Gestión del Riesgo._SGR</v>
      </c>
    </row>
    <row r="401" spans="2:35" ht="56" x14ac:dyDescent="0.35">
      <c r="B401" s="23">
        <v>20260361</v>
      </c>
      <c r="C401" s="99" t="s">
        <v>556</v>
      </c>
      <c r="D401" s="23" t="s">
        <v>105</v>
      </c>
      <c r="E401" s="23" t="s">
        <v>363</v>
      </c>
      <c r="F401" s="156" t="s">
        <v>145</v>
      </c>
      <c r="G401" s="157" t="s">
        <v>373</v>
      </c>
      <c r="H401" s="158">
        <v>10</v>
      </c>
      <c r="I401" s="158">
        <v>0</v>
      </c>
      <c r="J401" s="127">
        <v>40000000</v>
      </c>
      <c r="K401" s="88" t="s">
        <v>398</v>
      </c>
      <c r="L401" s="156" t="s">
        <v>156</v>
      </c>
      <c r="M401" s="159" t="s">
        <v>513</v>
      </c>
      <c r="N401" s="23" t="s">
        <v>198</v>
      </c>
      <c r="O401" s="151" t="s">
        <v>964</v>
      </c>
      <c r="P401" s="156" t="s">
        <v>348</v>
      </c>
      <c r="Q401" s="53">
        <v>80111600</v>
      </c>
      <c r="R401" s="159" t="s">
        <v>210</v>
      </c>
      <c r="S401" s="159" t="str">
        <f>MID(PAA[[#This Row],[Meta Proyecto de Inversión]],1,4)</f>
        <v>8173</v>
      </c>
      <c r="T401" s="159" t="str">
        <f>MID(PAA[[#This Row],[Meta Proyecto de Inversión]],6,1)</f>
        <v>1</v>
      </c>
      <c r="U401" s="160" t="str">
        <f>IFERROR(VLOOKUP(N401,TD!$B$50:$F$54,2,0)," ")</f>
        <v>O230117</v>
      </c>
      <c r="V401" s="160" t="str">
        <f>IFERROR(VLOOKUP(N401,TD!$B$50:$F$54,3,0)," ")</f>
        <v>4503</v>
      </c>
      <c r="W401" s="160">
        <f>IFERROR(VLOOKUP(N401,TD!$B$50:$F$54,4,0)," ")</f>
        <v>20240255</v>
      </c>
      <c r="X401" s="159" t="s">
        <v>170</v>
      </c>
      <c r="Y401" s="160" t="str">
        <f>IFERROR(VLOOKUP(X401,TD!$J$51:$K$64,2,0)," ")</f>
        <v>Servicio de inspecciones técnicas realizadas</v>
      </c>
      <c r="Z401" s="161" t="str">
        <f>CONCATENATE(X401,"-",Y401)</f>
        <v>06-Servicio de inspecciones técnicas realizadas</v>
      </c>
      <c r="AA401" s="159" t="s">
        <v>223</v>
      </c>
      <c r="AB401" s="160" t="str">
        <f>IFERROR(VLOOKUP(AA401,TD!$N$51:$O$66,2,0)," ")</f>
        <v>Servicio prevención y control de incendios</v>
      </c>
      <c r="AC401" s="161" t="str">
        <f>CONCATENATE(AA401,"_",AB401)</f>
        <v>035_Servicio prevención y control de incendios</v>
      </c>
      <c r="AD401" s="161" t="str">
        <f>CONCATENATE(Z401," ",AC401)</f>
        <v>06-Servicio de inspecciones técnicas realizadas 035_Servicio prevención y control de incendios</v>
      </c>
      <c r="AE401" s="160" t="str">
        <f>CONCATENATE(U401,V401,W401,X401,AA401)</f>
        <v>O23011745032024025506035</v>
      </c>
      <c r="AF401" s="160" t="str">
        <f>IFERROR(VLOOKUP(AD401,TD!$J$66:$K$89,2,0)," ")</f>
        <v>PM/0131/0106/45030350255</v>
      </c>
      <c r="AG401" s="118" t="s">
        <v>385</v>
      </c>
      <c r="AH401" s="159" t="s">
        <v>193</v>
      </c>
      <c r="AI401" s="162" t="str">
        <f>CONCATENATE(PAA[[#This Row],[Id Interno]],"-",PAA[[#This Row],[tipo de Contrato (TH talento humano - B/S bienes y/o servicios)]],"-",S401,"-",T401,"-",PAA[[#This Row],[Objeto de la contratación]])</f>
        <v>20260361-TH-8173-1-Prestar  servicios de apoyo tecnico para realizar las inspecciones relacionadas con la emision de conceptos a cargo de la Subdirección de Gestión del Riesgo._SGR</v>
      </c>
    </row>
    <row r="402" spans="2:35" ht="56" x14ac:dyDescent="0.35">
      <c r="B402" s="23">
        <v>20260362</v>
      </c>
      <c r="C402" s="99" t="s">
        <v>556</v>
      </c>
      <c r="D402" s="23" t="s">
        <v>105</v>
      </c>
      <c r="E402" s="23" t="s">
        <v>363</v>
      </c>
      <c r="F402" s="156" t="s">
        <v>145</v>
      </c>
      <c r="G402" s="157" t="s">
        <v>373</v>
      </c>
      <c r="H402" s="158">
        <v>10</v>
      </c>
      <c r="I402" s="158">
        <v>0</v>
      </c>
      <c r="J402" s="127">
        <v>40000000</v>
      </c>
      <c r="K402" s="88" t="s">
        <v>398</v>
      </c>
      <c r="L402" s="156" t="s">
        <v>156</v>
      </c>
      <c r="M402" s="159" t="s">
        <v>513</v>
      </c>
      <c r="N402" s="23" t="s">
        <v>198</v>
      </c>
      <c r="O402" s="151" t="s">
        <v>964</v>
      </c>
      <c r="P402" s="156" t="s">
        <v>348</v>
      </c>
      <c r="Q402" s="53">
        <v>80111600</v>
      </c>
      <c r="R402" s="159" t="s">
        <v>210</v>
      </c>
      <c r="S402" s="159" t="str">
        <f>MID(PAA[[#This Row],[Meta Proyecto de Inversión]],1,4)</f>
        <v>8173</v>
      </c>
      <c r="T402" s="159" t="str">
        <f>MID(PAA[[#This Row],[Meta Proyecto de Inversión]],6,1)</f>
        <v>1</v>
      </c>
      <c r="U402" s="160" t="str">
        <f>IFERROR(VLOOKUP(N402,TD!$B$50:$F$54,2,0)," ")</f>
        <v>O230117</v>
      </c>
      <c r="V402" s="160" t="str">
        <f>IFERROR(VLOOKUP(N402,TD!$B$50:$F$54,3,0)," ")</f>
        <v>4503</v>
      </c>
      <c r="W402" s="160">
        <f>IFERROR(VLOOKUP(N402,TD!$B$50:$F$54,4,0)," ")</f>
        <v>20240255</v>
      </c>
      <c r="X402" s="159" t="s">
        <v>170</v>
      </c>
      <c r="Y402" s="160" t="str">
        <f>IFERROR(VLOOKUP(X402,TD!$J$51:$K$64,2,0)," ")</f>
        <v>Servicio de inspecciones técnicas realizadas</v>
      </c>
      <c r="Z402" s="161" t="str">
        <f>CONCATENATE(X402,"-",Y402)</f>
        <v>06-Servicio de inspecciones técnicas realizadas</v>
      </c>
      <c r="AA402" s="159" t="s">
        <v>223</v>
      </c>
      <c r="AB402" s="160" t="str">
        <f>IFERROR(VLOOKUP(AA402,TD!$N$51:$O$66,2,0)," ")</f>
        <v>Servicio prevención y control de incendios</v>
      </c>
      <c r="AC402" s="161" t="str">
        <f>CONCATENATE(AA402,"_",AB402)</f>
        <v>035_Servicio prevención y control de incendios</v>
      </c>
      <c r="AD402" s="161" t="str">
        <f>CONCATENATE(Z402," ",AC402)</f>
        <v>06-Servicio de inspecciones técnicas realizadas 035_Servicio prevención y control de incendios</v>
      </c>
      <c r="AE402" s="160" t="str">
        <f>CONCATENATE(U402,V402,W402,X402,AA402)</f>
        <v>O23011745032024025506035</v>
      </c>
      <c r="AF402" s="160" t="str">
        <f>IFERROR(VLOOKUP(AD402,TD!$J$66:$K$89,2,0)," ")</f>
        <v>PM/0131/0106/45030350255</v>
      </c>
      <c r="AG402" s="118" t="s">
        <v>385</v>
      </c>
      <c r="AH402" s="159" t="s">
        <v>193</v>
      </c>
      <c r="AI402" s="162" t="str">
        <f>CONCATENATE(PAA[[#This Row],[Id Interno]],"-",PAA[[#This Row],[tipo de Contrato (TH talento humano - B/S bienes y/o servicios)]],"-",S402,"-",T402,"-",PAA[[#This Row],[Objeto de la contratación]])</f>
        <v>20260362-TH-8173-1-Prestar  servicios de apoyo tecnico para realizar las inspecciones relacionadas con la emision de conceptos a cargo de la Subdirección de Gestión del Riesgo._SGR</v>
      </c>
    </row>
    <row r="403" spans="2:35" ht="42" x14ac:dyDescent="0.35">
      <c r="B403" s="23">
        <v>20260363</v>
      </c>
      <c r="C403" s="99" t="s">
        <v>556</v>
      </c>
      <c r="D403" s="23" t="s">
        <v>105</v>
      </c>
      <c r="E403" s="23" t="s">
        <v>363</v>
      </c>
      <c r="F403" s="156" t="s">
        <v>145</v>
      </c>
      <c r="G403" s="157" t="s">
        <v>373</v>
      </c>
      <c r="H403" s="158">
        <v>10</v>
      </c>
      <c r="I403" s="158">
        <v>0</v>
      </c>
      <c r="J403" s="127">
        <v>40000000</v>
      </c>
      <c r="K403" s="88" t="s">
        <v>398</v>
      </c>
      <c r="L403" s="156" t="s">
        <v>156</v>
      </c>
      <c r="M403" s="159" t="s">
        <v>513</v>
      </c>
      <c r="N403" s="23" t="s">
        <v>198</v>
      </c>
      <c r="O403" s="151" t="s">
        <v>964</v>
      </c>
      <c r="P403" s="156" t="s">
        <v>348</v>
      </c>
      <c r="Q403" s="53">
        <v>80111600</v>
      </c>
      <c r="R403" s="159" t="s">
        <v>210</v>
      </c>
      <c r="S403" s="159" t="str">
        <f>MID(PAA[[#This Row],[Meta Proyecto de Inversión]],1,4)</f>
        <v>8173</v>
      </c>
      <c r="T403" s="159" t="str">
        <f>MID(PAA[[#This Row],[Meta Proyecto de Inversión]],6,1)</f>
        <v>1</v>
      </c>
      <c r="U403" s="160" t="str">
        <f>IFERROR(VLOOKUP(N403,TD!$B$50:$F$54,2,0)," ")</f>
        <v>O230117</v>
      </c>
      <c r="V403" s="160" t="str">
        <f>IFERROR(VLOOKUP(N403,TD!$B$50:$F$54,3,0)," ")</f>
        <v>4503</v>
      </c>
      <c r="W403" s="160">
        <f>IFERROR(VLOOKUP(N403,TD!$B$50:$F$54,4,0)," ")</f>
        <v>20240255</v>
      </c>
      <c r="X403" s="159" t="s">
        <v>170</v>
      </c>
      <c r="Y403" s="160" t="str">
        <f>IFERROR(VLOOKUP(X403,TD!$J$51:$K$64,2,0)," ")</f>
        <v>Servicio de inspecciones técnicas realizadas</v>
      </c>
      <c r="Z403" s="161" t="str">
        <f>CONCATENATE(X403,"-",Y403)</f>
        <v>06-Servicio de inspecciones técnicas realizadas</v>
      </c>
      <c r="AA403" s="159" t="s">
        <v>223</v>
      </c>
      <c r="AB403" s="160" t="str">
        <f>IFERROR(VLOOKUP(AA403,TD!$N$51:$O$66,2,0)," ")</f>
        <v>Servicio prevención y control de incendios</v>
      </c>
      <c r="AC403" s="161" t="str">
        <f>CONCATENATE(AA403,"_",AB403)</f>
        <v>035_Servicio prevención y control de incendios</v>
      </c>
      <c r="AD403" s="161" t="str">
        <f>CONCATENATE(Z403," ",AC403)</f>
        <v>06-Servicio de inspecciones técnicas realizadas 035_Servicio prevención y control de incendios</v>
      </c>
      <c r="AE403" s="160" t="str">
        <f>CONCATENATE(U403,V403,W403,X403,AA403)</f>
        <v>O23011745032024025506035</v>
      </c>
      <c r="AF403" s="160" t="str">
        <f>IFERROR(VLOOKUP(AD403,TD!$J$66:$K$89,2,0)," ")</f>
        <v>PM/0131/0106/45030350255</v>
      </c>
      <c r="AG403" s="118" t="s">
        <v>385</v>
      </c>
      <c r="AH403" s="159" t="s">
        <v>193</v>
      </c>
      <c r="AI403" s="162" t="str">
        <f>CONCATENATE(PAA[[#This Row],[Id Interno]],"-",PAA[[#This Row],[tipo de Contrato (TH talento humano - B/S bienes y/o servicios)]],"-",S403,"-",T403,"-",PAA[[#This Row],[Objeto de la contratación]])</f>
        <v>20260363-TH-8173-1-Prestar  servicios de apoyo tecnico para realizar las inspecciones relacionadas con la emision de conceptos a cargo de la Subdirección de Gestión del Riesgo._SGR</v>
      </c>
    </row>
    <row r="404" spans="2:35" ht="70" x14ac:dyDescent="0.35">
      <c r="B404" s="23">
        <v>20260364</v>
      </c>
      <c r="C404" s="99" t="s">
        <v>556</v>
      </c>
      <c r="D404" s="23" t="s">
        <v>105</v>
      </c>
      <c r="E404" s="23" t="s">
        <v>363</v>
      </c>
      <c r="F404" s="156" t="s">
        <v>145</v>
      </c>
      <c r="G404" s="157" t="s">
        <v>373</v>
      </c>
      <c r="H404" s="158">
        <v>10</v>
      </c>
      <c r="I404" s="158">
        <v>0</v>
      </c>
      <c r="J404" s="127">
        <v>40000000</v>
      </c>
      <c r="K404" s="88" t="s">
        <v>398</v>
      </c>
      <c r="L404" s="156" t="s">
        <v>156</v>
      </c>
      <c r="M404" s="159" t="s">
        <v>513</v>
      </c>
      <c r="N404" s="23" t="s">
        <v>198</v>
      </c>
      <c r="O404" s="151" t="s">
        <v>964</v>
      </c>
      <c r="P404" s="156" t="s">
        <v>348</v>
      </c>
      <c r="Q404" s="53">
        <v>80111600</v>
      </c>
      <c r="R404" s="159" t="s">
        <v>210</v>
      </c>
      <c r="S404" s="159" t="str">
        <f>MID(PAA[[#This Row],[Meta Proyecto de Inversión]],1,4)</f>
        <v>8173</v>
      </c>
      <c r="T404" s="159" t="str">
        <f>MID(PAA[[#This Row],[Meta Proyecto de Inversión]],6,1)</f>
        <v>1</v>
      </c>
      <c r="U404" s="160" t="str">
        <f>IFERROR(VLOOKUP(N404,TD!$B$50:$F$54,2,0)," ")</f>
        <v>O230117</v>
      </c>
      <c r="V404" s="160" t="str">
        <f>IFERROR(VLOOKUP(N404,TD!$B$50:$F$54,3,0)," ")</f>
        <v>4503</v>
      </c>
      <c r="W404" s="160">
        <f>IFERROR(VLOOKUP(N404,TD!$B$50:$F$54,4,0)," ")</f>
        <v>20240255</v>
      </c>
      <c r="X404" s="159" t="s">
        <v>170</v>
      </c>
      <c r="Y404" s="160" t="str">
        <f>IFERROR(VLOOKUP(X404,TD!$J$51:$K$64,2,0)," ")</f>
        <v>Servicio de inspecciones técnicas realizadas</v>
      </c>
      <c r="Z404" s="161" t="str">
        <f>CONCATENATE(X404,"-",Y404)</f>
        <v>06-Servicio de inspecciones técnicas realizadas</v>
      </c>
      <c r="AA404" s="159" t="s">
        <v>223</v>
      </c>
      <c r="AB404" s="160" t="str">
        <f>IFERROR(VLOOKUP(AA404,TD!$N$51:$O$66,2,0)," ")</f>
        <v>Servicio prevención y control de incendios</v>
      </c>
      <c r="AC404" s="161" t="str">
        <f>CONCATENATE(AA404,"_",AB404)</f>
        <v>035_Servicio prevención y control de incendios</v>
      </c>
      <c r="AD404" s="161" t="str">
        <f>CONCATENATE(Z404," ",AC404)</f>
        <v>06-Servicio de inspecciones técnicas realizadas 035_Servicio prevención y control de incendios</v>
      </c>
      <c r="AE404" s="160" t="str">
        <f>CONCATENATE(U404,V404,W404,X404,AA404)</f>
        <v>O23011745032024025506035</v>
      </c>
      <c r="AF404" s="160" t="str">
        <f>IFERROR(VLOOKUP(AD404,TD!$J$66:$K$89,2,0)," ")</f>
        <v>PM/0131/0106/45030350255</v>
      </c>
      <c r="AG404" s="118" t="s">
        <v>385</v>
      </c>
      <c r="AH404" s="159" t="s">
        <v>193</v>
      </c>
      <c r="AI404" s="162" t="str">
        <f>CONCATENATE(PAA[[#This Row],[Id Interno]],"-",PAA[[#This Row],[tipo de Contrato (TH talento humano - B/S bienes y/o servicios)]],"-",S404,"-",T404,"-",PAA[[#This Row],[Objeto de la contratación]])</f>
        <v>20260364-TH-8173-1-Prestar  servicios de apoyo tecnico para realizar las inspecciones relacionadas con la emision de conceptos a cargo de la Subdirección de Gestión del Riesgo._SGR</v>
      </c>
    </row>
    <row r="405" spans="2:35" ht="42" x14ac:dyDescent="0.35">
      <c r="B405" s="23">
        <v>20260365</v>
      </c>
      <c r="C405" s="99" t="s">
        <v>551</v>
      </c>
      <c r="D405" s="23" t="s">
        <v>105</v>
      </c>
      <c r="E405" s="23" t="s">
        <v>363</v>
      </c>
      <c r="F405" s="156" t="s">
        <v>144</v>
      </c>
      <c r="G405" s="157" t="s">
        <v>373</v>
      </c>
      <c r="H405" s="158">
        <v>7</v>
      </c>
      <c r="I405" s="158">
        <v>0</v>
      </c>
      <c r="J405" s="127">
        <v>49000000</v>
      </c>
      <c r="K405" s="88" t="s">
        <v>398</v>
      </c>
      <c r="L405" s="156" t="s">
        <v>156</v>
      </c>
      <c r="M405" s="159" t="s">
        <v>513</v>
      </c>
      <c r="N405" s="23" t="s">
        <v>198</v>
      </c>
      <c r="O405" s="151" t="s">
        <v>964</v>
      </c>
      <c r="P405" s="156" t="s">
        <v>348</v>
      </c>
      <c r="Q405" s="53">
        <v>80111600</v>
      </c>
      <c r="R405" s="159" t="s">
        <v>210</v>
      </c>
      <c r="S405" s="159" t="str">
        <f>MID(PAA[[#This Row],[Meta Proyecto de Inversión]],1,4)</f>
        <v>8173</v>
      </c>
      <c r="T405" s="159" t="str">
        <f>MID(PAA[[#This Row],[Meta Proyecto de Inversión]],6,1)</f>
        <v>1</v>
      </c>
      <c r="U405" s="160" t="str">
        <f>IFERROR(VLOOKUP(N405,TD!$B$50:$F$54,2,0)," ")</f>
        <v>O230117</v>
      </c>
      <c r="V405" s="160" t="str">
        <f>IFERROR(VLOOKUP(N405,TD!$B$50:$F$54,3,0)," ")</f>
        <v>4503</v>
      </c>
      <c r="W405" s="160">
        <f>IFERROR(VLOOKUP(N405,TD!$B$50:$F$54,4,0)," ")</f>
        <v>20240255</v>
      </c>
      <c r="X405" s="159" t="s">
        <v>166</v>
      </c>
      <c r="Y405" s="160" t="str">
        <f>IFERROR(VLOOKUP(X405,TD!$J$51:$K$64,2,0)," ")</f>
        <v>Servicio de capacitaciones en gestión del riesgo de incendios  a la ciudadania.</v>
      </c>
      <c r="Z405" s="161" t="str">
        <f>CONCATENATE(X405,"-",Y405)</f>
        <v>05-Servicio de capacitaciones en gestión del riesgo de incendios  a la ciudadania.</v>
      </c>
      <c r="AA405" s="159" t="s">
        <v>223</v>
      </c>
      <c r="AB405" s="160" t="str">
        <f>IFERROR(VLOOKUP(AA405,TD!$N$51:$O$66,2,0)," ")</f>
        <v>Servicio prevención y control de incendios</v>
      </c>
      <c r="AC405" s="161" t="str">
        <f>CONCATENATE(AA405,"_",AB405)</f>
        <v>035_Servicio prevención y control de incendios</v>
      </c>
      <c r="AD405" s="161" t="str">
        <f>CONCATENATE(Z405," ",AC405)</f>
        <v>05-Servicio de capacitaciones en gestión del riesgo de incendios  a la ciudadania. 035_Servicio prevención y control de incendios</v>
      </c>
      <c r="AE405" s="160" t="str">
        <f>CONCATENATE(U405,V405,W405,X405,AA405)</f>
        <v>O23011745032024025505035</v>
      </c>
      <c r="AF405" s="160" t="str">
        <f>IFERROR(VLOOKUP(AD405,TD!$J$66:$K$89,2,0)," ")</f>
        <v>PM/0131/0105/45030350255</v>
      </c>
      <c r="AG405" s="118" t="s">
        <v>385</v>
      </c>
      <c r="AH405" s="159" t="s">
        <v>193</v>
      </c>
      <c r="AI405" s="162" t="str">
        <f>CONCATENATE(PAA[[#This Row],[Id Interno]],"-",PAA[[#This Row],[tipo de Contrato (TH talento humano - B/S bienes y/o servicios)]],"-",S405,"-",T405,"-",PAA[[#This Row],[Objeto de la contratación]])</f>
        <v>20260365-TH-8173-1-Prestar servicios profesionales para la gestión misional  mediante la estructuración y seguimiento de procesos contractuales y asuntos jurídicos de la Subdirección de Gestión del Riesgo_SGR</v>
      </c>
    </row>
    <row r="406" spans="2:35" ht="56" x14ac:dyDescent="0.35">
      <c r="B406" s="23">
        <v>20260366</v>
      </c>
      <c r="C406" s="99" t="s">
        <v>567</v>
      </c>
      <c r="D406" s="23" t="s">
        <v>105</v>
      </c>
      <c r="E406" s="23" t="s">
        <v>363</v>
      </c>
      <c r="F406" s="156" t="s">
        <v>144</v>
      </c>
      <c r="G406" s="157" t="s">
        <v>373</v>
      </c>
      <c r="H406" s="158">
        <v>10</v>
      </c>
      <c r="I406" s="158">
        <v>0</v>
      </c>
      <c r="J406" s="127">
        <v>55000000</v>
      </c>
      <c r="K406" s="88" t="s">
        <v>398</v>
      </c>
      <c r="L406" s="156" t="s">
        <v>156</v>
      </c>
      <c r="M406" s="159" t="s">
        <v>513</v>
      </c>
      <c r="N406" s="23" t="s">
        <v>198</v>
      </c>
      <c r="O406" s="151" t="s">
        <v>964</v>
      </c>
      <c r="P406" s="156" t="s">
        <v>348</v>
      </c>
      <c r="Q406" s="53">
        <v>80111600</v>
      </c>
      <c r="R406" s="159" t="s">
        <v>215</v>
      </c>
      <c r="S406" s="159" t="str">
        <f>MID(PAA[[#This Row],[Meta Proyecto de Inversión]],1,4)</f>
        <v>8173</v>
      </c>
      <c r="T406" s="159" t="str">
        <f>MID(PAA[[#This Row],[Meta Proyecto de Inversión]],6,1)</f>
        <v>6</v>
      </c>
      <c r="U406" s="160" t="str">
        <f>IFERROR(VLOOKUP(N406,TD!$B$50:$F$54,2,0)," ")</f>
        <v>O230117</v>
      </c>
      <c r="V406" s="160" t="str">
        <f>IFERROR(VLOOKUP(N406,TD!$B$50:$F$54,3,0)," ")</f>
        <v>4503</v>
      </c>
      <c r="W406" s="160">
        <f>IFERROR(VLOOKUP(N406,TD!$B$50:$F$54,4,0)," ")</f>
        <v>20240255</v>
      </c>
      <c r="X406" s="159">
        <v>16</v>
      </c>
      <c r="Y406" s="160" t="str">
        <f>IFERROR(VLOOKUP(X406,TD!$J$51:$K$64,2,0)," ")</f>
        <v>Servicio de monitoreo y seguimiento para la gestión del riesgo</v>
      </c>
      <c r="Z406" s="161" t="str">
        <f>CONCATENATE(X406,"-",Y406)</f>
        <v>16-Servicio de monitoreo y seguimiento para la gestión del riesgo</v>
      </c>
      <c r="AA406" s="159" t="s">
        <v>224</v>
      </c>
      <c r="AB406" s="160" t="str">
        <f>IFERROR(VLOOKUP(AA406,TD!$N$51:$O$66,2,0)," ")</f>
        <v>Servicio de monitoreo y seguimiento para la gestión del riesgo</v>
      </c>
      <c r="AC406" s="161" t="str">
        <f>CONCATENATE(AA406,"_",AB406)</f>
        <v>018_Servicio de monitoreo y seguimiento para la gestión del riesgo</v>
      </c>
      <c r="AD406" s="161" t="str">
        <f>CONCATENATE(Z406," ",AC406)</f>
        <v>16-Servicio de monitoreo y seguimiento para la gestión del riesgo 018_Servicio de monitoreo y seguimiento para la gestión del riesgo</v>
      </c>
      <c r="AE406" s="160" t="str">
        <f>CONCATENATE(U406,V406,W406,X406,AA406)</f>
        <v>O23011745032024025516018</v>
      </c>
      <c r="AF406" s="160" t="str">
        <f>IFERROR(VLOOKUP(AD406,TD!$J$66:$K$89,2,0)," ")</f>
        <v>PM/0131/0116/45030180255</v>
      </c>
      <c r="AG406" s="118" t="s">
        <v>385</v>
      </c>
      <c r="AH406" s="159" t="s">
        <v>193</v>
      </c>
      <c r="AI406" s="162" t="str">
        <f>CONCATENATE(PAA[[#This Row],[Id Interno]],"-",PAA[[#This Row],[tipo de Contrato (TH talento humano - B/S bienes y/o servicios)]],"-",S406,"-",T406,"-",PAA[[#This Row],[Objeto de la contratación]])</f>
        <v>20260366-TH-8173-6-Prestar servicios profesionales en las actividades de monitoreo del riesgo para la Subdirección de Gestión del Riesgo._SGR</v>
      </c>
    </row>
    <row r="407" spans="2:35" ht="56" x14ac:dyDescent="0.35">
      <c r="B407" s="23">
        <v>20260367</v>
      </c>
      <c r="C407" s="99" t="s">
        <v>558</v>
      </c>
      <c r="D407" s="23" t="s">
        <v>105</v>
      </c>
      <c r="E407" s="23" t="s">
        <v>363</v>
      </c>
      <c r="F407" s="156" t="s">
        <v>144</v>
      </c>
      <c r="G407" s="157" t="s">
        <v>373</v>
      </c>
      <c r="H407" s="158">
        <v>10</v>
      </c>
      <c r="I407" s="158">
        <v>0</v>
      </c>
      <c r="J407" s="127">
        <v>80000000</v>
      </c>
      <c r="K407" s="88" t="s">
        <v>398</v>
      </c>
      <c r="L407" s="156" t="s">
        <v>156</v>
      </c>
      <c r="M407" s="159" t="s">
        <v>513</v>
      </c>
      <c r="N407" s="23" t="s">
        <v>198</v>
      </c>
      <c r="O407" s="151" t="s">
        <v>964</v>
      </c>
      <c r="P407" s="156" t="s">
        <v>348</v>
      </c>
      <c r="Q407" s="53">
        <v>80111600</v>
      </c>
      <c r="R407" s="159" t="s">
        <v>210</v>
      </c>
      <c r="S407" s="159" t="str">
        <f>MID(PAA[[#This Row],[Meta Proyecto de Inversión]],1,4)</f>
        <v>8173</v>
      </c>
      <c r="T407" s="159" t="str">
        <f>MID(PAA[[#This Row],[Meta Proyecto de Inversión]],6,1)</f>
        <v>1</v>
      </c>
      <c r="U407" s="160" t="str">
        <f>IFERROR(VLOOKUP(N407,TD!$B$50:$F$54,2,0)," ")</f>
        <v>O230117</v>
      </c>
      <c r="V407" s="160" t="str">
        <f>IFERROR(VLOOKUP(N407,TD!$B$50:$F$54,3,0)," ")</f>
        <v>4503</v>
      </c>
      <c r="W407" s="160">
        <f>IFERROR(VLOOKUP(N407,TD!$B$50:$F$54,4,0)," ")</f>
        <v>20240255</v>
      </c>
      <c r="X407" s="159" t="s">
        <v>166</v>
      </c>
      <c r="Y407" s="160" t="str">
        <f>IFERROR(VLOOKUP(X407,TD!$J$51:$K$64,2,0)," ")</f>
        <v>Servicio de capacitaciones en gestión del riesgo de incendios  a la ciudadania.</v>
      </c>
      <c r="Z407" s="161" t="str">
        <f>CONCATENATE(X407,"-",Y407)</f>
        <v>05-Servicio de capacitaciones en gestión del riesgo de incendios  a la ciudadania.</v>
      </c>
      <c r="AA407" s="159" t="s">
        <v>223</v>
      </c>
      <c r="AB407" s="160" t="str">
        <f>IFERROR(VLOOKUP(AA407,TD!$N$51:$O$66,2,0)," ")</f>
        <v>Servicio prevención y control de incendios</v>
      </c>
      <c r="AC407" s="161" t="str">
        <f>CONCATENATE(AA407,"_",AB407)</f>
        <v>035_Servicio prevención y control de incendios</v>
      </c>
      <c r="AD407" s="161" t="str">
        <f>CONCATENATE(Z407," ",AC407)</f>
        <v>05-Servicio de capacitaciones en gestión del riesgo de incendios  a la ciudadania. 035_Servicio prevención y control de incendios</v>
      </c>
      <c r="AE407" s="160" t="str">
        <f>CONCATENATE(U407,V407,W407,X407,AA407)</f>
        <v>O23011745032024025505035</v>
      </c>
      <c r="AF407" s="160" t="str">
        <f>IFERROR(VLOOKUP(AD407,TD!$J$66:$K$89,2,0)," ")</f>
        <v>PM/0131/0105/45030350255</v>
      </c>
      <c r="AG407" s="118" t="s">
        <v>385</v>
      </c>
      <c r="AH407" s="159" t="s">
        <v>193</v>
      </c>
      <c r="AI407" s="162" t="str">
        <f>CONCATENATE(PAA[[#This Row],[Id Interno]],"-",PAA[[#This Row],[tipo de Contrato (TH talento humano - B/S bienes y/o servicios)]],"-",S407,"-",T407,"-",PAA[[#This Row],[Objeto de la contratación]])</f>
        <v>20260367-TH-8173-1-Prestar servicios profesionales liderando las actividades de Programas y Campañas de Prevención para la Subdirección de Gestión del Riesgo._SGR</v>
      </c>
    </row>
    <row r="408" spans="2:35" ht="56" x14ac:dyDescent="0.35">
      <c r="B408" s="23">
        <v>20260368</v>
      </c>
      <c r="C408" s="99" t="s">
        <v>559</v>
      </c>
      <c r="D408" s="23" t="s">
        <v>105</v>
      </c>
      <c r="E408" s="23" t="s">
        <v>363</v>
      </c>
      <c r="F408" s="156" t="s">
        <v>144</v>
      </c>
      <c r="G408" s="157" t="s">
        <v>373</v>
      </c>
      <c r="H408" s="158">
        <v>10</v>
      </c>
      <c r="I408" s="158">
        <v>0</v>
      </c>
      <c r="J408" s="127">
        <v>60000000</v>
      </c>
      <c r="K408" s="88" t="s">
        <v>398</v>
      </c>
      <c r="L408" s="156" t="s">
        <v>156</v>
      </c>
      <c r="M408" s="159" t="s">
        <v>513</v>
      </c>
      <c r="N408" s="23" t="s">
        <v>198</v>
      </c>
      <c r="O408" s="151" t="s">
        <v>964</v>
      </c>
      <c r="P408" s="156" t="s">
        <v>348</v>
      </c>
      <c r="Q408" s="53">
        <v>80111600</v>
      </c>
      <c r="R408" s="159" t="s">
        <v>210</v>
      </c>
      <c r="S408" s="159" t="str">
        <f>MID(PAA[[#This Row],[Meta Proyecto de Inversión]],1,4)</f>
        <v>8173</v>
      </c>
      <c r="T408" s="159" t="str">
        <f>MID(PAA[[#This Row],[Meta Proyecto de Inversión]],6,1)</f>
        <v>1</v>
      </c>
      <c r="U408" s="160" t="str">
        <f>IFERROR(VLOOKUP(N408,TD!$B$50:$F$54,2,0)," ")</f>
        <v>O230117</v>
      </c>
      <c r="V408" s="160" t="str">
        <f>IFERROR(VLOOKUP(N408,TD!$B$50:$F$54,3,0)," ")</f>
        <v>4503</v>
      </c>
      <c r="W408" s="160">
        <f>IFERROR(VLOOKUP(N408,TD!$B$50:$F$54,4,0)," ")</f>
        <v>20240255</v>
      </c>
      <c r="X408" s="159" t="s">
        <v>166</v>
      </c>
      <c r="Y408" s="160" t="str">
        <f>IFERROR(VLOOKUP(X408,TD!$J$51:$K$64,2,0)," ")</f>
        <v>Servicio de capacitaciones en gestión del riesgo de incendios  a la ciudadania.</v>
      </c>
      <c r="Z408" s="161" t="str">
        <f>CONCATENATE(X408,"-",Y408)</f>
        <v>05-Servicio de capacitaciones en gestión del riesgo de incendios  a la ciudadania.</v>
      </c>
      <c r="AA408" s="159" t="s">
        <v>223</v>
      </c>
      <c r="AB408" s="160" t="str">
        <f>IFERROR(VLOOKUP(AA408,TD!$N$51:$O$66,2,0)," ")</f>
        <v>Servicio prevención y control de incendios</v>
      </c>
      <c r="AC408" s="161" t="str">
        <f>CONCATENATE(AA408,"_",AB408)</f>
        <v>035_Servicio prevención y control de incendios</v>
      </c>
      <c r="AD408" s="161" t="str">
        <f>CONCATENATE(Z408," ",AC408)</f>
        <v>05-Servicio de capacitaciones en gestión del riesgo de incendios  a la ciudadania. 035_Servicio prevención y control de incendios</v>
      </c>
      <c r="AE408" s="160" t="str">
        <f>CONCATENATE(U408,V408,W408,X408,AA408)</f>
        <v>O23011745032024025505035</v>
      </c>
      <c r="AF408" s="160" t="str">
        <f>IFERROR(VLOOKUP(AD408,TD!$J$66:$K$89,2,0)," ")</f>
        <v>PM/0131/0105/45030350255</v>
      </c>
      <c r="AG408" s="118" t="s">
        <v>385</v>
      </c>
      <c r="AH408" s="159" t="s">
        <v>193</v>
      </c>
      <c r="AI408" s="162" t="str">
        <f>CONCATENATE(PAA[[#This Row],[Id Interno]],"-",PAA[[#This Row],[tipo de Contrato (TH talento humano - B/S bienes y/o servicios)]],"-",S408,"-",T408,"-",PAA[[#This Row],[Objeto de la contratación]])</f>
        <v>20260368-TH-8173-1-Prestar servicios profesionales en las actividades de Programas y Campañas de Prevención para la Subdirección de Gestión del Riesgo._SGR</v>
      </c>
    </row>
    <row r="409" spans="2:35" ht="56" x14ac:dyDescent="0.35">
      <c r="B409" s="23">
        <v>20260369</v>
      </c>
      <c r="C409" s="99" t="s">
        <v>559</v>
      </c>
      <c r="D409" s="23" t="s">
        <v>105</v>
      </c>
      <c r="E409" s="23" t="s">
        <v>363</v>
      </c>
      <c r="F409" s="156" t="s">
        <v>144</v>
      </c>
      <c r="G409" s="157" t="s">
        <v>373</v>
      </c>
      <c r="H409" s="158">
        <v>10</v>
      </c>
      <c r="I409" s="158">
        <v>0</v>
      </c>
      <c r="J409" s="127">
        <v>60000000</v>
      </c>
      <c r="K409" s="88" t="s">
        <v>398</v>
      </c>
      <c r="L409" s="156" t="s">
        <v>156</v>
      </c>
      <c r="M409" s="159" t="s">
        <v>513</v>
      </c>
      <c r="N409" s="23" t="s">
        <v>198</v>
      </c>
      <c r="O409" s="151" t="s">
        <v>964</v>
      </c>
      <c r="P409" s="156" t="s">
        <v>348</v>
      </c>
      <c r="Q409" s="53">
        <v>80111600</v>
      </c>
      <c r="R409" s="159" t="s">
        <v>210</v>
      </c>
      <c r="S409" s="159" t="str">
        <f>MID(PAA[[#This Row],[Meta Proyecto de Inversión]],1,4)</f>
        <v>8173</v>
      </c>
      <c r="T409" s="159" t="str">
        <f>MID(PAA[[#This Row],[Meta Proyecto de Inversión]],6,1)</f>
        <v>1</v>
      </c>
      <c r="U409" s="160" t="str">
        <f>IFERROR(VLOOKUP(N409,TD!$B$50:$F$54,2,0)," ")</f>
        <v>O230117</v>
      </c>
      <c r="V409" s="160" t="str">
        <f>IFERROR(VLOOKUP(N409,TD!$B$50:$F$54,3,0)," ")</f>
        <v>4503</v>
      </c>
      <c r="W409" s="160">
        <f>IFERROR(VLOOKUP(N409,TD!$B$50:$F$54,4,0)," ")</f>
        <v>20240255</v>
      </c>
      <c r="X409" s="159" t="s">
        <v>166</v>
      </c>
      <c r="Y409" s="160" t="str">
        <f>IFERROR(VLOOKUP(X409,TD!$J$51:$K$64,2,0)," ")</f>
        <v>Servicio de capacitaciones en gestión del riesgo de incendios  a la ciudadania.</v>
      </c>
      <c r="Z409" s="161" t="str">
        <f>CONCATENATE(X409,"-",Y409)</f>
        <v>05-Servicio de capacitaciones en gestión del riesgo de incendios  a la ciudadania.</v>
      </c>
      <c r="AA409" s="159" t="s">
        <v>223</v>
      </c>
      <c r="AB409" s="160" t="str">
        <f>IFERROR(VLOOKUP(AA409,TD!$N$51:$O$66,2,0)," ")</f>
        <v>Servicio prevención y control de incendios</v>
      </c>
      <c r="AC409" s="161" t="str">
        <f>CONCATENATE(AA409,"_",AB409)</f>
        <v>035_Servicio prevención y control de incendios</v>
      </c>
      <c r="AD409" s="161" t="str">
        <f>CONCATENATE(Z409," ",AC409)</f>
        <v>05-Servicio de capacitaciones en gestión del riesgo de incendios  a la ciudadania. 035_Servicio prevención y control de incendios</v>
      </c>
      <c r="AE409" s="160" t="str">
        <f>CONCATENATE(U409,V409,W409,X409,AA409)</f>
        <v>O23011745032024025505035</v>
      </c>
      <c r="AF409" s="160" t="str">
        <f>IFERROR(VLOOKUP(AD409,TD!$J$66:$K$89,2,0)," ")</f>
        <v>PM/0131/0105/45030350255</v>
      </c>
      <c r="AG409" s="118" t="s">
        <v>385</v>
      </c>
      <c r="AH409" s="159" t="s">
        <v>193</v>
      </c>
      <c r="AI409" s="162" t="str">
        <f>CONCATENATE(PAA[[#This Row],[Id Interno]],"-",PAA[[#This Row],[tipo de Contrato (TH talento humano - B/S bienes y/o servicios)]],"-",S409,"-",T409,"-",PAA[[#This Row],[Objeto de la contratación]])</f>
        <v>20260369-TH-8173-1-Prestar servicios profesionales en las actividades de Programas y Campañas de Prevención para la Subdirección de Gestión del Riesgo._SGR</v>
      </c>
    </row>
    <row r="410" spans="2:35" ht="56" x14ac:dyDescent="0.35">
      <c r="B410" s="23">
        <v>20260370</v>
      </c>
      <c r="C410" s="99" t="s">
        <v>560</v>
      </c>
      <c r="D410" s="23" t="s">
        <v>105</v>
      </c>
      <c r="E410" s="23" t="s">
        <v>363</v>
      </c>
      <c r="F410" s="156" t="s">
        <v>144</v>
      </c>
      <c r="G410" s="157" t="s">
        <v>373</v>
      </c>
      <c r="H410" s="158">
        <v>10</v>
      </c>
      <c r="I410" s="158">
        <v>0</v>
      </c>
      <c r="J410" s="127">
        <v>40000000</v>
      </c>
      <c r="K410" s="88" t="s">
        <v>398</v>
      </c>
      <c r="L410" s="156" t="s">
        <v>156</v>
      </c>
      <c r="M410" s="159" t="s">
        <v>513</v>
      </c>
      <c r="N410" s="23" t="s">
        <v>198</v>
      </c>
      <c r="O410" s="151" t="s">
        <v>964</v>
      </c>
      <c r="P410" s="157" t="s">
        <v>348</v>
      </c>
      <c r="Q410" s="53">
        <v>80111600</v>
      </c>
      <c r="R410" s="159" t="s">
        <v>210</v>
      </c>
      <c r="S410" s="159" t="str">
        <f>MID(PAA[[#This Row],[Meta Proyecto de Inversión]],1,4)</f>
        <v>8173</v>
      </c>
      <c r="T410" s="159" t="str">
        <f>MID(PAA[[#This Row],[Meta Proyecto de Inversión]],6,1)</f>
        <v>1</v>
      </c>
      <c r="U410" s="160" t="str">
        <f>IFERROR(VLOOKUP(N410,TD!$B$50:$F$54,2,0)," ")</f>
        <v>O230117</v>
      </c>
      <c r="V410" s="160" t="str">
        <f>IFERROR(VLOOKUP(N410,TD!$B$50:$F$54,3,0)," ")</f>
        <v>4503</v>
      </c>
      <c r="W410" s="160">
        <f>IFERROR(VLOOKUP(N410,TD!$B$50:$F$54,4,0)," ")</f>
        <v>20240255</v>
      </c>
      <c r="X410" s="159" t="s">
        <v>166</v>
      </c>
      <c r="Y410" s="160" t="str">
        <f>IFERROR(VLOOKUP(X410,TD!$J$51:$K$64,2,0)," ")</f>
        <v>Servicio de capacitaciones en gestión del riesgo de incendios  a la ciudadania.</v>
      </c>
      <c r="Z410" s="161" t="str">
        <f>CONCATENATE(X410,"-",Y410)</f>
        <v>05-Servicio de capacitaciones en gestión del riesgo de incendios  a la ciudadania.</v>
      </c>
      <c r="AA410" s="159" t="s">
        <v>223</v>
      </c>
      <c r="AB410" s="160" t="str">
        <f>IFERROR(VLOOKUP(AA410,TD!$N$51:$O$66,2,0)," ")</f>
        <v>Servicio prevención y control de incendios</v>
      </c>
      <c r="AC410" s="161" t="str">
        <f>CONCATENATE(AA410,"_",AB410)</f>
        <v>035_Servicio prevención y control de incendios</v>
      </c>
      <c r="AD410" s="161" t="str">
        <f>CONCATENATE(Z410," ",AC410)</f>
        <v>05-Servicio de capacitaciones en gestión del riesgo de incendios  a la ciudadania. 035_Servicio prevención y control de incendios</v>
      </c>
      <c r="AE410" s="160" t="str">
        <f>CONCATENATE(U410,V410,W410,X410,AA410)</f>
        <v>O23011745032024025505035</v>
      </c>
      <c r="AF410" s="160" t="str">
        <f>IFERROR(VLOOKUP(AD410,TD!$J$66:$K$89,2,0)," ")</f>
        <v>PM/0131/0105/45030350255</v>
      </c>
      <c r="AG410" s="118" t="s">
        <v>385</v>
      </c>
      <c r="AH410" s="159" t="s">
        <v>193</v>
      </c>
      <c r="AI410" s="162" t="str">
        <f>CONCATENATE(PAA[[#This Row],[Id Interno]],"-",PAA[[#This Row],[tipo de Contrato (TH talento humano - B/S bienes y/o servicios)]],"-",S410,"-",T410,"-",PAA[[#This Row],[Objeto de la contratación]])</f>
        <v>20260370-TH-8173-1-Prestar servicios de apoyo en las actividades de Programas y Campañas de Prevención para la Subdirección de Gestión del Riesgo. _SGR</v>
      </c>
    </row>
    <row r="411" spans="2:35" ht="56" x14ac:dyDescent="0.35">
      <c r="B411" s="23">
        <v>20260371</v>
      </c>
      <c r="C411" s="99" t="s">
        <v>560</v>
      </c>
      <c r="D411" s="23" t="s">
        <v>105</v>
      </c>
      <c r="E411" s="23" t="s">
        <v>363</v>
      </c>
      <c r="F411" s="156" t="s">
        <v>144</v>
      </c>
      <c r="G411" s="157" t="s">
        <v>373</v>
      </c>
      <c r="H411" s="158">
        <v>10</v>
      </c>
      <c r="I411" s="158">
        <v>0</v>
      </c>
      <c r="J411" s="127">
        <v>37500000</v>
      </c>
      <c r="K411" s="88" t="s">
        <v>398</v>
      </c>
      <c r="L411" s="156" t="s">
        <v>156</v>
      </c>
      <c r="M411" s="159" t="s">
        <v>513</v>
      </c>
      <c r="N411" s="23" t="s">
        <v>198</v>
      </c>
      <c r="O411" s="151" t="s">
        <v>964</v>
      </c>
      <c r="P411" s="156" t="s">
        <v>348</v>
      </c>
      <c r="Q411" s="53">
        <v>80111600</v>
      </c>
      <c r="R411" s="159" t="s">
        <v>210</v>
      </c>
      <c r="S411" s="159" t="str">
        <f>MID(PAA[[#This Row],[Meta Proyecto de Inversión]],1,4)</f>
        <v>8173</v>
      </c>
      <c r="T411" s="159" t="str">
        <f>MID(PAA[[#This Row],[Meta Proyecto de Inversión]],6,1)</f>
        <v>1</v>
      </c>
      <c r="U411" s="160" t="str">
        <f>IFERROR(VLOOKUP(N411,TD!$B$50:$F$54,2,0)," ")</f>
        <v>O230117</v>
      </c>
      <c r="V411" s="160" t="str">
        <f>IFERROR(VLOOKUP(N411,TD!$B$50:$F$54,3,0)," ")</f>
        <v>4503</v>
      </c>
      <c r="W411" s="160">
        <f>IFERROR(VLOOKUP(N411,TD!$B$50:$F$54,4,0)," ")</f>
        <v>20240255</v>
      </c>
      <c r="X411" s="159" t="s">
        <v>166</v>
      </c>
      <c r="Y411" s="160" t="str">
        <f>IFERROR(VLOOKUP(X411,TD!$J$51:$K$64,2,0)," ")</f>
        <v>Servicio de capacitaciones en gestión del riesgo de incendios  a la ciudadania.</v>
      </c>
      <c r="Z411" s="161" t="str">
        <f>CONCATENATE(X411,"-",Y411)</f>
        <v>05-Servicio de capacitaciones en gestión del riesgo de incendios  a la ciudadania.</v>
      </c>
      <c r="AA411" s="159" t="s">
        <v>223</v>
      </c>
      <c r="AB411" s="160" t="str">
        <f>IFERROR(VLOOKUP(AA411,TD!$N$51:$O$66,2,0)," ")</f>
        <v>Servicio prevención y control de incendios</v>
      </c>
      <c r="AC411" s="161" t="str">
        <f>CONCATENATE(AA411,"_",AB411)</f>
        <v>035_Servicio prevención y control de incendios</v>
      </c>
      <c r="AD411" s="161" t="str">
        <f>CONCATENATE(Z411," ",AC411)</f>
        <v>05-Servicio de capacitaciones en gestión del riesgo de incendios  a la ciudadania. 035_Servicio prevención y control de incendios</v>
      </c>
      <c r="AE411" s="160" t="str">
        <f>CONCATENATE(U411,V411,W411,X411,AA411)</f>
        <v>O23011745032024025505035</v>
      </c>
      <c r="AF411" s="160" t="str">
        <f>IFERROR(VLOOKUP(AD411,TD!$J$66:$K$89,2,0)," ")</f>
        <v>PM/0131/0105/45030350255</v>
      </c>
      <c r="AG411" s="118" t="s">
        <v>385</v>
      </c>
      <c r="AH411" s="159" t="s">
        <v>193</v>
      </c>
      <c r="AI411" s="162" t="str">
        <f>CONCATENATE(PAA[[#This Row],[Id Interno]],"-",PAA[[#This Row],[tipo de Contrato (TH talento humano - B/S bienes y/o servicios)]],"-",S411,"-",T411,"-",PAA[[#This Row],[Objeto de la contratación]])</f>
        <v>20260371-TH-8173-1-Prestar servicios de apoyo en las actividades de Programas y Campañas de Prevención para la Subdirección de Gestión del Riesgo. _SGR</v>
      </c>
    </row>
    <row r="412" spans="2:35" ht="56" x14ac:dyDescent="0.35">
      <c r="B412" s="23">
        <v>20260372</v>
      </c>
      <c r="C412" s="99" t="s">
        <v>561</v>
      </c>
      <c r="D412" s="23" t="s">
        <v>105</v>
      </c>
      <c r="E412" s="23" t="s">
        <v>363</v>
      </c>
      <c r="F412" s="156" t="s">
        <v>144</v>
      </c>
      <c r="G412" s="157" t="s">
        <v>373</v>
      </c>
      <c r="H412" s="158">
        <v>10</v>
      </c>
      <c r="I412" s="158">
        <v>0</v>
      </c>
      <c r="J412" s="127">
        <v>38000000</v>
      </c>
      <c r="K412" s="88" t="s">
        <v>398</v>
      </c>
      <c r="L412" s="156" t="s">
        <v>156</v>
      </c>
      <c r="M412" s="159" t="s">
        <v>513</v>
      </c>
      <c r="N412" s="23" t="s">
        <v>198</v>
      </c>
      <c r="O412" s="151" t="s">
        <v>964</v>
      </c>
      <c r="P412" s="156" t="s">
        <v>348</v>
      </c>
      <c r="Q412" s="53">
        <v>80111600</v>
      </c>
      <c r="R412" s="159" t="s">
        <v>210</v>
      </c>
      <c r="S412" s="159" t="str">
        <f>MID(PAA[[#This Row],[Meta Proyecto de Inversión]],1,4)</f>
        <v>8173</v>
      </c>
      <c r="T412" s="159" t="str">
        <f>MID(PAA[[#This Row],[Meta Proyecto de Inversión]],6,1)</f>
        <v>1</v>
      </c>
      <c r="U412" s="160" t="str">
        <f>IFERROR(VLOOKUP(N412,TD!$B$50:$F$54,2,0)," ")</f>
        <v>O230117</v>
      </c>
      <c r="V412" s="160" t="str">
        <f>IFERROR(VLOOKUP(N412,TD!$B$50:$F$54,3,0)," ")</f>
        <v>4503</v>
      </c>
      <c r="W412" s="160">
        <f>IFERROR(VLOOKUP(N412,TD!$B$50:$F$54,4,0)," ")</f>
        <v>20240255</v>
      </c>
      <c r="X412" s="159" t="s">
        <v>166</v>
      </c>
      <c r="Y412" s="160" t="str">
        <f>IFERROR(VLOOKUP(X412,TD!$J$51:$K$64,2,0)," ")</f>
        <v>Servicio de capacitaciones en gestión del riesgo de incendios  a la ciudadania.</v>
      </c>
      <c r="Z412" s="161" t="str">
        <f>CONCATENATE(X412,"-",Y412)</f>
        <v>05-Servicio de capacitaciones en gestión del riesgo de incendios  a la ciudadania.</v>
      </c>
      <c r="AA412" s="159" t="s">
        <v>223</v>
      </c>
      <c r="AB412" s="160" t="str">
        <f>IFERROR(VLOOKUP(AA412,TD!$N$51:$O$66,2,0)," ")</f>
        <v>Servicio prevención y control de incendios</v>
      </c>
      <c r="AC412" s="161" t="str">
        <f>CONCATENATE(AA412,"_",AB412)</f>
        <v>035_Servicio prevención y control de incendios</v>
      </c>
      <c r="AD412" s="161" t="str">
        <f>CONCATENATE(Z412," ",AC412)</f>
        <v>05-Servicio de capacitaciones en gestión del riesgo de incendios  a la ciudadania. 035_Servicio prevención y control de incendios</v>
      </c>
      <c r="AE412" s="160" t="str">
        <f>CONCATENATE(U412,V412,W412,X412,AA412)</f>
        <v>O23011745032024025505035</v>
      </c>
      <c r="AF412" s="160" t="str">
        <f>IFERROR(VLOOKUP(AD412,TD!$J$66:$K$89,2,0)," ")</f>
        <v>PM/0131/0105/45030350255</v>
      </c>
      <c r="AG412" s="118" t="s">
        <v>385</v>
      </c>
      <c r="AH412" s="159" t="s">
        <v>193</v>
      </c>
      <c r="AI412" s="162" t="str">
        <f>CONCATENATE(PAA[[#This Row],[Id Interno]],"-",PAA[[#This Row],[tipo de Contrato (TH talento humano - B/S bienes y/o servicios)]],"-",S412,"-",T412,"-",PAA[[#This Row],[Objeto de la contratación]])</f>
        <v>20260372-TH-8173-1-Prestar servicios apoyo técnico para el desarrollo de los contenidos graficos, piezas comunicativa y de imagen institucional para la Subdirección de Gestión del riesgo._SGR</v>
      </c>
    </row>
    <row r="413" spans="2:35" ht="56" x14ac:dyDescent="0.35">
      <c r="B413" s="23">
        <v>20260373</v>
      </c>
      <c r="C413" s="99" t="s">
        <v>562</v>
      </c>
      <c r="D413" s="23" t="s">
        <v>105</v>
      </c>
      <c r="E413" s="23" t="s">
        <v>363</v>
      </c>
      <c r="F413" s="156" t="s">
        <v>144</v>
      </c>
      <c r="G413" s="157" t="s">
        <v>373</v>
      </c>
      <c r="H413" s="158">
        <v>8</v>
      </c>
      <c r="I413" s="158">
        <v>0</v>
      </c>
      <c r="J413" s="127">
        <v>64000000</v>
      </c>
      <c r="K413" s="88" t="s">
        <v>398</v>
      </c>
      <c r="L413" s="156" t="s">
        <v>156</v>
      </c>
      <c r="M413" s="159" t="s">
        <v>513</v>
      </c>
      <c r="N413" s="23" t="s">
        <v>198</v>
      </c>
      <c r="O413" s="151" t="s">
        <v>964</v>
      </c>
      <c r="P413" s="156" t="s">
        <v>348</v>
      </c>
      <c r="Q413" s="100">
        <v>80111600</v>
      </c>
      <c r="R413" s="159" t="s">
        <v>210</v>
      </c>
      <c r="S413" s="159" t="str">
        <f>MID(PAA[[#This Row],[Meta Proyecto de Inversión]],1,4)</f>
        <v>8173</v>
      </c>
      <c r="T413" s="159" t="str">
        <f>MID(PAA[[#This Row],[Meta Proyecto de Inversión]],6,1)</f>
        <v>1</v>
      </c>
      <c r="U413" s="160" t="str">
        <f>IFERROR(VLOOKUP(N413,TD!$B$50:$F$54,2,0)," ")</f>
        <v>O230117</v>
      </c>
      <c r="V413" s="160" t="str">
        <f>IFERROR(VLOOKUP(N413,TD!$B$50:$F$54,3,0)," ")</f>
        <v>4503</v>
      </c>
      <c r="W413" s="160">
        <f>IFERROR(VLOOKUP(N413,TD!$B$50:$F$54,4,0)," ")</f>
        <v>20240255</v>
      </c>
      <c r="X413" s="159" t="s">
        <v>166</v>
      </c>
      <c r="Y413" s="160" t="str">
        <f>IFERROR(VLOOKUP(X413,TD!$J$51:$K$64,2,0)," ")</f>
        <v>Servicio de capacitaciones en gestión del riesgo de incendios  a la ciudadania.</v>
      </c>
      <c r="Z413" s="161" t="str">
        <f>CONCATENATE(X413,"-",Y413)</f>
        <v>05-Servicio de capacitaciones en gestión del riesgo de incendios  a la ciudadania.</v>
      </c>
      <c r="AA413" s="159" t="s">
        <v>223</v>
      </c>
      <c r="AB413" s="160" t="str">
        <f>IFERROR(VLOOKUP(AA413,TD!$N$51:$O$66,2,0)," ")</f>
        <v>Servicio prevención y control de incendios</v>
      </c>
      <c r="AC413" s="161" t="str">
        <f>CONCATENATE(AA413,"_",AB413)</f>
        <v>035_Servicio prevención y control de incendios</v>
      </c>
      <c r="AD413" s="161" t="str">
        <f>CONCATENATE(Z413," ",AC413)</f>
        <v>05-Servicio de capacitaciones en gestión del riesgo de incendios  a la ciudadania. 035_Servicio prevención y control de incendios</v>
      </c>
      <c r="AE413" s="160" t="str">
        <f>CONCATENATE(U413,V413,W413,X413,AA413)</f>
        <v>O23011745032024025505035</v>
      </c>
      <c r="AF413" s="160" t="str">
        <f>IFERROR(VLOOKUP(AD413,TD!$J$66:$K$89,2,0)," ")</f>
        <v>PM/0131/0105/45030350255</v>
      </c>
      <c r="AG413" s="118" t="s">
        <v>385</v>
      </c>
      <c r="AH413" s="159" t="s">
        <v>193</v>
      </c>
      <c r="AI413" s="162" t="str">
        <f>CONCATENATE(PAA[[#This Row],[Id Interno]],"-",PAA[[#This Row],[tipo de Contrato (TH talento humano - B/S bienes y/o servicios)]],"-",S413,"-",T413,"-",PAA[[#This Row],[Objeto de la contratación]])</f>
        <v>20260373-TH-8173-1-Prestar servicios profesionales  liderando los procesos de formacion y capacitacion de la subdirección de gestión del riesgo._SGR</v>
      </c>
    </row>
    <row r="414" spans="2:35" ht="56" x14ac:dyDescent="0.35">
      <c r="B414" s="23">
        <v>20260374</v>
      </c>
      <c r="C414" s="99" t="s">
        <v>563</v>
      </c>
      <c r="D414" s="23" t="s">
        <v>105</v>
      </c>
      <c r="E414" s="23" t="s">
        <v>363</v>
      </c>
      <c r="F414" s="156" t="s">
        <v>144</v>
      </c>
      <c r="G414" s="157" t="s">
        <v>373</v>
      </c>
      <c r="H414" s="158">
        <v>10</v>
      </c>
      <c r="I414" s="158">
        <v>0</v>
      </c>
      <c r="J414" s="127">
        <v>70000000</v>
      </c>
      <c r="K414" s="88" t="s">
        <v>398</v>
      </c>
      <c r="L414" s="156" t="s">
        <v>156</v>
      </c>
      <c r="M414" s="159" t="s">
        <v>513</v>
      </c>
      <c r="N414" s="23" t="s">
        <v>198</v>
      </c>
      <c r="O414" s="151" t="s">
        <v>964</v>
      </c>
      <c r="P414" s="156" t="s">
        <v>348</v>
      </c>
      <c r="Q414" s="100">
        <v>80111600</v>
      </c>
      <c r="R414" s="159" t="s">
        <v>210</v>
      </c>
      <c r="S414" s="159" t="str">
        <f>MID(PAA[[#This Row],[Meta Proyecto de Inversión]],1,4)</f>
        <v>8173</v>
      </c>
      <c r="T414" s="159" t="str">
        <f>MID(PAA[[#This Row],[Meta Proyecto de Inversión]],6,1)</f>
        <v>1</v>
      </c>
      <c r="U414" s="160" t="str">
        <f>IFERROR(VLOOKUP(N414,TD!$B$50:$F$54,2,0)," ")</f>
        <v>O230117</v>
      </c>
      <c r="V414" s="160" t="str">
        <f>IFERROR(VLOOKUP(N414,TD!$B$50:$F$54,3,0)," ")</f>
        <v>4503</v>
      </c>
      <c r="W414" s="160">
        <f>IFERROR(VLOOKUP(N414,TD!$B$50:$F$54,4,0)," ")</f>
        <v>20240255</v>
      </c>
      <c r="X414" s="159" t="s">
        <v>166</v>
      </c>
      <c r="Y414" s="160" t="str">
        <f>IFERROR(VLOOKUP(X414,TD!$J$51:$K$64,2,0)," ")</f>
        <v>Servicio de capacitaciones en gestión del riesgo de incendios  a la ciudadania.</v>
      </c>
      <c r="Z414" s="161" t="str">
        <f>CONCATENATE(X414,"-",Y414)</f>
        <v>05-Servicio de capacitaciones en gestión del riesgo de incendios  a la ciudadania.</v>
      </c>
      <c r="AA414" s="159" t="s">
        <v>223</v>
      </c>
      <c r="AB414" s="160" t="str">
        <f>IFERROR(VLOOKUP(AA414,TD!$N$51:$O$66,2,0)," ")</f>
        <v>Servicio prevención y control de incendios</v>
      </c>
      <c r="AC414" s="161" t="str">
        <f>CONCATENATE(AA414,"_",AB414)</f>
        <v>035_Servicio prevención y control de incendios</v>
      </c>
      <c r="AD414" s="161" t="str">
        <f>CONCATENATE(Z414," ",AC414)</f>
        <v>05-Servicio de capacitaciones en gestión del riesgo de incendios  a la ciudadania. 035_Servicio prevención y control de incendios</v>
      </c>
      <c r="AE414" s="160" t="str">
        <f>CONCATENATE(U414,V414,W414,X414,AA414)</f>
        <v>O23011745032024025505035</v>
      </c>
      <c r="AF414" s="160" t="str">
        <f>IFERROR(VLOOKUP(AD414,TD!$J$66:$K$89,2,0)," ")</f>
        <v>PM/0131/0105/45030350255</v>
      </c>
      <c r="AG414" s="118" t="s">
        <v>385</v>
      </c>
      <c r="AH414" s="159" t="s">
        <v>193</v>
      </c>
      <c r="AI414" s="162" t="str">
        <f>CONCATENATE(PAA[[#This Row],[Id Interno]],"-",PAA[[#This Row],[tipo de Contrato (TH talento humano - B/S bienes y/o servicios)]],"-",S414,"-",T414,"-",PAA[[#This Row],[Objeto de la contratación]])</f>
        <v>20260374-TH-8173-1-Prestar servicios profesionales en los procesos de formacion y capacitacion de la subdirección de gestión del riesgo._SGR</v>
      </c>
    </row>
    <row r="415" spans="2:35" ht="56" x14ac:dyDescent="0.35">
      <c r="B415" s="23">
        <v>20260375</v>
      </c>
      <c r="C415" s="99" t="s">
        <v>564</v>
      </c>
      <c r="D415" s="23" t="s">
        <v>105</v>
      </c>
      <c r="E415" s="23" t="s">
        <v>363</v>
      </c>
      <c r="F415" s="156" t="s">
        <v>144</v>
      </c>
      <c r="G415" s="157" t="s">
        <v>373</v>
      </c>
      <c r="H415" s="158">
        <v>10</v>
      </c>
      <c r="I415" s="158">
        <v>0</v>
      </c>
      <c r="J415" s="127">
        <v>70000000</v>
      </c>
      <c r="K415" s="88" t="s">
        <v>398</v>
      </c>
      <c r="L415" s="156" t="s">
        <v>156</v>
      </c>
      <c r="M415" s="159" t="s">
        <v>513</v>
      </c>
      <c r="N415" s="23" t="s">
        <v>198</v>
      </c>
      <c r="O415" s="151" t="s">
        <v>964</v>
      </c>
      <c r="P415" s="156" t="s">
        <v>348</v>
      </c>
      <c r="Q415" s="100">
        <v>80111600</v>
      </c>
      <c r="R415" s="159" t="s">
        <v>214</v>
      </c>
      <c r="S415" s="159" t="str">
        <f>MID(PAA[[#This Row],[Meta Proyecto de Inversión]],1,4)</f>
        <v>8173</v>
      </c>
      <c r="T415" s="159" t="str">
        <f>MID(PAA[[#This Row],[Meta Proyecto de Inversión]],6,1)</f>
        <v>5</v>
      </c>
      <c r="U415" s="160" t="str">
        <f>IFERROR(VLOOKUP(N415,TD!$B$50:$F$54,2,0)," ")</f>
        <v>O230117</v>
      </c>
      <c r="V415" s="160" t="str">
        <f>IFERROR(VLOOKUP(N415,TD!$B$50:$F$54,3,0)," ")</f>
        <v>4503</v>
      </c>
      <c r="W415" s="160">
        <f>IFERROR(VLOOKUP(N415,TD!$B$50:$F$54,4,0)," ")</f>
        <v>20240255</v>
      </c>
      <c r="X415" s="159">
        <v>16</v>
      </c>
      <c r="Y415" s="160" t="str">
        <f>IFERROR(VLOOKUP(X415,TD!$J$51:$K$64,2,0)," ")</f>
        <v>Servicio de monitoreo y seguimiento para la gestión del riesgo</v>
      </c>
      <c r="Z415" s="161" t="str">
        <f>CONCATENATE(X415,"-",Y415)</f>
        <v>16-Servicio de monitoreo y seguimiento para la gestión del riesgo</v>
      </c>
      <c r="AA415" s="159" t="s">
        <v>224</v>
      </c>
      <c r="AB415" s="160" t="str">
        <f>IFERROR(VLOOKUP(AA415,TD!$N$51:$O$66,2,0)," ")</f>
        <v>Servicio de monitoreo y seguimiento para la gestión del riesgo</v>
      </c>
      <c r="AC415" s="161" t="str">
        <f>CONCATENATE(AA415,"_",AB415)</f>
        <v>018_Servicio de monitoreo y seguimiento para la gestión del riesgo</v>
      </c>
      <c r="AD415" s="161" t="str">
        <f>CONCATENATE(Z415," ",AC415)</f>
        <v>16-Servicio de monitoreo y seguimiento para la gestión del riesgo 018_Servicio de monitoreo y seguimiento para la gestión del riesgo</v>
      </c>
      <c r="AE415" s="160" t="str">
        <f>CONCATENATE(U415,V415,W415,X415,AA415)</f>
        <v>O23011745032024025516018</v>
      </c>
      <c r="AF415" s="160" t="str">
        <f>IFERROR(VLOOKUP(AD415,TD!$J$66:$K$89,2,0)," ")</f>
        <v>PM/0131/0116/45030180255</v>
      </c>
      <c r="AG415" s="118" t="s">
        <v>385</v>
      </c>
      <c r="AH415" s="159" t="s">
        <v>193</v>
      </c>
      <c r="AI415" s="162" t="str">
        <f>CONCATENATE(PAA[[#This Row],[Id Interno]],"-",PAA[[#This Row],[tipo de Contrato (TH talento humano - B/S bienes y/o servicios)]],"-",S415,"-",T415,"-",PAA[[#This Row],[Objeto de la contratación]])</f>
        <v>20260375-TH-8173-5-Prestar servicios profesionales liderando las actividades de identificacion y caracterizacion  de escenarios  de riesgos a cargo de la Subdirección de Gestión del Riesgo._SGR</v>
      </c>
    </row>
    <row r="416" spans="2:35" ht="56" x14ac:dyDescent="0.35">
      <c r="B416" s="23">
        <v>20260376</v>
      </c>
      <c r="C416" s="99" t="s">
        <v>565</v>
      </c>
      <c r="D416" s="23" t="s">
        <v>105</v>
      </c>
      <c r="E416" s="23" t="s">
        <v>363</v>
      </c>
      <c r="F416" s="156" t="s">
        <v>144</v>
      </c>
      <c r="G416" s="157" t="s">
        <v>373</v>
      </c>
      <c r="H416" s="158">
        <v>10</v>
      </c>
      <c r="I416" s="158">
        <v>0</v>
      </c>
      <c r="J416" s="127">
        <v>55000000</v>
      </c>
      <c r="K416" s="88" t="s">
        <v>398</v>
      </c>
      <c r="L416" s="156" t="s">
        <v>156</v>
      </c>
      <c r="M416" s="159" t="s">
        <v>513</v>
      </c>
      <c r="N416" s="23" t="s">
        <v>198</v>
      </c>
      <c r="O416" s="151" t="s">
        <v>964</v>
      </c>
      <c r="P416" s="156" t="s">
        <v>348</v>
      </c>
      <c r="Q416" s="100">
        <v>80111600</v>
      </c>
      <c r="R416" s="159" t="s">
        <v>214</v>
      </c>
      <c r="S416" s="159" t="str">
        <f>MID(PAA[[#This Row],[Meta Proyecto de Inversión]],1,4)</f>
        <v>8173</v>
      </c>
      <c r="T416" s="159" t="str">
        <f>MID(PAA[[#This Row],[Meta Proyecto de Inversión]],6,1)</f>
        <v>5</v>
      </c>
      <c r="U416" s="160" t="str">
        <f>IFERROR(VLOOKUP(N416,TD!$B$50:$F$54,2,0)," ")</f>
        <v>O230117</v>
      </c>
      <c r="V416" s="160" t="str">
        <f>IFERROR(VLOOKUP(N416,TD!$B$50:$F$54,3,0)," ")</f>
        <v>4503</v>
      </c>
      <c r="W416" s="160">
        <f>IFERROR(VLOOKUP(N416,TD!$B$50:$F$54,4,0)," ")</f>
        <v>20240255</v>
      </c>
      <c r="X416" s="159">
        <v>16</v>
      </c>
      <c r="Y416" s="160" t="str">
        <f>IFERROR(VLOOKUP(X416,TD!$J$51:$K$64,2,0)," ")</f>
        <v>Servicio de monitoreo y seguimiento para la gestión del riesgo</v>
      </c>
      <c r="Z416" s="161" t="str">
        <f>CONCATENATE(X416,"-",Y416)</f>
        <v>16-Servicio de monitoreo y seguimiento para la gestión del riesgo</v>
      </c>
      <c r="AA416" s="159" t="s">
        <v>224</v>
      </c>
      <c r="AB416" s="160" t="str">
        <f>IFERROR(VLOOKUP(AA416,TD!$N$51:$O$66,2,0)," ")</f>
        <v>Servicio de monitoreo y seguimiento para la gestión del riesgo</v>
      </c>
      <c r="AC416" s="161" t="str">
        <f>CONCATENATE(AA416,"_",AB416)</f>
        <v>018_Servicio de monitoreo y seguimiento para la gestión del riesgo</v>
      </c>
      <c r="AD416" s="161" t="str">
        <f>CONCATENATE(Z416," ",AC416)</f>
        <v>16-Servicio de monitoreo y seguimiento para la gestión del riesgo 018_Servicio de monitoreo y seguimiento para la gestión del riesgo</v>
      </c>
      <c r="AE416" s="160" t="str">
        <f>CONCATENATE(U416,V416,W416,X416,AA416)</f>
        <v>O23011745032024025516018</v>
      </c>
      <c r="AF416" s="160" t="str">
        <f>IFERROR(VLOOKUP(AD416,TD!$J$66:$K$89,2,0)," ")</f>
        <v>PM/0131/0116/45030180255</v>
      </c>
      <c r="AG416" s="118" t="s">
        <v>385</v>
      </c>
      <c r="AH416" s="159" t="s">
        <v>193</v>
      </c>
      <c r="AI416" s="162" t="str">
        <f>CONCATENATE(PAA[[#This Row],[Id Interno]],"-",PAA[[#This Row],[tipo de Contrato (TH talento humano - B/S bienes y/o servicios)]],"-",S416,"-",T416,"-",PAA[[#This Row],[Objeto de la contratación]])</f>
        <v>20260376-TH-8173-5-Prestar servicios profesionales en las actividades de identificacion y caracterizacion  de escenarios  de riesgos a cargo de la Subdirección de Gestión del Riesgo._SGR</v>
      </c>
    </row>
    <row r="417" spans="2:35" ht="56" x14ac:dyDescent="0.35">
      <c r="B417" s="23">
        <v>20260377</v>
      </c>
      <c r="C417" s="99" t="s">
        <v>565</v>
      </c>
      <c r="D417" s="23" t="s">
        <v>105</v>
      </c>
      <c r="E417" s="23" t="s">
        <v>363</v>
      </c>
      <c r="F417" s="156" t="s">
        <v>144</v>
      </c>
      <c r="G417" s="157" t="s">
        <v>373</v>
      </c>
      <c r="H417" s="158">
        <v>10</v>
      </c>
      <c r="I417" s="158">
        <v>0</v>
      </c>
      <c r="J417" s="127">
        <v>55000000</v>
      </c>
      <c r="K417" s="88" t="s">
        <v>398</v>
      </c>
      <c r="L417" s="156" t="s">
        <v>156</v>
      </c>
      <c r="M417" s="159" t="s">
        <v>513</v>
      </c>
      <c r="N417" s="23" t="s">
        <v>198</v>
      </c>
      <c r="O417" s="151" t="s">
        <v>964</v>
      </c>
      <c r="P417" s="156" t="s">
        <v>348</v>
      </c>
      <c r="Q417" s="100">
        <v>80111600</v>
      </c>
      <c r="R417" s="159" t="s">
        <v>214</v>
      </c>
      <c r="S417" s="159" t="str">
        <f>MID(PAA[[#This Row],[Meta Proyecto de Inversión]],1,4)</f>
        <v>8173</v>
      </c>
      <c r="T417" s="159" t="str">
        <f>MID(PAA[[#This Row],[Meta Proyecto de Inversión]],6,1)</f>
        <v>5</v>
      </c>
      <c r="U417" s="160" t="str">
        <f>IFERROR(VLOOKUP(N417,TD!$B$50:$F$54,2,0)," ")</f>
        <v>O230117</v>
      </c>
      <c r="V417" s="160" t="str">
        <f>IFERROR(VLOOKUP(N417,TD!$B$50:$F$54,3,0)," ")</f>
        <v>4503</v>
      </c>
      <c r="W417" s="160">
        <f>IFERROR(VLOOKUP(N417,TD!$B$50:$F$54,4,0)," ")</f>
        <v>20240255</v>
      </c>
      <c r="X417" s="159">
        <v>16</v>
      </c>
      <c r="Y417" s="160" t="str">
        <f>IFERROR(VLOOKUP(X417,TD!$J$51:$K$64,2,0)," ")</f>
        <v>Servicio de monitoreo y seguimiento para la gestión del riesgo</v>
      </c>
      <c r="Z417" s="161" t="str">
        <f>CONCATENATE(X417,"-",Y417)</f>
        <v>16-Servicio de monitoreo y seguimiento para la gestión del riesgo</v>
      </c>
      <c r="AA417" s="159" t="s">
        <v>224</v>
      </c>
      <c r="AB417" s="160" t="str">
        <f>IFERROR(VLOOKUP(AA417,TD!$N$51:$O$66,2,0)," ")</f>
        <v>Servicio de monitoreo y seguimiento para la gestión del riesgo</v>
      </c>
      <c r="AC417" s="161" t="str">
        <f>CONCATENATE(AA417,"_",AB417)</f>
        <v>018_Servicio de monitoreo y seguimiento para la gestión del riesgo</v>
      </c>
      <c r="AD417" s="161" t="str">
        <f>CONCATENATE(Z417," ",AC417)</f>
        <v>16-Servicio de monitoreo y seguimiento para la gestión del riesgo 018_Servicio de monitoreo y seguimiento para la gestión del riesgo</v>
      </c>
      <c r="AE417" s="160" t="str">
        <f>CONCATENATE(U417,V417,W417,X417,AA417)</f>
        <v>O23011745032024025516018</v>
      </c>
      <c r="AF417" s="160" t="str">
        <f>IFERROR(VLOOKUP(AD417,TD!$J$66:$K$89,2,0)," ")</f>
        <v>PM/0131/0116/45030180255</v>
      </c>
      <c r="AG417" s="118" t="s">
        <v>385</v>
      </c>
      <c r="AH417" s="159" t="s">
        <v>193</v>
      </c>
      <c r="AI417" s="162" t="str">
        <f>CONCATENATE(PAA[[#This Row],[Id Interno]],"-",PAA[[#This Row],[tipo de Contrato (TH talento humano - B/S bienes y/o servicios)]],"-",S417,"-",T417,"-",PAA[[#This Row],[Objeto de la contratación]])</f>
        <v>20260377-TH-8173-5-Prestar servicios profesionales en las actividades de identificacion y caracterizacion  de escenarios  de riesgos a cargo de la Subdirección de Gestión del Riesgo._SGR</v>
      </c>
    </row>
    <row r="418" spans="2:35" ht="56" x14ac:dyDescent="0.35">
      <c r="B418" s="23">
        <v>20260378</v>
      </c>
      <c r="C418" s="99" t="s">
        <v>565</v>
      </c>
      <c r="D418" s="23" t="s">
        <v>105</v>
      </c>
      <c r="E418" s="23" t="s">
        <v>363</v>
      </c>
      <c r="F418" s="156" t="s">
        <v>144</v>
      </c>
      <c r="G418" s="157" t="s">
        <v>373</v>
      </c>
      <c r="H418" s="158">
        <v>10</v>
      </c>
      <c r="I418" s="158">
        <v>0</v>
      </c>
      <c r="J418" s="127">
        <v>55000000</v>
      </c>
      <c r="K418" s="88" t="s">
        <v>398</v>
      </c>
      <c r="L418" s="156" t="s">
        <v>156</v>
      </c>
      <c r="M418" s="159" t="s">
        <v>513</v>
      </c>
      <c r="N418" s="23" t="s">
        <v>198</v>
      </c>
      <c r="O418" s="151" t="s">
        <v>964</v>
      </c>
      <c r="P418" s="156" t="s">
        <v>348</v>
      </c>
      <c r="Q418" s="100">
        <v>80111600</v>
      </c>
      <c r="R418" s="159" t="s">
        <v>214</v>
      </c>
      <c r="S418" s="159" t="str">
        <f>MID(PAA[[#This Row],[Meta Proyecto de Inversión]],1,4)</f>
        <v>8173</v>
      </c>
      <c r="T418" s="159" t="str">
        <f>MID(PAA[[#This Row],[Meta Proyecto de Inversión]],6,1)</f>
        <v>5</v>
      </c>
      <c r="U418" s="160" t="str">
        <f>IFERROR(VLOOKUP(N418,TD!$B$50:$F$54,2,0)," ")</f>
        <v>O230117</v>
      </c>
      <c r="V418" s="160" t="str">
        <f>IFERROR(VLOOKUP(N418,TD!$B$50:$F$54,3,0)," ")</f>
        <v>4503</v>
      </c>
      <c r="W418" s="160">
        <f>IFERROR(VLOOKUP(N418,TD!$B$50:$F$54,4,0)," ")</f>
        <v>20240255</v>
      </c>
      <c r="X418" s="159">
        <v>16</v>
      </c>
      <c r="Y418" s="160" t="str">
        <f>IFERROR(VLOOKUP(X418,TD!$J$51:$K$64,2,0)," ")</f>
        <v>Servicio de monitoreo y seguimiento para la gestión del riesgo</v>
      </c>
      <c r="Z418" s="161" t="str">
        <f>CONCATENATE(X418,"-",Y418)</f>
        <v>16-Servicio de monitoreo y seguimiento para la gestión del riesgo</v>
      </c>
      <c r="AA418" s="159" t="s">
        <v>224</v>
      </c>
      <c r="AB418" s="160" t="str">
        <f>IFERROR(VLOOKUP(AA418,TD!$N$51:$O$66,2,0)," ")</f>
        <v>Servicio de monitoreo y seguimiento para la gestión del riesgo</v>
      </c>
      <c r="AC418" s="161" t="str">
        <f>CONCATENATE(AA418,"_",AB418)</f>
        <v>018_Servicio de monitoreo y seguimiento para la gestión del riesgo</v>
      </c>
      <c r="AD418" s="161" t="str">
        <f>CONCATENATE(Z418," ",AC418)</f>
        <v>16-Servicio de monitoreo y seguimiento para la gestión del riesgo 018_Servicio de monitoreo y seguimiento para la gestión del riesgo</v>
      </c>
      <c r="AE418" s="160" t="str">
        <f>CONCATENATE(U418,V418,W418,X418,AA418)</f>
        <v>O23011745032024025516018</v>
      </c>
      <c r="AF418" s="160" t="str">
        <f>IFERROR(VLOOKUP(AD418,TD!$J$66:$K$89,2,0)," ")</f>
        <v>PM/0131/0116/45030180255</v>
      </c>
      <c r="AG418" s="118" t="s">
        <v>385</v>
      </c>
      <c r="AH418" s="159" t="s">
        <v>193</v>
      </c>
      <c r="AI418" s="162" t="str">
        <f>CONCATENATE(PAA[[#This Row],[Id Interno]],"-",PAA[[#This Row],[tipo de Contrato (TH talento humano - B/S bienes y/o servicios)]],"-",S418,"-",T418,"-",PAA[[#This Row],[Objeto de la contratación]])</f>
        <v>20260378-TH-8173-5-Prestar servicios profesionales en las actividades de identificacion y caracterizacion  de escenarios  de riesgos a cargo de la Subdirección de Gestión del Riesgo._SGR</v>
      </c>
    </row>
    <row r="419" spans="2:35" ht="56" x14ac:dyDescent="0.35">
      <c r="B419" s="23">
        <v>20260379</v>
      </c>
      <c r="C419" s="99" t="s">
        <v>566</v>
      </c>
      <c r="D419" s="23" t="s">
        <v>105</v>
      </c>
      <c r="E419" s="23" t="s">
        <v>363</v>
      </c>
      <c r="F419" s="156" t="s">
        <v>144</v>
      </c>
      <c r="G419" s="157" t="s">
        <v>373</v>
      </c>
      <c r="H419" s="158">
        <v>8</v>
      </c>
      <c r="I419" s="158">
        <v>0</v>
      </c>
      <c r="J419" s="127">
        <v>72800000</v>
      </c>
      <c r="K419" s="88" t="s">
        <v>398</v>
      </c>
      <c r="L419" s="156" t="s">
        <v>156</v>
      </c>
      <c r="M419" s="159" t="s">
        <v>513</v>
      </c>
      <c r="N419" s="23" t="s">
        <v>198</v>
      </c>
      <c r="O419" s="151" t="s">
        <v>964</v>
      </c>
      <c r="P419" s="156" t="s">
        <v>348</v>
      </c>
      <c r="Q419" s="100">
        <v>80111600</v>
      </c>
      <c r="R419" s="159" t="s">
        <v>215</v>
      </c>
      <c r="S419" s="159" t="str">
        <f>MID(PAA[[#This Row],[Meta Proyecto de Inversión]],1,4)</f>
        <v>8173</v>
      </c>
      <c r="T419" s="159" t="str">
        <f>MID(PAA[[#This Row],[Meta Proyecto de Inversión]],6,1)</f>
        <v>6</v>
      </c>
      <c r="U419" s="160" t="str">
        <f>IFERROR(VLOOKUP(N419,TD!$B$50:$F$54,2,0)," ")</f>
        <v>O230117</v>
      </c>
      <c r="V419" s="160" t="str">
        <f>IFERROR(VLOOKUP(N419,TD!$B$50:$F$54,3,0)," ")</f>
        <v>4503</v>
      </c>
      <c r="W419" s="160">
        <f>IFERROR(VLOOKUP(N419,TD!$B$50:$F$54,4,0)," ")</f>
        <v>20240255</v>
      </c>
      <c r="X419" s="159">
        <v>16</v>
      </c>
      <c r="Y419" s="160" t="str">
        <f>IFERROR(VLOOKUP(X419,TD!$J$51:$K$64,2,0)," ")</f>
        <v>Servicio de monitoreo y seguimiento para la gestión del riesgo</v>
      </c>
      <c r="Z419" s="161" t="str">
        <f>CONCATENATE(X419,"-",Y419)</f>
        <v>16-Servicio de monitoreo y seguimiento para la gestión del riesgo</v>
      </c>
      <c r="AA419" s="159" t="s">
        <v>224</v>
      </c>
      <c r="AB419" s="160" t="str">
        <f>IFERROR(VLOOKUP(AA419,TD!$N$51:$O$66,2,0)," ")</f>
        <v>Servicio de monitoreo y seguimiento para la gestión del riesgo</v>
      </c>
      <c r="AC419" s="161" t="str">
        <f>CONCATENATE(AA419,"_",AB419)</f>
        <v>018_Servicio de monitoreo y seguimiento para la gestión del riesgo</v>
      </c>
      <c r="AD419" s="161" t="str">
        <f>CONCATENATE(Z419," ",AC419)</f>
        <v>16-Servicio de monitoreo y seguimiento para la gestión del riesgo 018_Servicio de monitoreo y seguimiento para la gestión del riesgo</v>
      </c>
      <c r="AE419" s="160" t="str">
        <f>CONCATENATE(U419,V419,W419,X419,AA419)</f>
        <v>O23011745032024025516018</v>
      </c>
      <c r="AF419" s="160" t="str">
        <f>IFERROR(VLOOKUP(AD419,TD!$J$66:$K$89,2,0)," ")</f>
        <v>PM/0131/0116/45030180255</v>
      </c>
      <c r="AG419" s="118" t="s">
        <v>385</v>
      </c>
      <c r="AH419" s="159" t="s">
        <v>193</v>
      </c>
      <c r="AI419" s="162" t="str">
        <f>CONCATENATE(PAA[[#This Row],[Id Interno]],"-",PAA[[#This Row],[tipo de Contrato (TH talento humano - B/S bienes y/o servicios)]],"-",S419,"-",T419,"-",PAA[[#This Row],[Objeto de la contratación]])</f>
        <v>20260379-TH-8173-6-prestar servicios profesionales liderando las actividades de monitoreo del riesgo de la subdirecion  de gestión del riesgo_SGR</v>
      </c>
    </row>
    <row r="420" spans="2:35" ht="56" x14ac:dyDescent="0.35">
      <c r="B420" s="23">
        <v>20260380</v>
      </c>
      <c r="C420" s="99" t="s">
        <v>567</v>
      </c>
      <c r="D420" s="23" t="s">
        <v>105</v>
      </c>
      <c r="E420" s="23" t="s">
        <v>363</v>
      </c>
      <c r="F420" s="156" t="s">
        <v>144</v>
      </c>
      <c r="G420" s="157" t="s">
        <v>373</v>
      </c>
      <c r="H420" s="158">
        <v>10</v>
      </c>
      <c r="I420" s="158">
        <v>0</v>
      </c>
      <c r="J420" s="127">
        <v>55000000</v>
      </c>
      <c r="K420" s="88" t="s">
        <v>398</v>
      </c>
      <c r="L420" s="156" t="s">
        <v>156</v>
      </c>
      <c r="M420" s="159" t="s">
        <v>513</v>
      </c>
      <c r="N420" s="23" t="s">
        <v>198</v>
      </c>
      <c r="O420" s="151" t="s">
        <v>964</v>
      </c>
      <c r="P420" s="156" t="s">
        <v>348</v>
      </c>
      <c r="Q420" s="100">
        <v>80111600</v>
      </c>
      <c r="R420" s="159" t="s">
        <v>215</v>
      </c>
      <c r="S420" s="159" t="str">
        <f>MID(PAA[[#This Row],[Meta Proyecto de Inversión]],1,4)</f>
        <v>8173</v>
      </c>
      <c r="T420" s="159" t="str">
        <f>MID(PAA[[#This Row],[Meta Proyecto de Inversión]],6,1)</f>
        <v>6</v>
      </c>
      <c r="U420" s="160" t="str">
        <f>IFERROR(VLOOKUP(N420,TD!$B$50:$F$54,2,0)," ")</f>
        <v>O230117</v>
      </c>
      <c r="V420" s="160" t="str">
        <f>IFERROR(VLOOKUP(N420,TD!$B$50:$F$54,3,0)," ")</f>
        <v>4503</v>
      </c>
      <c r="W420" s="160">
        <f>IFERROR(VLOOKUP(N420,TD!$B$50:$F$54,4,0)," ")</f>
        <v>20240255</v>
      </c>
      <c r="X420" s="159">
        <v>16</v>
      </c>
      <c r="Y420" s="160" t="str">
        <f>IFERROR(VLOOKUP(X420,TD!$J$51:$K$64,2,0)," ")</f>
        <v>Servicio de monitoreo y seguimiento para la gestión del riesgo</v>
      </c>
      <c r="Z420" s="161" t="str">
        <f>CONCATENATE(X420,"-",Y420)</f>
        <v>16-Servicio de monitoreo y seguimiento para la gestión del riesgo</v>
      </c>
      <c r="AA420" s="159" t="s">
        <v>224</v>
      </c>
      <c r="AB420" s="160" t="str">
        <f>IFERROR(VLOOKUP(AA420,TD!$N$51:$O$66,2,0)," ")</f>
        <v>Servicio de monitoreo y seguimiento para la gestión del riesgo</v>
      </c>
      <c r="AC420" s="161" t="str">
        <f>CONCATENATE(AA420,"_",AB420)</f>
        <v>018_Servicio de monitoreo y seguimiento para la gestión del riesgo</v>
      </c>
      <c r="AD420" s="161" t="str">
        <f>CONCATENATE(Z420," ",AC420)</f>
        <v>16-Servicio de monitoreo y seguimiento para la gestión del riesgo 018_Servicio de monitoreo y seguimiento para la gestión del riesgo</v>
      </c>
      <c r="AE420" s="160" t="str">
        <f>CONCATENATE(U420,V420,W420,X420,AA420)</f>
        <v>O23011745032024025516018</v>
      </c>
      <c r="AF420" s="160" t="str">
        <f>IFERROR(VLOOKUP(AD420,TD!$J$66:$K$89,2,0)," ")</f>
        <v>PM/0131/0116/45030180255</v>
      </c>
      <c r="AG420" s="118" t="s">
        <v>385</v>
      </c>
      <c r="AH420" s="159" t="s">
        <v>193</v>
      </c>
      <c r="AI420" s="162" t="str">
        <f>CONCATENATE(PAA[[#This Row],[Id Interno]],"-",PAA[[#This Row],[tipo de Contrato (TH talento humano - B/S bienes y/o servicios)]],"-",S420,"-",T420,"-",PAA[[#This Row],[Objeto de la contratación]])</f>
        <v>20260380-TH-8173-6-Prestar servicios profesionales en las actividades de monitoreo del riesgo para la Subdirección de Gestión del Riesgo._SGR</v>
      </c>
    </row>
    <row r="421" spans="2:35" ht="56" x14ac:dyDescent="0.35">
      <c r="B421" s="23">
        <v>20260381</v>
      </c>
      <c r="C421" s="99" t="s">
        <v>567</v>
      </c>
      <c r="D421" s="23" t="s">
        <v>105</v>
      </c>
      <c r="E421" s="23" t="s">
        <v>363</v>
      </c>
      <c r="F421" s="156" t="s">
        <v>144</v>
      </c>
      <c r="G421" s="157" t="s">
        <v>373</v>
      </c>
      <c r="H421" s="158">
        <v>10</v>
      </c>
      <c r="I421" s="158">
        <v>0</v>
      </c>
      <c r="J421" s="127">
        <v>60000000</v>
      </c>
      <c r="K421" s="88" t="s">
        <v>398</v>
      </c>
      <c r="L421" s="156" t="s">
        <v>156</v>
      </c>
      <c r="M421" s="159" t="s">
        <v>513</v>
      </c>
      <c r="N421" s="23" t="s">
        <v>198</v>
      </c>
      <c r="O421" s="151" t="s">
        <v>964</v>
      </c>
      <c r="P421" s="156" t="s">
        <v>348</v>
      </c>
      <c r="Q421" s="100">
        <v>80111600</v>
      </c>
      <c r="R421" s="159" t="s">
        <v>215</v>
      </c>
      <c r="S421" s="159" t="str">
        <f>MID(PAA[[#This Row],[Meta Proyecto de Inversión]],1,4)</f>
        <v>8173</v>
      </c>
      <c r="T421" s="159" t="str">
        <f>MID(PAA[[#This Row],[Meta Proyecto de Inversión]],6,1)</f>
        <v>6</v>
      </c>
      <c r="U421" s="160" t="str">
        <f>IFERROR(VLOOKUP(N421,TD!$B$50:$F$54,2,0)," ")</f>
        <v>O230117</v>
      </c>
      <c r="V421" s="160" t="str">
        <f>IFERROR(VLOOKUP(N421,TD!$B$50:$F$54,3,0)," ")</f>
        <v>4503</v>
      </c>
      <c r="W421" s="160">
        <f>IFERROR(VLOOKUP(N421,TD!$B$50:$F$54,4,0)," ")</f>
        <v>20240255</v>
      </c>
      <c r="X421" s="159">
        <v>16</v>
      </c>
      <c r="Y421" s="160" t="str">
        <f>IFERROR(VLOOKUP(X421,TD!$J$51:$K$64,2,0)," ")</f>
        <v>Servicio de monitoreo y seguimiento para la gestión del riesgo</v>
      </c>
      <c r="Z421" s="161" t="str">
        <f>CONCATENATE(X421,"-",Y421)</f>
        <v>16-Servicio de monitoreo y seguimiento para la gestión del riesgo</v>
      </c>
      <c r="AA421" s="159" t="s">
        <v>224</v>
      </c>
      <c r="AB421" s="160" t="str">
        <f>IFERROR(VLOOKUP(AA421,TD!$N$51:$O$66,2,0)," ")</f>
        <v>Servicio de monitoreo y seguimiento para la gestión del riesgo</v>
      </c>
      <c r="AC421" s="161" t="str">
        <f>CONCATENATE(AA421,"_",AB421)</f>
        <v>018_Servicio de monitoreo y seguimiento para la gestión del riesgo</v>
      </c>
      <c r="AD421" s="161" t="str">
        <f>CONCATENATE(Z421," ",AC421)</f>
        <v>16-Servicio de monitoreo y seguimiento para la gestión del riesgo 018_Servicio de monitoreo y seguimiento para la gestión del riesgo</v>
      </c>
      <c r="AE421" s="160" t="str">
        <f>CONCATENATE(U421,V421,W421,X421,AA421)</f>
        <v>O23011745032024025516018</v>
      </c>
      <c r="AF421" s="160" t="str">
        <f>IFERROR(VLOOKUP(AD421,TD!$J$66:$K$89,2,0)," ")</f>
        <v>PM/0131/0116/45030180255</v>
      </c>
      <c r="AG421" s="118" t="s">
        <v>385</v>
      </c>
      <c r="AH421" s="159" t="s">
        <v>193</v>
      </c>
      <c r="AI421" s="162" t="str">
        <f>CONCATENATE(PAA[[#This Row],[Id Interno]],"-",PAA[[#This Row],[tipo de Contrato (TH talento humano - B/S bienes y/o servicios)]],"-",S421,"-",T421,"-",PAA[[#This Row],[Objeto de la contratación]])</f>
        <v>20260381-TH-8173-6-Prestar servicios profesionales en las actividades de monitoreo del riesgo para la Subdirección de Gestión del Riesgo._SGR</v>
      </c>
    </row>
    <row r="422" spans="2:35" ht="56" x14ac:dyDescent="0.35">
      <c r="B422" s="23">
        <v>20260382</v>
      </c>
      <c r="C422" s="99" t="s">
        <v>568</v>
      </c>
      <c r="D422" s="23" t="s">
        <v>105</v>
      </c>
      <c r="E422" s="23" t="s">
        <v>363</v>
      </c>
      <c r="F422" s="156" t="s">
        <v>145</v>
      </c>
      <c r="G422" s="157" t="s">
        <v>373</v>
      </c>
      <c r="H422" s="158">
        <v>10</v>
      </c>
      <c r="I422" s="158">
        <v>0</v>
      </c>
      <c r="J422" s="127">
        <v>40000000</v>
      </c>
      <c r="K422" s="88" t="s">
        <v>398</v>
      </c>
      <c r="L422" s="156" t="s">
        <v>156</v>
      </c>
      <c r="M422" s="159" t="s">
        <v>513</v>
      </c>
      <c r="N422" s="23" t="s">
        <v>198</v>
      </c>
      <c r="O422" s="151" t="s">
        <v>964</v>
      </c>
      <c r="P422" s="156" t="s">
        <v>348</v>
      </c>
      <c r="Q422" s="100">
        <v>80111600</v>
      </c>
      <c r="R422" s="159" t="s">
        <v>215</v>
      </c>
      <c r="S422" s="159" t="str">
        <f>MID(PAA[[#This Row],[Meta Proyecto de Inversión]],1,4)</f>
        <v>8173</v>
      </c>
      <c r="T422" s="159" t="str">
        <f>MID(PAA[[#This Row],[Meta Proyecto de Inversión]],6,1)</f>
        <v>6</v>
      </c>
      <c r="U422" s="160" t="str">
        <f>IFERROR(VLOOKUP(N422,TD!$B$50:$F$54,2,0)," ")</f>
        <v>O230117</v>
      </c>
      <c r="V422" s="160" t="str">
        <f>IFERROR(VLOOKUP(N422,TD!$B$50:$F$54,3,0)," ")</f>
        <v>4503</v>
      </c>
      <c r="W422" s="160">
        <f>IFERROR(VLOOKUP(N422,TD!$B$50:$F$54,4,0)," ")</f>
        <v>20240255</v>
      </c>
      <c r="X422" s="159">
        <v>16</v>
      </c>
      <c r="Y422" s="160" t="str">
        <f>IFERROR(VLOOKUP(X422,TD!$J$51:$K$64,2,0)," ")</f>
        <v>Servicio de monitoreo y seguimiento para la gestión del riesgo</v>
      </c>
      <c r="Z422" s="161" t="str">
        <f>CONCATENATE(X422,"-",Y422)</f>
        <v>16-Servicio de monitoreo y seguimiento para la gestión del riesgo</v>
      </c>
      <c r="AA422" s="159" t="s">
        <v>224</v>
      </c>
      <c r="AB422" s="160" t="str">
        <f>IFERROR(VLOOKUP(AA422,TD!$N$51:$O$66,2,0)," ")</f>
        <v>Servicio de monitoreo y seguimiento para la gestión del riesgo</v>
      </c>
      <c r="AC422" s="161" t="str">
        <f>CONCATENATE(AA422,"_",AB422)</f>
        <v>018_Servicio de monitoreo y seguimiento para la gestión del riesgo</v>
      </c>
      <c r="AD422" s="161" t="str">
        <f>CONCATENATE(Z422," ",AC422)</f>
        <v>16-Servicio de monitoreo y seguimiento para la gestión del riesgo 018_Servicio de monitoreo y seguimiento para la gestión del riesgo</v>
      </c>
      <c r="AE422" s="160" t="str">
        <f>CONCATENATE(U422,V422,W422,X422,AA422)</f>
        <v>O23011745032024025516018</v>
      </c>
      <c r="AF422" s="160" t="str">
        <f>IFERROR(VLOOKUP(AD422,TD!$J$66:$K$89,2,0)," ")</f>
        <v>PM/0131/0116/45030180255</v>
      </c>
      <c r="AG422" s="118" t="s">
        <v>385</v>
      </c>
      <c r="AH422" s="159" t="s">
        <v>193</v>
      </c>
      <c r="AI422" s="162" t="str">
        <f>CONCATENATE(PAA[[#This Row],[Id Interno]],"-",PAA[[#This Row],[tipo de Contrato (TH talento humano - B/S bienes y/o servicios)]],"-",S422,"-",T422,"-",PAA[[#This Row],[Objeto de la contratación]])</f>
        <v>20260382-TH-8173-6-Prestar servicios  de apoyo en las actividades de monitoreo del riesgo para la Subdirección de Gestión del Riesgo._SGR</v>
      </c>
    </row>
    <row r="423" spans="2:35" ht="56" x14ac:dyDescent="0.35">
      <c r="B423" s="23">
        <v>20260383</v>
      </c>
      <c r="C423" s="99" t="s">
        <v>569</v>
      </c>
      <c r="D423" s="23" t="s">
        <v>105</v>
      </c>
      <c r="E423" s="23" t="s">
        <v>363</v>
      </c>
      <c r="F423" s="156" t="s">
        <v>144</v>
      </c>
      <c r="G423" s="157" t="s">
        <v>373</v>
      </c>
      <c r="H423" s="158">
        <v>8</v>
      </c>
      <c r="I423" s="158">
        <v>0</v>
      </c>
      <c r="J423" s="127">
        <v>72800000</v>
      </c>
      <c r="K423" s="88" t="s">
        <v>398</v>
      </c>
      <c r="L423" s="156" t="s">
        <v>156</v>
      </c>
      <c r="M423" s="159" t="s">
        <v>513</v>
      </c>
      <c r="N423" s="23" t="s">
        <v>198</v>
      </c>
      <c r="O423" s="151" t="s">
        <v>964</v>
      </c>
      <c r="P423" s="156" t="s">
        <v>348</v>
      </c>
      <c r="Q423" s="100">
        <v>80111600</v>
      </c>
      <c r="R423" s="159" t="s">
        <v>214</v>
      </c>
      <c r="S423" s="159" t="str">
        <f>MID(PAA[[#This Row],[Meta Proyecto de Inversión]],1,4)</f>
        <v>8173</v>
      </c>
      <c r="T423" s="159" t="str">
        <f>MID(PAA[[#This Row],[Meta Proyecto de Inversión]],6,1)</f>
        <v>5</v>
      </c>
      <c r="U423" s="160" t="str">
        <f>IFERROR(VLOOKUP(N423,TD!$B$50:$F$54,2,0)," ")</f>
        <v>O230117</v>
      </c>
      <c r="V423" s="160" t="str">
        <f>IFERROR(VLOOKUP(N423,TD!$B$50:$F$54,3,0)," ")</f>
        <v>4503</v>
      </c>
      <c r="W423" s="160">
        <f>IFERROR(VLOOKUP(N423,TD!$B$50:$F$54,4,0)," ")</f>
        <v>20240255</v>
      </c>
      <c r="X423" s="159">
        <v>16</v>
      </c>
      <c r="Y423" s="160" t="str">
        <f>IFERROR(VLOOKUP(X423,TD!$J$51:$K$64,2,0)," ")</f>
        <v>Servicio de monitoreo y seguimiento para la gestión del riesgo</v>
      </c>
      <c r="Z423" s="161" t="str">
        <f>CONCATENATE(X423,"-",Y423)</f>
        <v>16-Servicio de monitoreo y seguimiento para la gestión del riesgo</v>
      </c>
      <c r="AA423" s="159" t="s">
        <v>224</v>
      </c>
      <c r="AB423" s="160" t="str">
        <f>IFERROR(VLOOKUP(AA423,TD!$N$51:$O$66,2,0)," ")</f>
        <v>Servicio de monitoreo y seguimiento para la gestión del riesgo</v>
      </c>
      <c r="AC423" s="161" t="str">
        <f>CONCATENATE(AA423,"_",AB423)</f>
        <v>018_Servicio de monitoreo y seguimiento para la gestión del riesgo</v>
      </c>
      <c r="AD423" s="161" t="str">
        <f>CONCATENATE(Z423," ",AC423)</f>
        <v>16-Servicio de monitoreo y seguimiento para la gestión del riesgo 018_Servicio de monitoreo y seguimiento para la gestión del riesgo</v>
      </c>
      <c r="AE423" s="160" t="str">
        <f>CONCATENATE(U423,V423,W423,X423,AA423)</f>
        <v>O23011745032024025516018</v>
      </c>
      <c r="AF423" s="160" t="str">
        <f>IFERROR(VLOOKUP(AD423,TD!$J$66:$K$89,2,0)," ")</f>
        <v>PM/0131/0116/45030180255</v>
      </c>
      <c r="AG423" s="118" t="s">
        <v>385</v>
      </c>
      <c r="AH423" s="159" t="s">
        <v>193</v>
      </c>
      <c r="AI423" s="162" t="str">
        <f>CONCATENATE(PAA[[#This Row],[Id Interno]],"-",PAA[[#This Row],[tipo de Contrato (TH talento humano - B/S bienes y/o servicios)]],"-",S423,"-",T423,"-",PAA[[#This Row],[Objeto de la contratación]])</f>
        <v>20260383-TH-8173-5-Prestar  servicios profesionales  liderando las actividades de proyeccion e innovacion para la Subdirección de Gestión del Riesgo._SGR</v>
      </c>
    </row>
    <row r="424" spans="2:35" ht="56" x14ac:dyDescent="0.35">
      <c r="B424" s="23">
        <v>20260384</v>
      </c>
      <c r="C424" s="99" t="s">
        <v>570</v>
      </c>
      <c r="D424" s="23" t="s">
        <v>105</v>
      </c>
      <c r="E424" s="23" t="s">
        <v>363</v>
      </c>
      <c r="F424" s="156" t="s">
        <v>144</v>
      </c>
      <c r="G424" s="157" t="s">
        <v>373</v>
      </c>
      <c r="H424" s="158">
        <v>10</v>
      </c>
      <c r="I424" s="158">
        <v>0</v>
      </c>
      <c r="J424" s="127">
        <v>80000000</v>
      </c>
      <c r="K424" s="88" t="s">
        <v>398</v>
      </c>
      <c r="L424" s="156" t="s">
        <v>156</v>
      </c>
      <c r="M424" s="159" t="s">
        <v>513</v>
      </c>
      <c r="N424" s="23" t="s">
        <v>198</v>
      </c>
      <c r="O424" s="151" t="s">
        <v>964</v>
      </c>
      <c r="P424" s="156" t="s">
        <v>348</v>
      </c>
      <c r="Q424" s="100">
        <v>80111600</v>
      </c>
      <c r="R424" s="159" t="s">
        <v>214</v>
      </c>
      <c r="S424" s="159" t="str">
        <f>MID(PAA[[#This Row],[Meta Proyecto de Inversión]],1,4)</f>
        <v>8173</v>
      </c>
      <c r="T424" s="159" t="str">
        <f>MID(PAA[[#This Row],[Meta Proyecto de Inversión]],6,1)</f>
        <v>5</v>
      </c>
      <c r="U424" s="160" t="str">
        <f>IFERROR(VLOOKUP(N424,TD!$B$50:$F$54,2,0)," ")</f>
        <v>O230117</v>
      </c>
      <c r="V424" s="160" t="str">
        <f>IFERROR(VLOOKUP(N424,TD!$B$50:$F$54,3,0)," ")</f>
        <v>4503</v>
      </c>
      <c r="W424" s="160">
        <f>IFERROR(VLOOKUP(N424,TD!$B$50:$F$54,4,0)," ")</f>
        <v>20240255</v>
      </c>
      <c r="X424" s="159">
        <v>16</v>
      </c>
      <c r="Y424" s="160" t="str">
        <f>IFERROR(VLOOKUP(X424,TD!$J$51:$K$64,2,0)," ")</f>
        <v>Servicio de monitoreo y seguimiento para la gestión del riesgo</v>
      </c>
      <c r="Z424" s="161" t="str">
        <f>CONCATENATE(X424,"-",Y424)</f>
        <v>16-Servicio de monitoreo y seguimiento para la gestión del riesgo</v>
      </c>
      <c r="AA424" s="159" t="s">
        <v>224</v>
      </c>
      <c r="AB424" s="160" t="str">
        <f>IFERROR(VLOOKUP(AA424,TD!$N$51:$O$66,2,0)," ")</f>
        <v>Servicio de monitoreo y seguimiento para la gestión del riesgo</v>
      </c>
      <c r="AC424" s="161" t="str">
        <f>CONCATENATE(AA424,"_",AB424)</f>
        <v>018_Servicio de monitoreo y seguimiento para la gestión del riesgo</v>
      </c>
      <c r="AD424" s="161" t="str">
        <f>CONCATENATE(Z424," ",AC424)</f>
        <v>16-Servicio de monitoreo y seguimiento para la gestión del riesgo 018_Servicio de monitoreo y seguimiento para la gestión del riesgo</v>
      </c>
      <c r="AE424" s="160" t="str">
        <f>CONCATENATE(U424,V424,W424,X424,AA424)</f>
        <v>O23011745032024025516018</v>
      </c>
      <c r="AF424" s="160" t="str">
        <f>IFERROR(VLOOKUP(AD424,TD!$J$66:$K$89,2,0)," ")</f>
        <v>PM/0131/0116/45030180255</v>
      </c>
      <c r="AG424" s="118" t="s">
        <v>385</v>
      </c>
      <c r="AH424" s="159" t="s">
        <v>193</v>
      </c>
      <c r="AI424" s="162" t="str">
        <f>CONCATENATE(PAA[[#This Row],[Id Interno]],"-",PAA[[#This Row],[tipo de Contrato (TH talento humano - B/S bienes y/o servicios)]],"-",S424,"-",T424,"-",PAA[[#This Row],[Objeto de la contratación]])</f>
        <v>20260384-TH-8173-5-Prestar  servicios profesionales  en las actividades de proyeccion e innovacion para la Subdirección de Gestión del Riesgo._SGR</v>
      </c>
    </row>
    <row r="425" spans="2:35" ht="56" x14ac:dyDescent="0.35">
      <c r="B425" s="23">
        <v>20260385</v>
      </c>
      <c r="C425" s="99" t="s">
        <v>570</v>
      </c>
      <c r="D425" s="23" t="s">
        <v>105</v>
      </c>
      <c r="E425" s="23" t="s">
        <v>363</v>
      </c>
      <c r="F425" s="156" t="s">
        <v>144</v>
      </c>
      <c r="G425" s="157" t="s">
        <v>373</v>
      </c>
      <c r="H425" s="158">
        <v>8</v>
      </c>
      <c r="I425" s="158">
        <v>0</v>
      </c>
      <c r="J425" s="127">
        <v>48000000</v>
      </c>
      <c r="K425" s="88" t="s">
        <v>398</v>
      </c>
      <c r="L425" s="156" t="s">
        <v>156</v>
      </c>
      <c r="M425" s="159" t="s">
        <v>513</v>
      </c>
      <c r="N425" s="23" t="s">
        <v>198</v>
      </c>
      <c r="O425" s="151" t="s">
        <v>964</v>
      </c>
      <c r="P425" s="156" t="s">
        <v>348</v>
      </c>
      <c r="Q425" s="100">
        <v>80111600</v>
      </c>
      <c r="R425" s="159" t="s">
        <v>214</v>
      </c>
      <c r="S425" s="159" t="str">
        <f>MID(PAA[[#This Row],[Meta Proyecto de Inversión]],1,4)</f>
        <v>8173</v>
      </c>
      <c r="T425" s="159" t="str">
        <f>MID(PAA[[#This Row],[Meta Proyecto de Inversión]],6,1)</f>
        <v>5</v>
      </c>
      <c r="U425" s="160" t="str">
        <f>IFERROR(VLOOKUP(N425,TD!$B$50:$F$54,2,0)," ")</f>
        <v>O230117</v>
      </c>
      <c r="V425" s="160" t="str">
        <f>IFERROR(VLOOKUP(N425,TD!$B$50:$F$54,3,0)," ")</f>
        <v>4503</v>
      </c>
      <c r="W425" s="160">
        <f>IFERROR(VLOOKUP(N425,TD!$B$50:$F$54,4,0)," ")</f>
        <v>20240255</v>
      </c>
      <c r="X425" s="159">
        <v>16</v>
      </c>
      <c r="Y425" s="160" t="str">
        <f>IFERROR(VLOOKUP(X425,TD!$J$51:$K$64,2,0)," ")</f>
        <v>Servicio de monitoreo y seguimiento para la gestión del riesgo</v>
      </c>
      <c r="Z425" s="161" t="str">
        <f>CONCATENATE(X425,"-",Y425)</f>
        <v>16-Servicio de monitoreo y seguimiento para la gestión del riesgo</v>
      </c>
      <c r="AA425" s="159" t="s">
        <v>224</v>
      </c>
      <c r="AB425" s="160" t="str">
        <f>IFERROR(VLOOKUP(AA425,TD!$N$51:$O$66,2,0)," ")</f>
        <v>Servicio de monitoreo y seguimiento para la gestión del riesgo</v>
      </c>
      <c r="AC425" s="161" t="str">
        <f>CONCATENATE(AA425,"_",AB425)</f>
        <v>018_Servicio de monitoreo y seguimiento para la gestión del riesgo</v>
      </c>
      <c r="AD425" s="161" t="str">
        <f>CONCATENATE(Z425," ",AC425)</f>
        <v>16-Servicio de monitoreo y seguimiento para la gestión del riesgo 018_Servicio de monitoreo y seguimiento para la gestión del riesgo</v>
      </c>
      <c r="AE425" s="160" t="str">
        <f>CONCATENATE(U425,V425,W425,X425,AA425)</f>
        <v>O23011745032024025516018</v>
      </c>
      <c r="AF425" s="160" t="str">
        <f>IFERROR(VLOOKUP(AD425,TD!$J$66:$K$89,2,0)," ")</f>
        <v>PM/0131/0116/45030180255</v>
      </c>
      <c r="AG425" s="118" t="s">
        <v>385</v>
      </c>
      <c r="AH425" s="159" t="s">
        <v>193</v>
      </c>
      <c r="AI425" s="162" t="str">
        <f>CONCATENATE(PAA[[#This Row],[Id Interno]],"-",PAA[[#This Row],[tipo de Contrato (TH talento humano - B/S bienes y/o servicios)]],"-",S425,"-",T425,"-",PAA[[#This Row],[Objeto de la contratación]])</f>
        <v>20260385-TH-8173-5-Prestar  servicios profesionales  en las actividades de proyeccion e innovacion para la Subdirección de Gestión del Riesgo._SGR</v>
      </c>
    </row>
    <row r="426" spans="2:35" ht="56" x14ac:dyDescent="0.35">
      <c r="B426" s="23">
        <v>20260386</v>
      </c>
      <c r="C426" s="99" t="s">
        <v>570</v>
      </c>
      <c r="D426" s="23" t="s">
        <v>105</v>
      </c>
      <c r="E426" s="23" t="s">
        <v>363</v>
      </c>
      <c r="F426" s="156" t="s">
        <v>144</v>
      </c>
      <c r="G426" s="157" t="s">
        <v>373</v>
      </c>
      <c r="H426" s="158">
        <v>6</v>
      </c>
      <c r="I426" s="158">
        <v>0</v>
      </c>
      <c r="J426" s="127">
        <v>54000000</v>
      </c>
      <c r="K426" s="88" t="s">
        <v>398</v>
      </c>
      <c r="L426" s="156" t="s">
        <v>156</v>
      </c>
      <c r="M426" s="159" t="s">
        <v>513</v>
      </c>
      <c r="N426" s="23" t="s">
        <v>198</v>
      </c>
      <c r="O426" s="151" t="s">
        <v>964</v>
      </c>
      <c r="P426" s="156" t="s">
        <v>348</v>
      </c>
      <c r="Q426" s="100">
        <v>80111600</v>
      </c>
      <c r="R426" s="159" t="s">
        <v>214</v>
      </c>
      <c r="S426" s="159" t="str">
        <f>MID(PAA[[#This Row],[Meta Proyecto de Inversión]],1,4)</f>
        <v>8173</v>
      </c>
      <c r="T426" s="159" t="str">
        <f>MID(PAA[[#This Row],[Meta Proyecto de Inversión]],6,1)</f>
        <v>5</v>
      </c>
      <c r="U426" s="160" t="str">
        <f>IFERROR(VLOOKUP(N426,TD!$B$50:$F$54,2,0)," ")</f>
        <v>O230117</v>
      </c>
      <c r="V426" s="160" t="str">
        <f>IFERROR(VLOOKUP(N426,TD!$B$50:$F$54,3,0)," ")</f>
        <v>4503</v>
      </c>
      <c r="W426" s="160">
        <f>IFERROR(VLOOKUP(N426,TD!$B$50:$F$54,4,0)," ")</f>
        <v>20240255</v>
      </c>
      <c r="X426" s="159">
        <v>16</v>
      </c>
      <c r="Y426" s="160" t="str">
        <f>IFERROR(VLOOKUP(X426,TD!$J$51:$K$64,2,0)," ")</f>
        <v>Servicio de monitoreo y seguimiento para la gestión del riesgo</v>
      </c>
      <c r="Z426" s="161" t="str">
        <f>CONCATENATE(X426,"-",Y426)</f>
        <v>16-Servicio de monitoreo y seguimiento para la gestión del riesgo</v>
      </c>
      <c r="AA426" s="159" t="s">
        <v>224</v>
      </c>
      <c r="AB426" s="160" t="str">
        <f>IFERROR(VLOOKUP(AA426,TD!$N$51:$O$66,2,0)," ")</f>
        <v>Servicio de monitoreo y seguimiento para la gestión del riesgo</v>
      </c>
      <c r="AC426" s="161" t="str">
        <f>CONCATENATE(AA426,"_",AB426)</f>
        <v>018_Servicio de monitoreo y seguimiento para la gestión del riesgo</v>
      </c>
      <c r="AD426" s="161" t="str">
        <f>CONCATENATE(Z426," ",AC426)</f>
        <v>16-Servicio de monitoreo y seguimiento para la gestión del riesgo 018_Servicio de monitoreo y seguimiento para la gestión del riesgo</v>
      </c>
      <c r="AE426" s="160" t="str">
        <f>CONCATENATE(U426,V426,W426,X426,AA426)</f>
        <v>O23011745032024025516018</v>
      </c>
      <c r="AF426" s="160" t="str">
        <f>IFERROR(VLOOKUP(AD426,TD!$J$66:$K$89,2,0)," ")</f>
        <v>PM/0131/0116/45030180255</v>
      </c>
      <c r="AG426" s="118" t="s">
        <v>385</v>
      </c>
      <c r="AH426" s="159" t="s">
        <v>193</v>
      </c>
      <c r="AI426" s="162" t="str">
        <f>CONCATENATE(PAA[[#This Row],[Id Interno]],"-",PAA[[#This Row],[tipo de Contrato (TH talento humano - B/S bienes y/o servicios)]],"-",S426,"-",T426,"-",PAA[[#This Row],[Objeto de la contratación]])</f>
        <v>20260386-TH-8173-5-Prestar  servicios profesionales  en las actividades de proyeccion e innovacion para la Subdirección de Gestión del Riesgo._SGR</v>
      </c>
    </row>
    <row r="427" spans="2:35" ht="56" x14ac:dyDescent="0.35">
      <c r="B427" s="23">
        <v>20260387</v>
      </c>
      <c r="C427" s="99" t="s">
        <v>496</v>
      </c>
      <c r="D427" s="23" t="s">
        <v>120</v>
      </c>
      <c r="E427" s="23" t="s">
        <v>402</v>
      </c>
      <c r="F427" s="156" t="s">
        <v>124</v>
      </c>
      <c r="G427" s="157" t="s">
        <v>987</v>
      </c>
      <c r="H427" s="158">
        <v>8</v>
      </c>
      <c r="I427" s="158">
        <v>0</v>
      </c>
      <c r="J427" s="127">
        <v>817611040</v>
      </c>
      <c r="K427" s="88" t="s">
        <v>398</v>
      </c>
      <c r="L427" s="156" t="s">
        <v>156</v>
      </c>
      <c r="M427" s="159" t="s">
        <v>513</v>
      </c>
      <c r="N427" s="23" t="s">
        <v>198</v>
      </c>
      <c r="O427" s="151" t="s">
        <v>964</v>
      </c>
      <c r="P427" s="156" t="s">
        <v>348</v>
      </c>
      <c r="Q427" s="100" t="s">
        <v>541</v>
      </c>
      <c r="R427" s="159" t="s">
        <v>210</v>
      </c>
      <c r="S427" s="159" t="str">
        <f>MID(PAA[[#This Row],[Meta Proyecto de Inversión]],1,4)</f>
        <v>8173</v>
      </c>
      <c r="T427" s="159" t="str">
        <f>MID(PAA[[#This Row],[Meta Proyecto de Inversión]],6,1)</f>
        <v>1</v>
      </c>
      <c r="U427" s="160" t="str">
        <f>IFERROR(VLOOKUP(N427,TD!$B$50:$F$54,2,0)," ")</f>
        <v>O230117</v>
      </c>
      <c r="V427" s="160" t="str">
        <f>IFERROR(VLOOKUP(N427,TD!$B$50:$F$54,3,0)," ")</f>
        <v>4503</v>
      </c>
      <c r="W427" s="160">
        <f>IFERROR(VLOOKUP(N427,TD!$B$50:$F$54,4,0)," ")</f>
        <v>20240255</v>
      </c>
      <c r="X427" s="159" t="s">
        <v>166</v>
      </c>
      <c r="Y427" s="160" t="str">
        <f>IFERROR(VLOOKUP(X427,TD!$J$51:$K$64,2,0)," ")</f>
        <v>Servicio de capacitaciones en gestión del riesgo de incendios  a la ciudadania.</v>
      </c>
      <c r="Z427" s="161" t="str">
        <f>CONCATENATE(X427,"-",Y427)</f>
        <v>05-Servicio de capacitaciones en gestión del riesgo de incendios  a la ciudadania.</v>
      </c>
      <c r="AA427" s="159" t="s">
        <v>223</v>
      </c>
      <c r="AB427" s="160" t="str">
        <f>IFERROR(VLOOKUP(AA427,TD!$N$51:$O$66,2,0)," ")</f>
        <v>Servicio prevención y control de incendios</v>
      </c>
      <c r="AC427" s="161" t="str">
        <f>CONCATENATE(AA427,"_",AB427)</f>
        <v>035_Servicio prevención y control de incendios</v>
      </c>
      <c r="AD427" s="161" t="str">
        <f>CONCATENATE(Z427," ",AC427)</f>
        <v>05-Servicio de capacitaciones en gestión del riesgo de incendios  a la ciudadania. 035_Servicio prevención y control de incendios</v>
      </c>
      <c r="AE427" s="160" t="str">
        <f>CONCATENATE(U427,V427,W427,X427,AA427)</f>
        <v>O23011745032024025505035</v>
      </c>
      <c r="AF427" s="160" t="str">
        <f>IFERROR(VLOOKUP(AD427,TD!$J$66:$K$89,2,0)," ")</f>
        <v>PM/0131/0105/45030350255</v>
      </c>
      <c r="AG427" s="118" t="s">
        <v>572</v>
      </c>
      <c r="AH427" s="159" t="s">
        <v>193</v>
      </c>
      <c r="AI427" s="162" t="str">
        <f>CONCATENATE(PAA[[#This Row],[Id Interno]],"-",PAA[[#This Row],[tipo de Contrato (TH talento humano - B/S bienes y/o servicios)]],"-",S427,"-",T427,"-",PAA[[#This Row],[Objeto de la contratación]])</f>
        <v>20260387-BS-8173-1-Contratar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428" spans="2:35" ht="56" x14ac:dyDescent="0.35">
      <c r="B428" s="23">
        <v>20260388</v>
      </c>
      <c r="C428" s="99" t="s">
        <v>542</v>
      </c>
      <c r="D428" s="23" t="s">
        <v>101</v>
      </c>
      <c r="E428" s="23" t="s">
        <v>402</v>
      </c>
      <c r="F428" s="156" t="s">
        <v>101</v>
      </c>
      <c r="G428" s="157" t="s">
        <v>375</v>
      </c>
      <c r="H428" s="158">
        <v>3</v>
      </c>
      <c r="I428" s="158">
        <v>0</v>
      </c>
      <c r="J428" s="127">
        <v>50000000</v>
      </c>
      <c r="K428" s="88" t="s">
        <v>398</v>
      </c>
      <c r="L428" s="156" t="s">
        <v>156</v>
      </c>
      <c r="M428" s="159" t="s">
        <v>513</v>
      </c>
      <c r="N428" s="23" t="s">
        <v>198</v>
      </c>
      <c r="O428" s="151" t="s">
        <v>964</v>
      </c>
      <c r="P428" s="156" t="s">
        <v>348</v>
      </c>
      <c r="Q428" s="100" t="s">
        <v>543</v>
      </c>
      <c r="R428" s="159" t="s">
        <v>210</v>
      </c>
      <c r="S428" s="159" t="str">
        <f>MID(PAA[[#This Row],[Meta Proyecto de Inversión]],1,4)</f>
        <v>8173</v>
      </c>
      <c r="T428" s="159" t="str">
        <f>MID(PAA[[#This Row],[Meta Proyecto de Inversión]],6,1)</f>
        <v>1</v>
      </c>
      <c r="U428" s="160" t="str">
        <f>IFERROR(VLOOKUP(N428,TD!$B$50:$F$54,2,0)," ")</f>
        <v>O230117</v>
      </c>
      <c r="V428" s="160" t="str">
        <f>IFERROR(VLOOKUP(N428,TD!$B$50:$F$54,3,0)," ")</f>
        <v>4503</v>
      </c>
      <c r="W428" s="160">
        <f>IFERROR(VLOOKUP(N428,TD!$B$50:$F$54,4,0)," ")</f>
        <v>20240255</v>
      </c>
      <c r="X428" s="159" t="s">
        <v>166</v>
      </c>
      <c r="Y428" s="160" t="str">
        <f>IFERROR(VLOOKUP(X428,TD!$J$51:$K$64,2,0)," ")</f>
        <v>Servicio de capacitaciones en gestión del riesgo de incendios  a la ciudadania.</v>
      </c>
      <c r="Z428" s="161" t="str">
        <f>CONCATENATE(X428,"-",Y428)</f>
        <v>05-Servicio de capacitaciones en gestión del riesgo de incendios  a la ciudadania.</v>
      </c>
      <c r="AA428" s="159" t="s">
        <v>223</v>
      </c>
      <c r="AB428" s="160" t="str">
        <f>IFERROR(VLOOKUP(AA428,TD!$N$51:$O$66,2,0)," ")</f>
        <v>Servicio prevención y control de incendios</v>
      </c>
      <c r="AC428" s="161" t="str">
        <f>CONCATENATE(AA428,"_",AB428)</f>
        <v>035_Servicio prevención y control de incendios</v>
      </c>
      <c r="AD428" s="161" t="str">
        <f>CONCATENATE(Z428," ",AC428)</f>
        <v>05-Servicio de capacitaciones en gestión del riesgo de incendios  a la ciudadania. 035_Servicio prevención y control de incendios</v>
      </c>
      <c r="AE428" s="160" t="str">
        <f>CONCATENATE(U428,V428,W428,X428,AA428)</f>
        <v>O23011745032024025505035</v>
      </c>
      <c r="AF428" s="160" t="str">
        <f>IFERROR(VLOOKUP(AD428,TD!$J$66:$K$89,2,0)," ")</f>
        <v>PM/0131/0105/45030350255</v>
      </c>
      <c r="AG428" s="118" t="s">
        <v>571</v>
      </c>
      <c r="AH428" s="159" t="s">
        <v>193</v>
      </c>
      <c r="AI428" s="162" t="str">
        <f>CONCATENATE(PAA[[#This Row],[Id Interno]],"-",PAA[[#This Row],[tipo de Contrato (TH talento humano - B/S bienes y/o servicios)]],"-",S428,"-",T428,"-",PAA[[#This Row],[Objeto de la contratación]])</f>
        <v>20260388-BS-8173-1-Adquisición de suministros y elementos de identificación institucional para el fortalecimiento de los procesos misionales de la Subdirección de Gestión del Riesgo_SGR</v>
      </c>
    </row>
    <row r="429" spans="2:35" ht="56" x14ac:dyDescent="0.35">
      <c r="B429" s="23">
        <v>20260390</v>
      </c>
      <c r="C429" s="99" t="s">
        <v>545</v>
      </c>
      <c r="D429" s="23" t="s">
        <v>101</v>
      </c>
      <c r="E429" s="23" t="s">
        <v>402</v>
      </c>
      <c r="F429" s="156" t="s">
        <v>111</v>
      </c>
      <c r="G429" s="157" t="s">
        <v>375</v>
      </c>
      <c r="H429" s="158">
        <v>3</v>
      </c>
      <c r="I429" s="158">
        <v>0</v>
      </c>
      <c r="J429" s="127">
        <v>50000000</v>
      </c>
      <c r="K429" s="88" t="s">
        <v>398</v>
      </c>
      <c r="L429" s="156" t="s">
        <v>156</v>
      </c>
      <c r="M429" s="159" t="s">
        <v>513</v>
      </c>
      <c r="N429" s="23" t="s">
        <v>198</v>
      </c>
      <c r="O429" s="151" t="s">
        <v>964</v>
      </c>
      <c r="P429" s="156" t="s">
        <v>348</v>
      </c>
      <c r="Q429" s="100">
        <v>14111500</v>
      </c>
      <c r="R429" s="159" t="s">
        <v>210</v>
      </c>
      <c r="S429" s="159" t="str">
        <f>MID(PAA[[#This Row],[Meta Proyecto de Inversión]],1,4)</f>
        <v>8173</v>
      </c>
      <c r="T429" s="159" t="str">
        <f>MID(PAA[[#This Row],[Meta Proyecto de Inversión]],6,1)</f>
        <v>1</v>
      </c>
      <c r="U429" s="160" t="str">
        <f>IFERROR(VLOOKUP(N429,TD!$B$50:$F$54,2,0)," ")</f>
        <v>O230117</v>
      </c>
      <c r="V429" s="160" t="str">
        <f>IFERROR(VLOOKUP(N429,TD!$B$50:$F$54,3,0)," ")</f>
        <v>4503</v>
      </c>
      <c r="W429" s="160">
        <f>IFERROR(VLOOKUP(N429,TD!$B$50:$F$54,4,0)," ")</f>
        <v>20240255</v>
      </c>
      <c r="X429" s="159" t="s">
        <v>166</v>
      </c>
      <c r="Y429" s="160" t="str">
        <f>IFERROR(VLOOKUP(X429,TD!$J$51:$K$64,2,0)," ")</f>
        <v>Servicio de capacitaciones en gestión del riesgo de incendios  a la ciudadania.</v>
      </c>
      <c r="Z429" s="161" t="str">
        <f>CONCATENATE(X429,"-",Y429)</f>
        <v>05-Servicio de capacitaciones en gestión del riesgo de incendios  a la ciudadania.</v>
      </c>
      <c r="AA429" s="159" t="s">
        <v>223</v>
      </c>
      <c r="AB429" s="160" t="str">
        <f>IFERROR(VLOOKUP(AA429,TD!$N$51:$O$66,2,0)," ")</f>
        <v>Servicio prevención y control de incendios</v>
      </c>
      <c r="AC429" s="161" t="str">
        <f>CONCATENATE(AA429,"_",AB429)</f>
        <v>035_Servicio prevención y control de incendios</v>
      </c>
      <c r="AD429" s="161" t="str">
        <f>CONCATENATE(Z429," ",AC429)</f>
        <v>05-Servicio de capacitaciones en gestión del riesgo de incendios  a la ciudadania. 035_Servicio prevención y control de incendios</v>
      </c>
      <c r="AE429" s="160" t="str">
        <f>CONCATENATE(U429,V429,W429,X429,AA429)</f>
        <v>O23011745032024025505035</v>
      </c>
      <c r="AF429" s="160" t="str">
        <f>IFERROR(VLOOKUP(AD429,TD!$J$66:$K$89,2,0)," ")</f>
        <v>PM/0131/0105/45030350255</v>
      </c>
      <c r="AG429" s="118" t="s">
        <v>582</v>
      </c>
      <c r="AH429" s="159" t="s">
        <v>193</v>
      </c>
      <c r="AI429" s="162" t="str">
        <f>CONCATENATE(PAA[[#This Row],[Id Interno]],"-",PAA[[#This Row],[tipo de Contrato (TH talento humano - B/S bienes y/o servicios)]],"-",S429,"-",T429,"-",PAA[[#This Row],[Objeto de la contratación]])</f>
        <v>20260390-BS-8173-1-Adquisición de insumos y materias primas para la producción de materiales impresos en artes gráficas_ SGR.</v>
      </c>
    </row>
    <row r="430" spans="2:35" ht="56" x14ac:dyDescent="0.35">
      <c r="B430" s="23">
        <v>20260391</v>
      </c>
      <c r="C430" s="99" t="s">
        <v>589</v>
      </c>
      <c r="D430" s="23" t="s">
        <v>101</v>
      </c>
      <c r="E430" s="23" t="s">
        <v>402</v>
      </c>
      <c r="F430" s="156" t="s">
        <v>101</v>
      </c>
      <c r="G430" s="157" t="s">
        <v>375</v>
      </c>
      <c r="H430" s="158">
        <v>3</v>
      </c>
      <c r="I430" s="158">
        <v>0</v>
      </c>
      <c r="J430" s="127">
        <v>50000000</v>
      </c>
      <c r="K430" s="88" t="s">
        <v>398</v>
      </c>
      <c r="L430" s="156" t="s">
        <v>156</v>
      </c>
      <c r="M430" s="159" t="s">
        <v>513</v>
      </c>
      <c r="N430" s="23" t="s">
        <v>198</v>
      </c>
      <c r="O430" s="151" t="s">
        <v>964</v>
      </c>
      <c r="P430" s="156" t="s">
        <v>348</v>
      </c>
      <c r="Q430" s="100" t="s">
        <v>546</v>
      </c>
      <c r="R430" s="159" t="s">
        <v>210</v>
      </c>
      <c r="S430" s="159" t="str">
        <f>MID(PAA[[#This Row],[Meta Proyecto de Inversión]],1,4)</f>
        <v>8173</v>
      </c>
      <c r="T430" s="159" t="str">
        <f>MID(PAA[[#This Row],[Meta Proyecto de Inversión]],6,1)</f>
        <v>1</v>
      </c>
      <c r="U430" s="160" t="str">
        <f>IFERROR(VLOOKUP(N430,TD!$B$50:$F$54,2,0)," ")</f>
        <v>O230117</v>
      </c>
      <c r="V430" s="160" t="str">
        <f>IFERROR(VLOOKUP(N430,TD!$B$50:$F$54,3,0)," ")</f>
        <v>4503</v>
      </c>
      <c r="W430" s="160">
        <f>IFERROR(VLOOKUP(N430,TD!$B$50:$F$54,4,0)," ")</f>
        <v>20240255</v>
      </c>
      <c r="X430" s="159" t="s">
        <v>166</v>
      </c>
      <c r="Y430" s="160" t="str">
        <f>IFERROR(VLOOKUP(X430,TD!$J$51:$K$64,2,0)," ")</f>
        <v>Servicio de capacitaciones en gestión del riesgo de incendios  a la ciudadania.</v>
      </c>
      <c r="Z430" s="161" t="str">
        <f>CONCATENATE(X430,"-",Y430)</f>
        <v>05-Servicio de capacitaciones en gestión del riesgo de incendios  a la ciudadania.</v>
      </c>
      <c r="AA430" s="159" t="s">
        <v>223</v>
      </c>
      <c r="AB430" s="160" t="str">
        <f>IFERROR(VLOOKUP(AA430,TD!$N$51:$O$66,2,0)," ")</f>
        <v>Servicio prevención y control de incendios</v>
      </c>
      <c r="AC430" s="161" t="str">
        <f>CONCATENATE(AA430,"_",AB430)</f>
        <v>035_Servicio prevención y control de incendios</v>
      </c>
      <c r="AD430" s="161" t="str">
        <f>CONCATENATE(Z430," ",AC430)</f>
        <v>05-Servicio de capacitaciones en gestión del riesgo de incendios  a la ciudadania. 035_Servicio prevención y control de incendios</v>
      </c>
      <c r="AE430" s="160" t="str">
        <f>CONCATENATE(U430,V430,W430,X430,AA430)</f>
        <v>O23011745032024025505035</v>
      </c>
      <c r="AF430" s="160" t="str">
        <f>IFERROR(VLOOKUP(AD430,TD!$J$66:$K$89,2,0)," ")</f>
        <v>PM/0131/0105/45030350255</v>
      </c>
      <c r="AG430" s="118" t="s">
        <v>80</v>
      </c>
      <c r="AH430" s="159" t="s">
        <v>193</v>
      </c>
      <c r="AI430" s="162" t="str">
        <f>CONCATENATE(PAA[[#This Row],[Id Interno]],"-",PAA[[#This Row],[tipo de Contrato (TH talento humano - B/S bienes y/o servicios)]],"-",S430,"-",T430,"-",PAA[[#This Row],[Objeto de la contratación]])</f>
        <v>20260391-BS-8173-1-Adquisición de elementos y equipos necesarios para fortalecer las capacidades técnicas y operativas de los equipos especializados de la subdirecion de gestion del riesgo_SGR.</v>
      </c>
    </row>
    <row r="431" spans="2:35" ht="56" x14ac:dyDescent="0.35">
      <c r="B431" s="23">
        <v>20260392</v>
      </c>
      <c r="C431" s="99" t="s">
        <v>681</v>
      </c>
      <c r="D431" s="23" t="s">
        <v>78</v>
      </c>
      <c r="E431" s="23" t="s">
        <v>402</v>
      </c>
      <c r="F431" s="156" t="s">
        <v>89</v>
      </c>
      <c r="G431" s="157" t="s">
        <v>373</v>
      </c>
      <c r="H431" s="158">
        <v>12</v>
      </c>
      <c r="I431" s="158">
        <v>0</v>
      </c>
      <c r="J431" s="127">
        <v>1447882000</v>
      </c>
      <c r="K431" s="88" t="s">
        <v>397</v>
      </c>
      <c r="L431" s="156" t="s">
        <v>155</v>
      </c>
      <c r="M431" s="159" t="s">
        <v>422</v>
      </c>
      <c r="N431" s="23" t="s">
        <v>197</v>
      </c>
      <c r="O431" s="151" t="s">
        <v>963</v>
      </c>
      <c r="P431" s="156" t="s">
        <v>348</v>
      </c>
      <c r="Q431" s="100" t="s">
        <v>780</v>
      </c>
      <c r="R431" s="159" t="s">
        <v>207</v>
      </c>
      <c r="S431" s="159" t="str">
        <f>MID(PAA[[#This Row],[Meta Proyecto de Inversión]],1,4)</f>
        <v>8126</v>
      </c>
      <c r="T431" s="159" t="str">
        <f>MID(PAA[[#This Row],[Meta Proyecto de Inversión]],6,1)</f>
        <v>8</v>
      </c>
      <c r="U431" s="160" t="str">
        <f>IFERROR(VLOOKUP(N431,TD!$B$50:$F$54,2,0)," ")</f>
        <v>O230117</v>
      </c>
      <c r="V431" s="160" t="str">
        <f>IFERROR(VLOOKUP(N431,TD!$B$50:$F$54,3,0)," ")</f>
        <v>4599</v>
      </c>
      <c r="W431" s="160">
        <f>IFERROR(VLOOKUP(N431,TD!$B$50:$F$54,4,0)," ")</f>
        <v>20240207</v>
      </c>
      <c r="X431" s="159" t="s">
        <v>174</v>
      </c>
      <c r="Y431" s="160" t="str">
        <f>IFERROR(VLOOKUP(X431,TD!$J$51:$K$64,2,0)," ")</f>
        <v>Infraestructura física, mantenimiento y dotación (Sedes construidas, mantenidas reforzadas)</v>
      </c>
      <c r="Z431" s="161" t="str">
        <f>CONCATENATE(X431,"-",Y431)</f>
        <v>08-Infraestructura física, mantenimiento y dotación (Sedes construidas, mantenidas reforzadas)</v>
      </c>
      <c r="AA431" s="159" t="s">
        <v>227</v>
      </c>
      <c r="AB431" s="160" t="str">
        <f>IFERROR(VLOOKUP(AA431,TD!$N$51:$O$66,2,0)," ")</f>
        <v>Sedes mantenidas</v>
      </c>
      <c r="AC431" s="161" t="str">
        <f>CONCATENATE(AA431,"_",AB431)</f>
        <v>016_Sedes mantenidas</v>
      </c>
      <c r="AD431" s="161" t="str">
        <f>CONCATENATE(Z431," ",AC431)</f>
        <v>08-Infraestructura física, mantenimiento y dotación (Sedes construidas, mantenidas reforzadas) 016_Sedes mantenidas</v>
      </c>
      <c r="AE431" s="160" t="str">
        <f>CONCATENATE(U431,V431,W431,X431,AA431)</f>
        <v>O23011745992024020708016</v>
      </c>
      <c r="AF431" s="160" t="str">
        <f>IFERROR(VLOOKUP(AD431,TD!$J$66:$K$89,2,0)," ")</f>
        <v>PM/0131/0108/45990160207</v>
      </c>
      <c r="AG431" s="118" t="s">
        <v>132</v>
      </c>
      <c r="AH431" s="159" t="s">
        <v>193</v>
      </c>
      <c r="AI431" s="162" t="str">
        <f>CONCATENATE(PAA[[#This Row],[Id Interno]],"-",PAA[[#This Row],[tipo de Contrato (TH talento humano - B/S bienes y/o servicios)]],"-",S431,"-",T431,"-",PAA[[#This Row],[Objeto de la contratación]])</f>
        <v>20260392-BS-8126-8-Prestar el servicio de vigilancia y seguridad privada en la modalidad de vigilancia fija, según especificaciones técnicas, en las instalaciones donde la UAE Especial Cuerpo Oficial de Bomberos requiera-SGC</v>
      </c>
    </row>
    <row r="432" spans="2:35" ht="56" x14ac:dyDescent="0.35">
      <c r="B432" s="23">
        <v>20260393</v>
      </c>
      <c r="C432" s="99" t="s">
        <v>682</v>
      </c>
      <c r="D432" s="23" t="s">
        <v>78</v>
      </c>
      <c r="E432" s="23" t="s">
        <v>402</v>
      </c>
      <c r="F432" s="156" t="s">
        <v>97</v>
      </c>
      <c r="G432" s="157" t="s">
        <v>373</v>
      </c>
      <c r="H432" s="158">
        <v>18</v>
      </c>
      <c r="I432" s="158">
        <v>0</v>
      </c>
      <c r="J432" s="127">
        <v>4336206000</v>
      </c>
      <c r="K432" s="88" t="s">
        <v>397</v>
      </c>
      <c r="L432" s="156" t="s">
        <v>155</v>
      </c>
      <c r="M432" s="159" t="s">
        <v>422</v>
      </c>
      <c r="N432" s="23" t="s">
        <v>198</v>
      </c>
      <c r="O432" s="151" t="s">
        <v>964</v>
      </c>
      <c r="P432" s="156" t="s">
        <v>573</v>
      </c>
      <c r="Q432" s="100" t="s">
        <v>781</v>
      </c>
      <c r="R432" s="159" t="s">
        <v>216</v>
      </c>
      <c r="S432" s="159" t="str">
        <f>MID(PAA[[#This Row],[Meta Proyecto de Inversión]],1,4)</f>
        <v>8173</v>
      </c>
      <c r="T432" s="159" t="str">
        <f>MID(PAA[[#This Row],[Meta Proyecto de Inversión]],6,1)</f>
        <v>7</v>
      </c>
      <c r="U432" s="160" t="str">
        <f>IFERROR(VLOOKUP(N432,TD!$B$50:$F$54,2,0)," ")</f>
        <v>O230117</v>
      </c>
      <c r="V432" s="160" t="str">
        <f>IFERROR(VLOOKUP(N432,TD!$B$50:$F$54,3,0)," ")</f>
        <v>4503</v>
      </c>
      <c r="W432" s="160">
        <f>IFERROR(VLOOKUP(N432,TD!$B$50:$F$54,4,0)," ")</f>
        <v>20240255</v>
      </c>
      <c r="X432" s="159">
        <v>14</v>
      </c>
      <c r="Y432" s="160" t="str">
        <f>IFERROR(VLOOKUP(X432,TD!$J$51:$K$64,2,0)," ")</f>
        <v xml:space="preserve">Infraestructura física misional construida mantenida y dotada </v>
      </c>
      <c r="Z432" s="161" t="str">
        <f>CONCATENATE(X432,"-",Y432)</f>
        <v xml:space="preserve">14-Infraestructura física misional construida mantenida y dotada </v>
      </c>
      <c r="AA432" s="159" t="s">
        <v>225</v>
      </c>
      <c r="AB432" s="160" t="str">
        <f>IFERROR(VLOOKUP(AA432,TD!$N$51:$O$66,2,0)," ")</f>
        <v>Estaciones de bomberos adecuadas</v>
      </c>
      <c r="AC432" s="161" t="str">
        <f>CONCATENATE(AA432,"_",AB432)</f>
        <v>014_Estaciones de bomberos adecuadas</v>
      </c>
      <c r="AD432" s="161" t="str">
        <f>CONCATENATE(Z432," ",AC432)</f>
        <v>14-Infraestructura física misional construida mantenida y dotada  014_Estaciones de bomberos adecuadas</v>
      </c>
      <c r="AE432" s="160" t="str">
        <f>CONCATENATE(U432,V432,W432,X432,AA432)</f>
        <v>O23011745032024025514014</v>
      </c>
      <c r="AF432" s="160" t="str">
        <f>IFERROR(VLOOKUP(AD432,TD!$J$66:$K$89,2,0)," ")</f>
        <v>PM/0131/0114/45030140255</v>
      </c>
      <c r="AG432" s="118" t="s">
        <v>94</v>
      </c>
      <c r="AH432" s="159" t="s">
        <v>193</v>
      </c>
      <c r="AI432" s="162" t="str">
        <f>CONCATENATE(PAA[[#This Row],[Id Interno]],"-",PAA[[#This Row],[tipo de Contrato (TH talento humano - B/S bienes y/o servicios)]],"-",S432,"-",T432,"-",PAA[[#This Row],[Objeto de la contratación]])</f>
        <v>20260393-BS-8173-7-Construcción de la estación de bomberos Caobos Salazar  B13 - de la UAE Cuerpo Oficial de Bomberos de Bogotá – SGC</v>
      </c>
    </row>
    <row r="433" spans="2:35" ht="70" x14ac:dyDescent="0.35">
      <c r="B433" s="23">
        <v>20260394</v>
      </c>
      <c r="C433" s="99" t="s">
        <v>683</v>
      </c>
      <c r="D433" s="23" t="s">
        <v>100</v>
      </c>
      <c r="E433" s="23" t="s">
        <v>402</v>
      </c>
      <c r="F433" s="156" t="s">
        <v>131</v>
      </c>
      <c r="G433" s="157" t="s">
        <v>373</v>
      </c>
      <c r="H433" s="158">
        <v>18</v>
      </c>
      <c r="I433" s="158">
        <v>0</v>
      </c>
      <c r="J433" s="127">
        <v>831592000</v>
      </c>
      <c r="K433" s="88" t="s">
        <v>397</v>
      </c>
      <c r="L433" s="156" t="s">
        <v>155</v>
      </c>
      <c r="M433" s="159" t="s">
        <v>422</v>
      </c>
      <c r="N433" s="23" t="s">
        <v>198</v>
      </c>
      <c r="O433" s="151" t="s">
        <v>964</v>
      </c>
      <c r="P433" s="156" t="s">
        <v>573</v>
      </c>
      <c r="Q433" s="100" t="s">
        <v>782</v>
      </c>
      <c r="R433" s="159" t="s">
        <v>216</v>
      </c>
      <c r="S433" s="159" t="str">
        <f>MID(PAA[[#This Row],[Meta Proyecto de Inversión]],1,4)</f>
        <v>8173</v>
      </c>
      <c r="T433" s="159" t="str">
        <f>MID(PAA[[#This Row],[Meta Proyecto de Inversión]],6,1)</f>
        <v>7</v>
      </c>
      <c r="U433" s="160" t="str">
        <f>IFERROR(VLOOKUP(N433,TD!$B$50:$F$54,2,0)," ")</f>
        <v>O230117</v>
      </c>
      <c r="V433" s="160" t="str">
        <f>IFERROR(VLOOKUP(N433,TD!$B$50:$F$54,3,0)," ")</f>
        <v>4503</v>
      </c>
      <c r="W433" s="160">
        <f>IFERROR(VLOOKUP(N433,TD!$B$50:$F$54,4,0)," ")</f>
        <v>20240255</v>
      </c>
      <c r="X433" s="159">
        <v>14</v>
      </c>
      <c r="Y433" s="160" t="str">
        <f>IFERROR(VLOOKUP(X433,TD!$J$51:$K$64,2,0)," ")</f>
        <v xml:space="preserve">Infraestructura física misional construida mantenida y dotada </v>
      </c>
      <c r="Z433" s="161" t="str">
        <f>CONCATENATE(X433,"-",Y433)</f>
        <v xml:space="preserve">14-Infraestructura física misional construida mantenida y dotada </v>
      </c>
      <c r="AA433" s="159" t="s">
        <v>225</v>
      </c>
      <c r="AB433" s="160" t="str">
        <f>IFERROR(VLOOKUP(AA433,TD!$N$51:$O$66,2,0)," ")</f>
        <v>Estaciones de bomberos adecuadas</v>
      </c>
      <c r="AC433" s="161" t="str">
        <f>CONCATENATE(AA433,"_",AB433)</f>
        <v>014_Estaciones de bomberos adecuadas</v>
      </c>
      <c r="AD433" s="161" t="str">
        <f>CONCATENATE(Z433," ",AC433)</f>
        <v>14-Infraestructura física misional construida mantenida y dotada  014_Estaciones de bomberos adecuadas</v>
      </c>
      <c r="AE433" s="160" t="str">
        <f>CONCATENATE(U433,V433,W433,X433,AA433)</f>
        <v>O23011745032024025514014</v>
      </c>
      <c r="AF433" s="160" t="str">
        <f>IFERROR(VLOOKUP(AD433,TD!$J$66:$K$89,2,0)," ")</f>
        <v>PM/0131/0114/45030140255</v>
      </c>
      <c r="AG433" s="118" t="s">
        <v>94</v>
      </c>
      <c r="AH433" s="159" t="s">
        <v>193</v>
      </c>
      <c r="AI433" s="162" t="str">
        <f>CONCATENATE(PAA[[#This Row],[Id Interno]],"-",PAA[[#This Row],[tipo de Contrato (TH talento humano - B/S bienes y/o servicios)]],"-",S433,"-",T433,"-",PAA[[#This Row],[Objeto de la contratación]])</f>
        <v>20260394-BS-8173-7-Interventoría técnica, administrativa, financiera, contable, jurídica y ambiental para la elaboración de estudios y diseños técnicos para la construcción de la estación de bomberos Caobos Salazar  B13- de la UAE Cuerpo Oficial de Bomberos de Bogotá – SGC</v>
      </c>
    </row>
    <row r="434" spans="2:35" ht="70" x14ac:dyDescent="0.35">
      <c r="B434" s="23">
        <v>20260395</v>
      </c>
      <c r="C434" s="99" t="s">
        <v>684</v>
      </c>
      <c r="D434" s="23" t="s">
        <v>105</v>
      </c>
      <c r="E434" s="23" t="s">
        <v>363</v>
      </c>
      <c r="F434" s="156" t="s">
        <v>144</v>
      </c>
      <c r="G434" s="157" t="s">
        <v>373</v>
      </c>
      <c r="H434" s="158">
        <v>11</v>
      </c>
      <c r="I434" s="158">
        <v>0</v>
      </c>
      <c r="J434" s="127">
        <v>81104000</v>
      </c>
      <c r="K434" s="88" t="s">
        <v>398</v>
      </c>
      <c r="L434" s="156" t="s">
        <v>155</v>
      </c>
      <c r="M434" s="159" t="s">
        <v>422</v>
      </c>
      <c r="N434" s="23" t="s">
        <v>198</v>
      </c>
      <c r="O434" s="151" t="s">
        <v>964</v>
      </c>
      <c r="P434" s="156" t="s">
        <v>348</v>
      </c>
      <c r="Q434" s="100" t="s">
        <v>783</v>
      </c>
      <c r="R434" s="159" t="s">
        <v>216</v>
      </c>
      <c r="S434" s="159" t="str">
        <f>MID(PAA[[#This Row],[Meta Proyecto de Inversión]],1,4)</f>
        <v>8173</v>
      </c>
      <c r="T434" s="159" t="str">
        <f>MID(PAA[[#This Row],[Meta Proyecto de Inversión]],6,1)</f>
        <v>7</v>
      </c>
      <c r="U434" s="160" t="str">
        <f>IFERROR(VLOOKUP(N434,TD!$B$50:$F$54,2,0)," ")</f>
        <v>O230117</v>
      </c>
      <c r="V434" s="160" t="str">
        <f>IFERROR(VLOOKUP(N434,TD!$B$50:$F$54,3,0)," ")</f>
        <v>4503</v>
      </c>
      <c r="W434" s="160">
        <f>IFERROR(VLOOKUP(N434,TD!$B$50:$F$54,4,0)," ")</f>
        <v>20240255</v>
      </c>
      <c r="X434" s="159">
        <v>14</v>
      </c>
      <c r="Y434" s="160" t="str">
        <f>IFERROR(VLOOKUP(X434,TD!$J$51:$K$64,2,0)," ")</f>
        <v xml:space="preserve">Infraestructura física misional construida mantenida y dotada </v>
      </c>
      <c r="Z434" s="161" t="str">
        <f>CONCATENATE(X434,"-",Y434)</f>
        <v xml:space="preserve">14-Infraestructura física misional construida mantenida y dotada </v>
      </c>
      <c r="AA434" s="159" t="s">
        <v>225</v>
      </c>
      <c r="AB434" s="160" t="str">
        <f>IFERROR(VLOOKUP(AA434,TD!$N$51:$O$66,2,0)," ")</f>
        <v>Estaciones de bomberos adecuadas</v>
      </c>
      <c r="AC434" s="161" t="str">
        <f>CONCATENATE(AA434,"_",AB434)</f>
        <v>014_Estaciones de bomberos adecuadas</v>
      </c>
      <c r="AD434" s="161" t="str">
        <f>CONCATENATE(Z434," ",AC434)</f>
        <v>14-Infraestructura física misional construida mantenida y dotada  014_Estaciones de bomberos adecuadas</v>
      </c>
      <c r="AE434" s="160" t="str">
        <f>CONCATENATE(U434,V434,W434,X434,AA434)</f>
        <v>O23011745032024025514014</v>
      </c>
      <c r="AF434" s="160" t="str">
        <f>IFERROR(VLOOKUP(AD434,TD!$J$66:$K$89,2,0)," ")</f>
        <v>PM/0131/0114/45030140255</v>
      </c>
      <c r="AG434" s="118" t="s">
        <v>385</v>
      </c>
      <c r="AH434" s="159" t="s">
        <v>193</v>
      </c>
      <c r="AI434" s="162" t="str">
        <f>CONCATENATE(PAA[[#This Row],[Id Interno]],"-",PAA[[#This Row],[tipo de Contrato (TH talento humano - B/S bienes y/o servicios)]],"-",S434,"-",T434,"-",PAA[[#This Row],[Objeto de la contratación]])</f>
        <v>20260395-TH-8173-7-Prestación de servicios profesionales para apoyar a la supervisión con las actividades técnicas del Área de Infraestructura de la Subdirección de Gestión Corporativa-SGC</v>
      </c>
    </row>
    <row r="435" spans="2:35" ht="56" x14ac:dyDescent="0.35">
      <c r="B435" s="23">
        <v>20260396</v>
      </c>
      <c r="C435" s="99" t="s">
        <v>685</v>
      </c>
      <c r="D435" s="23" t="s">
        <v>105</v>
      </c>
      <c r="E435" s="23" t="s">
        <v>363</v>
      </c>
      <c r="F435" s="156" t="s">
        <v>144</v>
      </c>
      <c r="G435" s="157" t="s">
        <v>373</v>
      </c>
      <c r="H435" s="158">
        <v>11</v>
      </c>
      <c r="I435" s="158">
        <v>0</v>
      </c>
      <c r="J435" s="127">
        <v>99000000</v>
      </c>
      <c r="K435" s="88" t="s">
        <v>398</v>
      </c>
      <c r="L435" s="156" t="s">
        <v>155</v>
      </c>
      <c r="M435" s="159" t="s">
        <v>422</v>
      </c>
      <c r="N435" s="23" t="s">
        <v>198</v>
      </c>
      <c r="O435" s="151" t="s">
        <v>964</v>
      </c>
      <c r="P435" s="156" t="s">
        <v>348</v>
      </c>
      <c r="Q435" s="100" t="s">
        <v>783</v>
      </c>
      <c r="R435" s="159" t="s">
        <v>216</v>
      </c>
      <c r="S435" s="159" t="str">
        <f>MID(PAA[[#This Row],[Meta Proyecto de Inversión]],1,4)</f>
        <v>8173</v>
      </c>
      <c r="T435" s="159" t="str">
        <f>MID(PAA[[#This Row],[Meta Proyecto de Inversión]],6,1)</f>
        <v>7</v>
      </c>
      <c r="U435" s="160" t="str">
        <f>IFERROR(VLOOKUP(N435,TD!$B$50:$F$54,2,0)," ")</f>
        <v>O230117</v>
      </c>
      <c r="V435" s="160" t="str">
        <f>IFERROR(VLOOKUP(N435,TD!$B$50:$F$54,3,0)," ")</f>
        <v>4503</v>
      </c>
      <c r="W435" s="160">
        <f>IFERROR(VLOOKUP(N435,TD!$B$50:$F$54,4,0)," ")</f>
        <v>20240255</v>
      </c>
      <c r="X435" s="159">
        <v>14</v>
      </c>
      <c r="Y435" s="160" t="str">
        <f>IFERROR(VLOOKUP(X435,TD!$J$51:$K$64,2,0)," ")</f>
        <v xml:space="preserve">Infraestructura física misional construida mantenida y dotada </v>
      </c>
      <c r="Z435" s="161" t="str">
        <f>CONCATENATE(X435,"-",Y435)</f>
        <v xml:space="preserve">14-Infraestructura física misional construida mantenida y dotada </v>
      </c>
      <c r="AA435" s="159" t="s">
        <v>225</v>
      </c>
      <c r="AB435" s="160" t="str">
        <f>IFERROR(VLOOKUP(AA435,TD!$N$51:$O$66,2,0)," ")</f>
        <v>Estaciones de bomberos adecuadas</v>
      </c>
      <c r="AC435" s="161" t="str">
        <f>CONCATENATE(AA435,"_",AB435)</f>
        <v>014_Estaciones de bomberos adecuadas</v>
      </c>
      <c r="AD435" s="161" t="str">
        <f>CONCATENATE(Z435," ",AC435)</f>
        <v>14-Infraestructura física misional construida mantenida y dotada  014_Estaciones de bomberos adecuadas</v>
      </c>
      <c r="AE435" s="160" t="str">
        <f>CONCATENATE(U435,V435,W435,X435,AA435)</f>
        <v>O23011745032024025514014</v>
      </c>
      <c r="AF435" s="160" t="str">
        <f>IFERROR(VLOOKUP(AD435,TD!$J$66:$K$89,2,0)," ")</f>
        <v>PM/0131/0114/45030140255</v>
      </c>
      <c r="AG435" s="118" t="s">
        <v>385</v>
      </c>
      <c r="AH435" s="159" t="s">
        <v>193</v>
      </c>
      <c r="AI435" s="162" t="str">
        <f>CONCATENATE(PAA[[#This Row],[Id Interno]],"-",PAA[[#This Row],[tipo de Contrato (TH talento humano - B/S bienes y/o servicios)]],"-",S435,"-",T435,"-",PAA[[#This Row],[Objeto de la contratación]])</f>
        <v>20260396-TH-8173-7-Prestación de servicios profesionales para apoyar las actividades de estructuración de procesos contractuales del Área de Infraestructura de la Subdirección de Gestión Corporativa-SGC</v>
      </c>
    </row>
    <row r="436" spans="2:35" ht="56" x14ac:dyDescent="0.35">
      <c r="B436" s="23">
        <v>20260397</v>
      </c>
      <c r="C436" s="99" t="s">
        <v>686</v>
      </c>
      <c r="D436" s="23" t="s">
        <v>105</v>
      </c>
      <c r="E436" s="23" t="s">
        <v>363</v>
      </c>
      <c r="F436" s="156" t="s">
        <v>144</v>
      </c>
      <c r="G436" s="157" t="s">
        <v>373</v>
      </c>
      <c r="H436" s="158">
        <v>11</v>
      </c>
      <c r="I436" s="158">
        <v>0</v>
      </c>
      <c r="J436" s="127">
        <v>56772000</v>
      </c>
      <c r="K436" s="88" t="s">
        <v>398</v>
      </c>
      <c r="L436" s="156" t="s">
        <v>155</v>
      </c>
      <c r="M436" s="159" t="s">
        <v>422</v>
      </c>
      <c r="N436" s="23" t="s">
        <v>197</v>
      </c>
      <c r="O436" s="151" t="s">
        <v>963</v>
      </c>
      <c r="P436" s="156" t="s">
        <v>348</v>
      </c>
      <c r="Q436" s="100" t="s">
        <v>783</v>
      </c>
      <c r="R436" s="159" t="s">
        <v>207</v>
      </c>
      <c r="S436" s="159" t="str">
        <f>MID(PAA[[#This Row],[Meta Proyecto de Inversión]],1,4)</f>
        <v>8126</v>
      </c>
      <c r="T436" s="159" t="str">
        <f>MID(PAA[[#This Row],[Meta Proyecto de Inversión]],6,1)</f>
        <v>8</v>
      </c>
      <c r="U436" s="160" t="str">
        <f>IFERROR(VLOOKUP(N436,TD!$B$50:$F$54,2,0)," ")</f>
        <v>O230117</v>
      </c>
      <c r="V436" s="160" t="str">
        <f>IFERROR(VLOOKUP(N436,TD!$B$50:$F$54,3,0)," ")</f>
        <v>4599</v>
      </c>
      <c r="W436" s="160">
        <f>IFERROR(VLOOKUP(N436,TD!$B$50:$F$54,4,0)," ")</f>
        <v>20240207</v>
      </c>
      <c r="X436" s="159" t="s">
        <v>174</v>
      </c>
      <c r="Y436" s="160" t="str">
        <f>IFERROR(VLOOKUP(X436,TD!$J$51:$K$64,2,0)," ")</f>
        <v>Infraestructura física, mantenimiento y dotación (Sedes construidas, mantenidas reforzadas)</v>
      </c>
      <c r="Z436" s="161" t="str">
        <f>CONCATENATE(X436,"-",Y436)</f>
        <v>08-Infraestructura física, mantenimiento y dotación (Sedes construidas, mantenidas reforzadas)</v>
      </c>
      <c r="AA436" s="159" t="s">
        <v>227</v>
      </c>
      <c r="AB436" s="160" t="str">
        <f>IFERROR(VLOOKUP(AA436,TD!$N$51:$O$66,2,0)," ")</f>
        <v>Sedes mantenidas</v>
      </c>
      <c r="AC436" s="161" t="str">
        <f>CONCATENATE(AA436,"_",AB436)</f>
        <v>016_Sedes mantenidas</v>
      </c>
      <c r="AD436" s="161" t="str">
        <f>CONCATENATE(Z436," ",AC436)</f>
        <v>08-Infraestructura física, mantenimiento y dotación (Sedes construidas, mantenidas reforzadas) 016_Sedes mantenidas</v>
      </c>
      <c r="AE436" s="160" t="str">
        <f>CONCATENATE(U436,V436,W436,X436,AA436)</f>
        <v>O23011745992024020708016</v>
      </c>
      <c r="AF436" s="160" t="str">
        <f>IFERROR(VLOOKUP(AD436,TD!$J$66:$K$89,2,0)," ")</f>
        <v>PM/0131/0108/45990160207</v>
      </c>
      <c r="AG436" s="118" t="s">
        <v>385</v>
      </c>
      <c r="AH436" s="159" t="s">
        <v>193</v>
      </c>
      <c r="AI436" s="162" t="str">
        <f>CONCATENATE(PAA[[#This Row],[Id Interno]],"-",PAA[[#This Row],[tipo de Contrato (TH talento humano - B/S bienes y/o servicios)]],"-",S436,"-",T436,"-",PAA[[#This Row],[Objeto de la contratación]])</f>
        <v>20260397-TH-8126-8-Prestar los servicios profesionales en las actividades asociadas del área de infraestructura que contribuyan para la implementación de procesos y procedimientos para la adecuada prestación del servicio-SGC.</v>
      </c>
    </row>
    <row r="437" spans="2:35" ht="56" x14ac:dyDescent="0.35">
      <c r="B437" s="23">
        <v>20260398</v>
      </c>
      <c r="C437" s="99" t="s">
        <v>687</v>
      </c>
      <c r="D437" s="23" t="s">
        <v>105</v>
      </c>
      <c r="E437" s="23" t="s">
        <v>363</v>
      </c>
      <c r="F437" s="156" t="s">
        <v>144</v>
      </c>
      <c r="G437" s="157" t="s">
        <v>373</v>
      </c>
      <c r="H437" s="158">
        <v>10</v>
      </c>
      <c r="I437" s="158">
        <v>0</v>
      </c>
      <c r="J437" s="127">
        <v>70000000</v>
      </c>
      <c r="K437" s="88" t="s">
        <v>398</v>
      </c>
      <c r="L437" s="156" t="s">
        <v>155</v>
      </c>
      <c r="M437" s="159" t="s">
        <v>422</v>
      </c>
      <c r="N437" s="23" t="s">
        <v>197</v>
      </c>
      <c r="O437" s="151" t="s">
        <v>963</v>
      </c>
      <c r="P437" s="156" t="s">
        <v>348</v>
      </c>
      <c r="Q437" s="100" t="s">
        <v>783</v>
      </c>
      <c r="R437" s="159" t="s">
        <v>208</v>
      </c>
      <c r="S437" s="159" t="str">
        <f>MID(PAA[[#This Row],[Meta Proyecto de Inversión]],1,4)</f>
        <v>8126</v>
      </c>
      <c r="T437" s="159" t="str">
        <f>MID(PAA[[#This Row],[Meta Proyecto de Inversión]],6,1)</f>
        <v>9</v>
      </c>
      <c r="U437" s="160" t="str">
        <f>IFERROR(VLOOKUP(N437,TD!$B$50:$F$54,2,0)," ")</f>
        <v>O230117</v>
      </c>
      <c r="V437" s="160" t="str">
        <f>IFERROR(VLOOKUP(N437,TD!$B$50:$F$54,3,0)," ")</f>
        <v>4599</v>
      </c>
      <c r="W437" s="160">
        <f>IFERROR(VLOOKUP(N437,TD!$B$50:$F$54,4,0)," ")</f>
        <v>20240207</v>
      </c>
      <c r="X437" s="159" t="s">
        <v>174</v>
      </c>
      <c r="Y437" s="160" t="str">
        <f>IFERROR(VLOOKUP(X437,TD!$J$51:$K$64,2,0)," ")</f>
        <v>Infraestructura física, mantenimiento y dotación (Sedes construidas, mantenidas reforzadas)</v>
      </c>
      <c r="Z437" s="161" t="str">
        <f>CONCATENATE(X437,"-",Y437)</f>
        <v>08-Infraestructura física, mantenimiento y dotación (Sedes construidas, mantenidas reforzadas)</v>
      </c>
      <c r="AA437" s="159" t="s">
        <v>227</v>
      </c>
      <c r="AB437" s="160" t="str">
        <f>IFERROR(VLOOKUP(AA437,TD!$N$51:$O$66,2,0)," ")</f>
        <v>Sedes mantenidas</v>
      </c>
      <c r="AC437" s="161" t="str">
        <f>CONCATENATE(AA437,"_",AB437)</f>
        <v>016_Sedes mantenidas</v>
      </c>
      <c r="AD437" s="161" t="str">
        <f>CONCATENATE(Z437," ",AC437)</f>
        <v>08-Infraestructura física, mantenimiento y dotación (Sedes construidas, mantenidas reforzadas) 016_Sedes mantenidas</v>
      </c>
      <c r="AE437" s="160" t="str">
        <f>CONCATENATE(U437,V437,W437,X437,AA437)</f>
        <v>O23011745992024020708016</v>
      </c>
      <c r="AF437" s="160" t="str">
        <f>IFERROR(VLOOKUP(AD437,TD!$J$66:$K$89,2,0)," ")</f>
        <v>PM/0131/0108/45990160207</v>
      </c>
      <c r="AG437" s="118" t="s">
        <v>385</v>
      </c>
      <c r="AH437" s="159" t="s">
        <v>193</v>
      </c>
      <c r="AI437" s="162" t="str">
        <f>CONCATENATE(PAA[[#This Row],[Id Interno]],"-",PAA[[#This Row],[tipo de Contrato (TH talento humano - B/S bienes y/o servicios)]],"-",S437,"-",T437,"-",PAA[[#This Row],[Objeto de la contratación]])</f>
        <v>20260398-TH-8126-9-Prestar los servicios profesionales para el acompañamiento y el seguimiento de los comodatos y demás actividades relacionadas con los procesos y procedimientos de inventarios de la Subdireccion de Gestión Corporativa-SGC</v>
      </c>
    </row>
    <row r="438" spans="2:35" ht="56" x14ac:dyDescent="0.35">
      <c r="B438" s="23">
        <v>20260399</v>
      </c>
      <c r="C438" s="99" t="s">
        <v>688</v>
      </c>
      <c r="D438" s="23" t="s">
        <v>105</v>
      </c>
      <c r="E438" s="23" t="s">
        <v>363</v>
      </c>
      <c r="F438" s="156" t="s">
        <v>145</v>
      </c>
      <c r="G438" s="157" t="s">
        <v>373</v>
      </c>
      <c r="H438" s="158">
        <v>11</v>
      </c>
      <c r="I438" s="158">
        <v>0</v>
      </c>
      <c r="J438" s="127">
        <v>36128000</v>
      </c>
      <c r="K438" s="88" t="s">
        <v>398</v>
      </c>
      <c r="L438" s="156" t="s">
        <v>155</v>
      </c>
      <c r="M438" s="159" t="s">
        <v>422</v>
      </c>
      <c r="N438" s="23" t="s">
        <v>197</v>
      </c>
      <c r="O438" s="151" t="s">
        <v>963</v>
      </c>
      <c r="P438" s="156" t="s">
        <v>348</v>
      </c>
      <c r="Q438" s="100" t="s">
        <v>783</v>
      </c>
      <c r="R438" s="159" t="s">
        <v>208</v>
      </c>
      <c r="S438" s="159" t="str">
        <f>MID(PAA[[#This Row],[Meta Proyecto de Inversión]],1,4)</f>
        <v>8126</v>
      </c>
      <c r="T438" s="159" t="str">
        <f>MID(PAA[[#This Row],[Meta Proyecto de Inversión]],6,1)</f>
        <v>9</v>
      </c>
      <c r="U438" s="160" t="str">
        <f>IFERROR(VLOOKUP(N438,TD!$B$50:$F$54,2,0)," ")</f>
        <v>O230117</v>
      </c>
      <c r="V438" s="160" t="str">
        <f>IFERROR(VLOOKUP(N438,TD!$B$50:$F$54,3,0)," ")</f>
        <v>4599</v>
      </c>
      <c r="W438" s="160">
        <f>IFERROR(VLOOKUP(N438,TD!$B$50:$F$54,4,0)," ")</f>
        <v>20240207</v>
      </c>
      <c r="X438" s="159" t="s">
        <v>174</v>
      </c>
      <c r="Y438" s="160" t="str">
        <f>IFERROR(VLOOKUP(X438,TD!$J$51:$K$64,2,0)," ")</f>
        <v>Infraestructura física, mantenimiento y dotación (Sedes construidas, mantenidas reforzadas)</v>
      </c>
      <c r="Z438" s="161" t="str">
        <f>CONCATENATE(X438,"-",Y438)</f>
        <v>08-Infraestructura física, mantenimiento y dotación (Sedes construidas, mantenidas reforzadas)</v>
      </c>
      <c r="AA438" s="159" t="s">
        <v>227</v>
      </c>
      <c r="AB438" s="160" t="str">
        <f>IFERROR(VLOOKUP(AA438,TD!$N$51:$O$66,2,0)," ")</f>
        <v>Sedes mantenidas</v>
      </c>
      <c r="AC438" s="161" t="str">
        <f>CONCATENATE(AA438,"_",AB438)</f>
        <v>016_Sedes mantenidas</v>
      </c>
      <c r="AD438" s="161" t="str">
        <f>CONCATENATE(Z438," ",AC438)</f>
        <v>08-Infraestructura física, mantenimiento y dotación (Sedes construidas, mantenidas reforzadas) 016_Sedes mantenidas</v>
      </c>
      <c r="AE438" s="160" t="str">
        <f>CONCATENATE(U438,V438,W438,X438,AA438)</f>
        <v>O23011745992024020708016</v>
      </c>
      <c r="AF438" s="160" t="str">
        <f>IFERROR(VLOOKUP(AD438,TD!$J$66:$K$89,2,0)," ")</f>
        <v>PM/0131/0108/45990160207</v>
      </c>
      <c r="AG438" s="118" t="s">
        <v>385</v>
      </c>
      <c r="AH438" s="159" t="s">
        <v>193</v>
      </c>
      <c r="AI438" s="162" t="str">
        <f>CONCATENATE(PAA[[#This Row],[Id Interno]],"-",PAA[[#This Row],[tipo de Contrato (TH talento humano - B/S bienes y/o servicios)]],"-",S438,"-",T438,"-",PAA[[#This Row],[Objeto de la contratación]])</f>
        <v>20260399-TH-8126-9-Prestación de servicios de apoyo a la gestión en la ejecución de los planes y programas de servicio al ciudadano a cargo de la Subdirección de Gestión Corporativa.-SGC</v>
      </c>
    </row>
    <row r="439" spans="2:35" ht="56" x14ac:dyDescent="0.35">
      <c r="B439" s="23">
        <v>20260400</v>
      </c>
      <c r="C439" s="99" t="s">
        <v>689</v>
      </c>
      <c r="D439" s="23" t="s">
        <v>105</v>
      </c>
      <c r="E439" s="23" t="s">
        <v>363</v>
      </c>
      <c r="F439" s="156" t="s">
        <v>144</v>
      </c>
      <c r="G439" s="157" t="s">
        <v>373</v>
      </c>
      <c r="H439" s="158">
        <v>11</v>
      </c>
      <c r="I439" s="158">
        <v>0</v>
      </c>
      <c r="J439" s="127">
        <v>100272000</v>
      </c>
      <c r="K439" s="88" t="s">
        <v>398</v>
      </c>
      <c r="L439" s="156" t="s">
        <v>155</v>
      </c>
      <c r="M439" s="159" t="s">
        <v>422</v>
      </c>
      <c r="N439" s="23" t="s">
        <v>197</v>
      </c>
      <c r="O439" s="151" t="s">
        <v>963</v>
      </c>
      <c r="P439" s="156" t="s">
        <v>348</v>
      </c>
      <c r="Q439" s="100" t="s">
        <v>783</v>
      </c>
      <c r="R439" s="159" t="s">
        <v>208</v>
      </c>
      <c r="S439" s="159" t="str">
        <f>MID(PAA[[#This Row],[Meta Proyecto de Inversión]],1,4)</f>
        <v>8126</v>
      </c>
      <c r="T439" s="159" t="str">
        <f>MID(PAA[[#This Row],[Meta Proyecto de Inversión]],6,1)</f>
        <v>9</v>
      </c>
      <c r="U439" s="160" t="str">
        <f>IFERROR(VLOOKUP(N439,TD!$B$50:$F$54,2,0)," ")</f>
        <v>O230117</v>
      </c>
      <c r="V439" s="160" t="str">
        <f>IFERROR(VLOOKUP(N439,TD!$B$50:$F$54,3,0)," ")</f>
        <v>4599</v>
      </c>
      <c r="W439" s="160">
        <f>IFERROR(VLOOKUP(N439,TD!$B$50:$F$54,4,0)," ")</f>
        <v>20240207</v>
      </c>
      <c r="X439" s="159" t="s">
        <v>174</v>
      </c>
      <c r="Y439" s="160" t="str">
        <f>IFERROR(VLOOKUP(X439,TD!$J$51:$K$64,2,0)," ")</f>
        <v>Infraestructura física, mantenimiento y dotación (Sedes construidas, mantenidas reforzadas)</v>
      </c>
      <c r="Z439" s="161" t="str">
        <f>CONCATENATE(X439,"-",Y439)</f>
        <v>08-Infraestructura física, mantenimiento y dotación (Sedes construidas, mantenidas reforzadas)</v>
      </c>
      <c r="AA439" s="159" t="s">
        <v>227</v>
      </c>
      <c r="AB439" s="160" t="str">
        <f>IFERROR(VLOOKUP(AA439,TD!$N$51:$O$66,2,0)," ")</f>
        <v>Sedes mantenidas</v>
      </c>
      <c r="AC439" s="161" t="str">
        <f>CONCATENATE(AA439,"_",AB439)</f>
        <v>016_Sedes mantenidas</v>
      </c>
      <c r="AD439" s="161" t="str">
        <f>CONCATENATE(Z439," ",AC439)</f>
        <v>08-Infraestructura física, mantenimiento y dotación (Sedes construidas, mantenidas reforzadas) 016_Sedes mantenidas</v>
      </c>
      <c r="AE439" s="160" t="str">
        <f>CONCATENATE(U439,V439,W439,X439,AA439)</f>
        <v>O23011745992024020708016</v>
      </c>
      <c r="AF439" s="160" t="str">
        <f>IFERROR(VLOOKUP(AD439,TD!$J$66:$K$89,2,0)," ")</f>
        <v>PM/0131/0108/45990160207</v>
      </c>
      <c r="AG439" s="118" t="s">
        <v>385</v>
      </c>
      <c r="AH439" s="159" t="s">
        <v>193</v>
      </c>
      <c r="AI439" s="162" t="str">
        <f>CONCATENATE(PAA[[#This Row],[Id Interno]],"-",PAA[[#This Row],[tipo de Contrato (TH talento humano - B/S bienes y/o servicios)]],"-",S439,"-",T439,"-",PAA[[#This Row],[Objeto de la contratación]])</f>
        <v>20260400-TH-8126-9-Prestación de servicios profesionales para articular la gestión en la ejecución de los planes y programas de servicio al ciudadano a cargo de la Subdirección de Gestión Corporativa.-SGC</v>
      </c>
    </row>
    <row r="440" spans="2:35" ht="56" x14ac:dyDescent="0.35">
      <c r="B440" s="23">
        <v>20260401</v>
      </c>
      <c r="C440" s="99" t="s">
        <v>688</v>
      </c>
      <c r="D440" s="23" t="s">
        <v>105</v>
      </c>
      <c r="E440" s="23" t="s">
        <v>363</v>
      </c>
      <c r="F440" s="156" t="s">
        <v>145</v>
      </c>
      <c r="G440" s="157" t="s">
        <v>373</v>
      </c>
      <c r="H440" s="158">
        <v>11</v>
      </c>
      <c r="I440" s="158">
        <v>0</v>
      </c>
      <c r="J440" s="127">
        <v>36128000</v>
      </c>
      <c r="K440" s="88" t="s">
        <v>398</v>
      </c>
      <c r="L440" s="156" t="s">
        <v>155</v>
      </c>
      <c r="M440" s="159" t="s">
        <v>422</v>
      </c>
      <c r="N440" s="23" t="s">
        <v>197</v>
      </c>
      <c r="O440" s="151" t="s">
        <v>963</v>
      </c>
      <c r="P440" s="156" t="s">
        <v>348</v>
      </c>
      <c r="Q440" s="100" t="s">
        <v>783</v>
      </c>
      <c r="R440" s="159" t="s">
        <v>208</v>
      </c>
      <c r="S440" s="159" t="str">
        <f>MID(PAA[[#This Row],[Meta Proyecto de Inversión]],1,4)</f>
        <v>8126</v>
      </c>
      <c r="T440" s="159" t="str">
        <f>MID(PAA[[#This Row],[Meta Proyecto de Inversión]],6,1)</f>
        <v>9</v>
      </c>
      <c r="U440" s="160" t="str">
        <f>IFERROR(VLOOKUP(N440,TD!$B$50:$F$54,2,0)," ")</f>
        <v>O230117</v>
      </c>
      <c r="V440" s="160" t="str">
        <f>IFERROR(VLOOKUP(N440,TD!$B$50:$F$54,3,0)," ")</f>
        <v>4599</v>
      </c>
      <c r="W440" s="160">
        <f>IFERROR(VLOOKUP(N440,TD!$B$50:$F$54,4,0)," ")</f>
        <v>20240207</v>
      </c>
      <c r="X440" s="159" t="s">
        <v>174</v>
      </c>
      <c r="Y440" s="160" t="str">
        <f>IFERROR(VLOOKUP(X440,TD!$J$51:$K$64,2,0)," ")</f>
        <v>Infraestructura física, mantenimiento y dotación (Sedes construidas, mantenidas reforzadas)</v>
      </c>
      <c r="Z440" s="161" t="str">
        <f>CONCATENATE(X440,"-",Y440)</f>
        <v>08-Infraestructura física, mantenimiento y dotación (Sedes construidas, mantenidas reforzadas)</v>
      </c>
      <c r="AA440" s="159" t="s">
        <v>227</v>
      </c>
      <c r="AB440" s="160" t="str">
        <f>IFERROR(VLOOKUP(AA440,TD!$N$51:$O$66,2,0)," ")</f>
        <v>Sedes mantenidas</v>
      </c>
      <c r="AC440" s="161" t="str">
        <f>CONCATENATE(AA440,"_",AB440)</f>
        <v>016_Sedes mantenidas</v>
      </c>
      <c r="AD440" s="161" t="str">
        <f>CONCATENATE(Z440," ",AC440)</f>
        <v>08-Infraestructura física, mantenimiento y dotación (Sedes construidas, mantenidas reforzadas) 016_Sedes mantenidas</v>
      </c>
      <c r="AE440" s="160" t="str">
        <f>CONCATENATE(U440,V440,W440,X440,AA440)</f>
        <v>O23011745992024020708016</v>
      </c>
      <c r="AF440" s="160" t="str">
        <f>IFERROR(VLOOKUP(AD440,TD!$J$66:$K$89,2,0)," ")</f>
        <v>PM/0131/0108/45990160207</v>
      </c>
      <c r="AG440" s="118" t="s">
        <v>385</v>
      </c>
      <c r="AH440" s="159" t="s">
        <v>193</v>
      </c>
      <c r="AI440" s="162" t="str">
        <f>CONCATENATE(PAA[[#This Row],[Id Interno]],"-",PAA[[#This Row],[tipo de Contrato (TH talento humano - B/S bienes y/o servicios)]],"-",S440,"-",T440,"-",PAA[[#This Row],[Objeto de la contratación]])</f>
        <v>20260401-TH-8126-9-Prestación de servicios de apoyo a la gestión en la ejecución de los planes y programas de servicio al ciudadano a cargo de la Subdirección de Gestión Corporativa.-SGC</v>
      </c>
    </row>
    <row r="441" spans="2:35" ht="56" x14ac:dyDescent="0.35">
      <c r="B441" s="23">
        <v>20260402</v>
      </c>
      <c r="C441" s="99" t="s">
        <v>688</v>
      </c>
      <c r="D441" s="23" t="s">
        <v>105</v>
      </c>
      <c r="E441" s="23" t="s">
        <v>363</v>
      </c>
      <c r="F441" s="156" t="s">
        <v>145</v>
      </c>
      <c r="G441" s="157" t="s">
        <v>373</v>
      </c>
      <c r="H441" s="158">
        <v>11</v>
      </c>
      <c r="I441" s="158">
        <v>0</v>
      </c>
      <c r="J441" s="127">
        <v>36128000</v>
      </c>
      <c r="K441" s="88" t="s">
        <v>398</v>
      </c>
      <c r="L441" s="156" t="s">
        <v>155</v>
      </c>
      <c r="M441" s="159" t="s">
        <v>422</v>
      </c>
      <c r="N441" s="23" t="s">
        <v>197</v>
      </c>
      <c r="O441" s="151" t="s">
        <v>963</v>
      </c>
      <c r="P441" s="156" t="s">
        <v>348</v>
      </c>
      <c r="Q441" s="100" t="s">
        <v>783</v>
      </c>
      <c r="R441" s="159" t="s">
        <v>208</v>
      </c>
      <c r="S441" s="159" t="str">
        <f>MID(PAA[[#This Row],[Meta Proyecto de Inversión]],1,4)</f>
        <v>8126</v>
      </c>
      <c r="T441" s="159" t="str">
        <f>MID(PAA[[#This Row],[Meta Proyecto de Inversión]],6,1)</f>
        <v>9</v>
      </c>
      <c r="U441" s="160" t="str">
        <f>IFERROR(VLOOKUP(N441,TD!$B$50:$F$54,2,0)," ")</f>
        <v>O230117</v>
      </c>
      <c r="V441" s="160" t="str">
        <f>IFERROR(VLOOKUP(N441,TD!$B$50:$F$54,3,0)," ")</f>
        <v>4599</v>
      </c>
      <c r="W441" s="160">
        <f>IFERROR(VLOOKUP(N441,TD!$B$50:$F$54,4,0)," ")</f>
        <v>20240207</v>
      </c>
      <c r="X441" s="159" t="s">
        <v>174</v>
      </c>
      <c r="Y441" s="160" t="str">
        <f>IFERROR(VLOOKUP(X441,TD!$J$51:$K$64,2,0)," ")</f>
        <v>Infraestructura física, mantenimiento y dotación (Sedes construidas, mantenidas reforzadas)</v>
      </c>
      <c r="Z441" s="161" t="str">
        <f>CONCATENATE(X441,"-",Y441)</f>
        <v>08-Infraestructura física, mantenimiento y dotación (Sedes construidas, mantenidas reforzadas)</v>
      </c>
      <c r="AA441" s="159" t="s">
        <v>227</v>
      </c>
      <c r="AB441" s="160" t="str">
        <f>IFERROR(VLOOKUP(AA441,TD!$N$51:$O$66,2,0)," ")</f>
        <v>Sedes mantenidas</v>
      </c>
      <c r="AC441" s="161" t="str">
        <f>CONCATENATE(AA441,"_",AB441)</f>
        <v>016_Sedes mantenidas</v>
      </c>
      <c r="AD441" s="161" t="str">
        <f>CONCATENATE(Z441," ",AC441)</f>
        <v>08-Infraestructura física, mantenimiento y dotación (Sedes construidas, mantenidas reforzadas) 016_Sedes mantenidas</v>
      </c>
      <c r="AE441" s="160" t="str">
        <f>CONCATENATE(U441,V441,W441,X441,AA441)</f>
        <v>O23011745992024020708016</v>
      </c>
      <c r="AF441" s="160" t="str">
        <f>IFERROR(VLOOKUP(AD441,TD!$J$66:$K$89,2,0)," ")</f>
        <v>PM/0131/0108/45990160207</v>
      </c>
      <c r="AG441" s="118" t="s">
        <v>385</v>
      </c>
      <c r="AH441" s="159" t="s">
        <v>193</v>
      </c>
      <c r="AI441" s="162" t="str">
        <f>CONCATENATE(PAA[[#This Row],[Id Interno]],"-",PAA[[#This Row],[tipo de Contrato (TH talento humano - B/S bienes y/o servicios)]],"-",S441,"-",T441,"-",PAA[[#This Row],[Objeto de la contratación]])</f>
        <v>20260402-TH-8126-9-Prestación de servicios de apoyo a la gestión en la ejecución de los planes y programas de servicio al ciudadano a cargo de la Subdirección de Gestión Corporativa.-SGC</v>
      </c>
    </row>
    <row r="442" spans="2:35" ht="56" x14ac:dyDescent="0.35">
      <c r="B442" s="23">
        <v>20260403</v>
      </c>
      <c r="C442" s="99" t="s">
        <v>688</v>
      </c>
      <c r="D442" s="23" t="s">
        <v>105</v>
      </c>
      <c r="E442" s="23" t="s">
        <v>363</v>
      </c>
      <c r="F442" s="156" t="s">
        <v>145</v>
      </c>
      <c r="G442" s="157" t="s">
        <v>373</v>
      </c>
      <c r="H442" s="158">
        <v>11</v>
      </c>
      <c r="I442" s="158">
        <v>0</v>
      </c>
      <c r="J442" s="127">
        <v>36128000</v>
      </c>
      <c r="K442" s="88" t="s">
        <v>398</v>
      </c>
      <c r="L442" s="156" t="s">
        <v>155</v>
      </c>
      <c r="M442" s="159" t="s">
        <v>422</v>
      </c>
      <c r="N442" s="23" t="s">
        <v>197</v>
      </c>
      <c r="O442" s="151" t="s">
        <v>963</v>
      </c>
      <c r="P442" s="156" t="s">
        <v>348</v>
      </c>
      <c r="Q442" s="100" t="s">
        <v>783</v>
      </c>
      <c r="R442" s="159" t="s">
        <v>208</v>
      </c>
      <c r="S442" s="159" t="str">
        <f>MID(PAA[[#This Row],[Meta Proyecto de Inversión]],1,4)</f>
        <v>8126</v>
      </c>
      <c r="T442" s="159" t="str">
        <f>MID(PAA[[#This Row],[Meta Proyecto de Inversión]],6,1)</f>
        <v>9</v>
      </c>
      <c r="U442" s="160" t="str">
        <f>IFERROR(VLOOKUP(N442,TD!$B$50:$F$54,2,0)," ")</f>
        <v>O230117</v>
      </c>
      <c r="V442" s="160" t="str">
        <f>IFERROR(VLOOKUP(N442,TD!$B$50:$F$54,3,0)," ")</f>
        <v>4599</v>
      </c>
      <c r="W442" s="160">
        <f>IFERROR(VLOOKUP(N442,TD!$B$50:$F$54,4,0)," ")</f>
        <v>20240207</v>
      </c>
      <c r="X442" s="159" t="s">
        <v>174</v>
      </c>
      <c r="Y442" s="160" t="str">
        <f>IFERROR(VLOOKUP(X442,TD!$J$51:$K$64,2,0)," ")</f>
        <v>Infraestructura física, mantenimiento y dotación (Sedes construidas, mantenidas reforzadas)</v>
      </c>
      <c r="Z442" s="161" t="str">
        <f>CONCATENATE(X442,"-",Y442)</f>
        <v>08-Infraestructura física, mantenimiento y dotación (Sedes construidas, mantenidas reforzadas)</v>
      </c>
      <c r="AA442" s="159" t="s">
        <v>227</v>
      </c>
      <c r="AB442" s="160" t="str">
        <f>IFERROR(VLOOKUP(AA442,TD!$N$51:$O$66,2,0)," ")</f>
        <v>Sedes mantenidas</v>
      </c>
      <c r="AC442" s="161" t="str">
        <f>CONCATENATE(AA442,"_",AB442)</f>
        <v>016_Sedes mantenidas</v>
      </c>
      <c r="AD442" s="161" t="str">
        <f>CONCATENATE(Z442," ",AC442)</f>
        <v>08-Infraestructura física, mantenimiento y dotación (Sedes construidas, mantenidas reforzadas) 016_Sedes mantenidas</v>
      </c>
      <c r="AE442" s="160" t="str">
        <f>CONCATENATE(U442,V442,W442,X442,AA442)</f>
        <v>O23011745992024020708016</v>
      </c>
      <c r="AF442" s="160" t="str">
        <f>IFERROR(VLOOKUP(AD442,TD!$J$66:$K$89,2,0)," ")</f>
        <v>PM/0131/0108/45990160207</v>
      </c>
      <c r="AG442" s="118" t="s">
        <v>385</v>
      </c>
      <c r="AH442" s="159" t="s">
        <v>193</v>
      </c>
      <c r="AI442" s="162" t="str">
        <f>CONCATENATE(PAA[[#This Row],[Id Interno]],"-",PAA[[#This Row],[tipo de Contrato (TH talento humano - B/S bienes y/o servicios)]],"-",S442,"-",T442,"-",PAA[[#This Row],[Objeto de la contratación]])</f>
        <v>20260403-TH-8126-9-Prestación de servicios de apoyo a la gestión en la ejecución de los planes y programas de servicio al ciudadano a cargo de la Subdirección de Gestión Corporativa.-SGC</v>
      </c>
    </row>
    <row r="443" spans="2:35" ht="70" x14ac:dyDescent="0.35">
      <c r="B443" s="23">
        <v>20260404</v>
      </c>
      <c r="C443" s="99" t="s">
        <v>688</v>
      </c>
      <c r="D443" s="23" t="s">
        <v>105</v>
      </c>
      <c r="E443" s="23" t="s">
        <v>363</v>
      </c>
      <c r="F443" s="156" t="s">
        <v>145</v>
      </c>
      <c r="G443" s="157" t="s">
        <v>373</v>
      </c>
      <c r="H443" s="158">
        <v>11</v>
      </c>
      <c r="I443" s="158">
        <v>0</v>
      </c>
      <c r="J443" s="127">
        <v>36128000</v>
      </c>
      <c r="K443" s="88" t="s">
        <v>398</v>
      </c>
      <c r="L443" s="156" t="s">
        <v>155</v>
      </c>
      <c r="M443" s="159" t="s">
        <v>422</v>
      </c>
      <c r="N443" s="23" t="s">
        <v>197</v>
      </c>
      <c r="O443" s="151" t="s">
        <v>963</v>
      </c>
      <c r="P443" s="156" t="s">
        <v>348</v>
      </c>
      <c r="Q443" s="53" t="s">
        <v>783</v>
      </c>
      <c r="R443" s="159" t="s">
        <v>208</v>
      </c>
      <c r="S443" s="159" t="str">
        <f>MID(PAA[[#This Row],[Meta Proyecto de Inversión]],1,4)</f>
        <v>8126</v>
      </c>
      <c r="T443" s="159" t="str">
        <f>MID(PAA[[#This Row],[Meta Proyecto de Inversión]],6,1)</f>
        <v>9</v>
      </c>
      <c r="U443" s="160" t="str">
        <f>IFERROR(VLOOKUP(N443,TD!$B$50:$F$54,2,0)," ")</f>
        <v>O230117</v>
      </c>
      <c r="V443" s="160" t="str">
        <f>IFERROR(VLOOKUP(N443,TD!$B$50:$F$54,3,0)," ")</f>
        <v>4599</v>
      </c>
      <c r="W443" s="160">
        <f>IFERROR(VLOOKUP(N443,TD!$B$50:$F$54,4,0)," ")</f>
        <v>20240207</v>
      </c>
      <c r="X443" s="159" t="s">
        <v>174</v>
      </c>
      <c r="Y443" s="160" t="str">
        <f>IFERROR(VLOOKUP(X443,TD!$J$51:$K$64,2,0)," ")</f>
        <v>Infraestructura física, mantenimiento y dotación (Sedes construidas, mantenidas reforzadas)</v>
      </c>
      <c r="Z443" s="161" t="str">
        <f>CONCATENATE(X443,"-",Y443)</f>
        <v>08-Infraestructura física, mantenimiento y dotación (Sedes construidas, mantenidas reforzadas)</v>
      </c>
      <c r="AA443" s="159" t="s">
        <v>227</v>
      </c>
      <c r="AB443" s="160" t="str">
        <f>IFERROR(VLOOKUP(AA443,TD!$N$51:$O$66,2,0)," ")</f>
        <v>Sedes mantenidas</v>
      </c>
      <c r="AC443" s="161" t="str">
        <f>CONCATENATE(AA443,"_",AB443)</f>
        <v>016_Sedes mantenidas</v>
      </c>
      <c r="AD443" s="161" t="str">
        <f>CONCATENATE(Z443," ",AC443)</f>
        <v>08-Infraestructura física, mantenimiento y dotación (Sedes construidas, mantenidas reforzadas) 016_Sedes mantenidas</v>
      </c>
      <c r="AE443" s="160" t="str">
        <f>CONCATENATE(U443,V443,W443,X443,AA443)</f>
        <v>O23011745992024020708016</v>
      </c>
      <c r="AF443" s="160" t="str">
        <f>IFERROR(VLOOKUP(AD443,TD!$J$66:$K$89,2,0)," ")</f>
        <v>PM/0131/0108/45990160207</v>
      </c>
      <c r="AG443" s="118" t="s">
        <v>385</v>
      </c>
      <c r="AH443" s="159" t="s">
        <v>193</v>
      </c>
      <c r="AI443" s="162" t="str">
        <f>CONCATENATE(PAA[[#This Row],[Id Interno]],"-",PAA[[#This Row],[tipo de Contrato (TH talento humano - B/S bienes y/o servicios)]],"-",S443,"-",T443,"-",PAA[[#This Row],[Objeto de la contratación]])</f>
        <v>20260404-TH-8126-9-Prestación de servicios de apoyo a la gestión en la ejecución de los planes y programas de servicio al ciudadano a cargo de la Subdirección de Gestión Corporativa.-SGC</v>
      </c>
    </row>
    <row r="444" spans="2:35" ht="56" x14ac:dyDescent="0.35">
      <c r="B444" s="23">
        <v>20260405</v>
      </c>
      <c r="C444" s="99" t="s">
        <v>688</v>
      </c>
      <c r="D444" s="23" t="s">
        <v>105</v>
      </c>
      <c r="E444" s="23" t="s">
        <v>363</v>
      </c>
      <c r="F444" s="156" t="s">
        <v>145</v>
      </c>
      <c r="G444" s="157" t="s">
        <v>373</v>
      </c>
      <c r="H444" s="158">
        <v>11</v>
      </c>
      <c r="I444" s="158">
        <v>0</v>
      </c>
      <c r="J444" s="127">
        <v>36128000</v>
      </c>
      <c r="K444" s="88" t="s">
        <v>398</v>
      </c>
      <c r="L444" s="156" t="s">
        <v>155</v>
      </c>
      <c r="M444" s="159" t="s">
        <v>422</v>
      </c>
      <c r="N444" s="23" t="s">
        <v>197</v>
      </c>
      <c r="O444" s="151" t="s">
        <v>963</v>
      </c>
      <c r="P444" s="156" t="s">
        <v>348</v>
      </c>
      <c r="Q444" s="53" t="s">
        <v>783</v>
      </c>
      <c r="R444" s="159" t="s">
        <v>208</v>
      </c>
      <c r="S444" s="159" t="str">
        <f>MID(PAA[[#This Row],[Meta Proyecto de Inversión]],1,4)</f>
        <v>8126</v>
      </c>
      <c r="T444" s="159" t="str">
        <f>MID(PAA[[#This Row],[Meta Proyecto de Inversión]],6,1)</f>
        <v>9</v>
      </c>
      <c r="U444" s="160" t="str">
        <f>IFERROR(VLOOKUP(N444,TD!$B$50:$F$54,2,0)," ")</f>
        <v>O230117</v>
      </c>
      <c r="V444" s="160" t="str">
        <f>IFERROR(VLOOKUP(N444,TD!$B$50:$F$54,3,0)," ")</f>
        <v>4599</v>
      </c>
      <c r="W444" s="160">
        <f>IFERROR(VLOOKUP(N444,TD!$B$50:$F$54,4,0)," ")</f>
        <v>20240207</v>
      </c>
      <c r="X444" s="159" t="s">
        <v>174</v>
      </c>
      <c r="Y444" s="160" t="str">
        <f>IFERROR(VLOOKUP(X444,TD!$J$51:$K$64,2,0)," ")</f>
        <v>Infraestructura física, mantenimiento y dotación (Sedes construidas, mantenidas reforzadas)</v>
      </c>
      <c r="Z444" s="161" t="str">
        <f>CONCATENATE(X444,"-",Y444)</f>
        <v>08-Infraestructura física, mantenimiento y dotación (Sedes construidas, mantenidas reforzadas)</v>
      </c>
      <c r="AA444" s="159" t="s">
        <v>227</v>
      </c>
      <c r="AB444" s="160" t="str">
        <f>IFERROR(VLOOKUP(AA444,TD!$N$51:$O$66,2,0)," ")</f>
        <v>Sedes mantenidas</v>
      </c>
      <c r="AC444" s="161" t="str">
        <f>CONCATENATE(AA444,"_",AB444)</f>
        <v>016_Sedes mantenidas</v>
      </c>
      <c r="AD444" s="161" t="str">
        <f>CONCATENATE(Z444," ",AC444)</f>
        <v>08-Infraestructura física, mantenimiento y dotación (Sedes construidas, mantenidas reforzadas) 016_Sedes mantenidas</v>
      </c>
      <c r="AE444" s="160" t="str">
        <f>CONCATENATE(U444,V444,W444,X444,AA444)</f>
        <v>O23011745992024020708016</v>
      </c>
      <c r="AF444" s="160" t="str">
        <f>IFERROR(VLOOKUP(AD444,TD!$J$66:$K$89,2,0)," ")</f>
        <v>PM/0131/0108/45990160207</v>
      </c>
      <c r="AG444" s="118" t="s">
        <v>385</v>
      </c>
      <c r="AH444" s="159" t="s">
        <v>193</v>
      </c>
      <c r="AI444" s="162" t="str">
        <f>CONCATENATE(PAA[[#This Row],[Id Interno]],"-",PAA[[#This Row],[tipo de Contrato (TH talento humano - B/S bienes y/o servicios)]],"-",S444,"-",T444,"-",PAA[[#This Row],[Objeto de la contratación]])</f>
        <v>20260405-TH-8126-9-Prestación de servicios de apoyo a la gestión en la ejecución de los planes y programas de servicio al ciudadano a cargo de la Subdirección de Gestión Corporativa.-SGC</v>
      </c>
    </row>
    <row r="445" spans="2:35" ht="56" x14ac:dyDescent="0.35">
      <c r="B445" s="23">
        <v>20260406</v>
      </c>
      <c r="C445" s="99" t="s">
        <v>688</v>
      </c>
      <c r="D445" s="23" t="s">
        <v>105</v>
      </c>
      <c r="E445" s="23" t="s">
        <v>363</v>
      </c>
      <c r="F445" s="156" t="s">
        <v>145</v>
      </c>
      <c r="G445" s="157" t="s">
        <v>373</v>
      </c>
      <c r="H445" s="158">
        <v>11</v>
      </c>
      <c r="I445" s="158">
        <v>0</v>
      </c>
      <c r="J445" s="127">
        <v>36128000</v>
      </c>
      <c r="K445" s="88" t="s">
        <v>398</v>
      </c>
      <c r="L445" s="156" t="s">
        <v>155</v>
      </c>
      <c r="M445" s="159" t="s">
        <v>422</v>
      </c>
      <c r="N445" s="23" t="s">
        <v>197</v>
      </c>
      <c r="O445" s="151" t="s">
        <v>963</v>
      </c>
      <c r="P445" s="156" t="s">
        <v>348</v>
      </c>
      <c r="Q445" s="53" t="s">
        <v>783</v>
      </c>
      <c r="R445" s="159" t="s">
        <v>208</v>
      </c>
      <c r="S445" s="159" t="str">
        <f>MID(PAA[[#This Row],[Meta Proyecto de Inversión]],1,4)</f>
        <v>8126</v>
      </c>
      <c r="T445" s="159" t="str">
        <f>MID(PAA[[#This Row],[Meta Proyecto de Inversión]],6,1)</f>
        <v>9</v>
      </c>
      <c r="U445" s="160" t="str">
        <f>IFERROR(VLOOKUP(N445,TD!$B$50:$F$54,2,0)," ")</f>
        <v>O230117</v>
      </c>
      <c r="V445" s="160" t="str">
        <f>IFERROR(VLOOKUP(N445,TD!$B$50:$F$54,3,0)," ")</f>
        <v>4599</v>
      </c>
      <c r="W445" s="160">
        <f>IFERROR(VLOOKUP(N445,TD!$B$50:$F$54,4,0)," ")</f>
        <v>20240207</v>
      </c>
      <c r="X445" s="159" t="s">
        <v>174</v>
      </c>
      <c r="Y445" s="160" t="str">
        <f>IFERROR(VLOOKUP(X445,TD!$J$51:$K$64,2,0)," ")</f>
        <v>Infraestructura física, mantenimiento y dotación (Sedes construidas, mantenidas reforzadas)</v>
      </c>
      <c r="Z445" s="161" t="str">
        <f>CONCATENATE(X445,"-",Y445)</f>
        <v>08-Infraestructura física, mantenimiento y dotación (Sedes construidas, mantenidas reforzadas)</v>
      </c>
      <c r="AA445" s="159" t="s">
        <v>227</v>
      </c>
      <c r="AB445" s="160" t="str">
        <f>IFERROR(VLOOKUP(AA445,TD!$N$51:$O$66,2,0)," ")</f>
        <v>Sedes mantenidas</v>
      </c>
      <c r="AC445" s="161" t="str">
        <f>CONCATENATE(AA445,"_",AB445)</f>
        <v>016_Sedes mantenidas</v>
      </c>
      <c r="AD445" s="161" t="str">
        <f>CONCATENATE(Z445," ",AC445)</f>
        <v>08-Infraestructura física, mantenimiento y dotación (Sedes construidas, mantenidas reforzadas) 016_Sedes mantenidas</v>
      </c>
      <c r="AE445" s="160" t="str">
        <f>CONCATENATE(U445,V445,W445,X445,AA445)</f>
        <v>O23011745992024020708016</v>
      </c>
      <c r="AF445" s="160" t="str">
        <f>IFERROR(VLOOKUP(AD445,TD!$J$66:$K$89,2,0)," ")</f>
        <v>PM/0131/0108/45990160207</v>
      </c>
      <c r="AG445" s="118" t="s">
        <v>385</v>
      </c>
      <c r="AH445" s="159" t="s">
        <v>193</v>
      </c>
      <c r="AI445" s="162" t="str">
        <f>CONCATENATE(PAA[[#This Row],[Id Interno]],"-",PAA[[#This Row],[tipo de Contrato (TH talento humano - B/S bienes y/o servicios)]],"-",S445,"-",T445,"-",PAA[[#This Row],[Objeto de la contratación]])</f>
        <v>20260406-TH-8126-9-Prestación de servicios de apoyo a la gestión en la ejecución de los planes y programas de servicio al ciudadano a cargo de la Subdirección de Gestión Corporativa.-SGC</v>
      </c>
    </row>
    <row r="446" spans="2:35" ht="56" x14ac:dyDescent="0.35">
      <c r="B446" s="23">
        <v>20260407</v>
      </c>
      <c r="C446" s="99" t="s">
        <v>688</v>
      </c>
      <c r="D446" s="23" t="s">
        <v>105</v>
      </c>
      <c r="E446" s="23" t="s">
        <v>363</v>
      </c>
      <c r="F446" s="156" t="s">
        <v>145</v>
      </c>
      <c r="G446" s="157" t="s">
        <v>373</v>
      </c>
      <c r="H446" s="158">
        <v>11</v>
      </c>
      <c r="I446" s="158">
        <v>0</v>
      </c>
      <c r="J446" s="127">
        <v>36128000</v>
      </c>
      <c r="K446" s="88" t="s">
        <v>398</v>
      </c>
      <c r="L446" s="156" t="s">
        <v>155</v>
      </c>
      <c r="M446" s="159" t="s">
        <v>422</v>
      </c>
      <c r="N446" s="23" t="s">
        <v>197</v>
      </c>
      <c r="O446" s="151" t="s">
        <v>963</v>
      </c>
      <c r="P446" s="156" t="s">
        <v>348</v>
      </c>
      <c r="Q446" s="53" t="s">
        <v>783</v>
      </c>
      <c r="R446" s="159" t="s">
        <v>208</v>
      </c>
      <c r="S446" s="159" t="str">
        <f>MID(PAA[[#This Row],[Meta Proyecto de Inversión]],1,4)</f>
        <v>8126</v>
      </c>
      <c r="T446" s="159" t="str">
        <f>MID(PAA[[#This Row],[Meta Proyecto de Inversión]],6,1)</f>
        <v>9</v>
      </c>
      <c r="U446" s="160" t="str">
        <f>IFERROR(VLOOKUP(N446,TD!$B$50:$F$54,2,0)," ")</f>
        <v>O230117</v>
      </c>
      <c r="V446" s="160" t="str">
        <f>IFERROR(VLOOKUP(N446,TD!$B$50:$F$54,3,0)," ")</f>
        <v>4599</v>
      </c>
      <c r="W446" s="160">
        <f>IFERROR(VLOOKUP(N446,TD!$B$50:$F$54,4,0)," ")</f>
        <v>20240207</v>
      </c>
      <c r="X446" s="159" t="s">
        <v>174</v>
      </c>
      <c r="Y446" s="160" t="str">
        <f>IFERROR(VLOOKUP(X446,TD!$J$51:$K$64,2,0)," ")</f>
        <v>Infraestructura física, mantenimiento y dotación (Sedes construidas, mantenidas reforzadas)</v>
      </c>
      <c r="Z446" s="161" t="str">
        <f>CONCATENATE(X446,"-",Y446)</f>
        <v>08-Infraestructura física, mantenimiento y dotación (Sedes construidas, mantenidas reforzadas)</v>
      </c>
      <c r="AA446" s="159" t="s">
        <v>227</v>
      </c>
      <c r="AB446" s="160" t="str">
        <f>IFERROR(VLOOKUP(AA446,TD!$N$51:$O$66,2,0)," ")</f>
        <v>Sedes mantenidas</v>
      </c>
      <c r="AC446" s="161" t="str">
        <f>CONCATENATE(AA446,"_",AB446)</f>
        <v>016_Sedes mantenidas</v>
      </c>
      <c r="AD446" s="161" t="str">
        <f>CONCATENATE(Z446," ",AC446)</f>
        <v>08-Infraestructura física, mantenimiento y dotación (Sedes construidas, mantenidas reforzadas) 016_Sedes mantenidas</v>
      </c>
      <c r="AE446" s="160" t="str">
        <f>CONCATENATE(U446,V446,W446,X446,AA446)</f>
        <v>O23011745992024020708016</v>
      </c>
      <c r="AF446" s="160" t="str">
        <f>IFERROR(VLOOKUP(AD446,TD!$J$66:$K$89,2,0)," ")</f>
        <v>PM/0131/0108/45990160207</v>
      </c>
      <c r="AG446" s="118" t="s">
        <v>385</v>
      </c>
      <c r="AH446" s="159" t="s">
        <v>193</v>
      </c>
      <c r="AI446" s="162" t="str">
        <f>CONCATENATE(PAA[[#This Row],[Id Interno]],"-",PAA[[#This Row],[tipo de Contrato (TH talento humano - B/S bienes y/o servicios)]],"-",S446,"-",T446,"-",PAA[[#This Row],[Objeto de la contratación]])</f>
        <v>20260407-TH-8126-9-Prestación de servicios de apoyo a la gestión en la ejecución de los planes y programas de servicio al ciudadano a cargo de la Subdirección de Gestión Corporativa.-SGC</v>
      </c>
    </row>
    <row r="447" spans="2:35" ht="56" x14ac:dyDescent="0.35">
      <c r="B447" s="23">
        <v>20260408</v>
      </c>
      <c r="C447" s="99" t="s">
        <v>690</v>
      </c>
      <c r="D447" s="23" t="s">
        <v>105</v>
      </c>
      <c r="E447" s="23" t="s">
        <v>363</v>
      </c>
      <c r="F447" s="156" t="s">
        <v>144</v>
      </c>
      <c r="G447" s="157" t="s">
        <v>373</v>
      </c>
      <c r="H447" s="158">
        <v>11</v>
      </c>
      <c r="I447" s="158">
        <v>0</v>
      </c>
      <c r="J447" s="127">
        <v>88000000</v>
      </c>
      <c r="K447" s="88" t="s">
        <v>398</v>
      </c>
      <c r="L447" s="156" t="s">
        <v>155</v>
      </c>
      <c r="M447" s="159" t="s">
        <v>422</v>
      </c>
      <c r="N447" s="23" t="s">
        <v>197</v>
      </c>
      <c r="O447" s="151" t="s">
        <v>963</v>
      </c>
      <c r="P447" s="156" t="s">
        <v>348</v>
      </c>
      <c r="Q447" s="53" t="s">
        <v>783</v>
      </c>
      <c r="R447" s="159" t="s">
        <v>208</v>
      </c>
      <c r="S447" s="159" t="str">
        <f>MID(PAA[[#This Row],[Meta Proyecto de Inversión]],1,4)</f>
        <v>8126</v>
      </c>
      <c r="T447" s="159" t="str">
        <f>MID(PAA[[#This Row],[Meta Proyecto de Inversión]],6,1)</f>
        <v>9</v>
      </c>
      <c r="U447" s="160" t="str">
        <f>IFERROR(VLOOKUP(N447,TD!$B$50:$F$54,2,0)," ")</f>
        <v>O230117</v>
      </c>
      <c r="V447" s="160" t="str">
        <f>IFERROR(VLOOKUP(N447,TD!$B$50:$F$54,3,0)," ")</f>
        <v>4599</v>
      </c>
      <c r="W447" s="160">
        <f>IFERROR(VLOOKUP(N447,TD!$B$50:$F$54,4,0)," ")</f>
        <v>20240207</v>
      </c>
      <c r="X447" s="159" t="s">
        <v>174</v>
      </c>
      <c r="Y447" s="160" t="str">
        <f>IFERROR(VLOOKUP(X447,TD!$J$51:$K$64,2,0)," ")</f>
        <v>Infraestructura física, mantenimiento y dotación (Sedes construidas, mantenidas reforzadas)</v>
      </c>
      <c r="Z447" s="161" t="str">
        <f>CONCATENATE(X447,"-",Y447)</f>
        <v>08-Infraestructura física, mantenimiento y dotación (Sedes construidas, mantenidas reforzadas)</v>
      </c>
      <c r="AA447" s="159" t="s">
        <v>227</v>
      </c>
      <c r="AB447" s="160" t="str">
        <f>IFERROR(VLOOKUP(AA447,TD!$N$51:$O$66,2,0)," ")</f>
        <v>Sedes mantenidas</v>
      </c>
      <c r="AC447" s="161" t="str">
        <f>CONCATENATE(AA447,"_",AB447)</f>
        <v>016_Sedes mantenidas</v>
      </c>
      <c r="AD447" s="161" t="str">
        <f>CONCATENATE(Z447," ",AC447)</f>
        <v>08-Infraestructura física, mantenimiento y dotación (Sedes construidas, mantenidas reforzadas) 016_Sedes mantenidas</v>
      </c>
      <c r="AE447" s="160" t="str">
        <f>CONCATENATE(U447,V447,W447,X447,AA447)</f>
        <v>O23011745992024020708016</v>
      </c>
      <c r="AF447" s="160" t="str">
        <f>IFERROR(VLOOKUP(AD447,TD!$J$66:$K$89,2,0)," ")</f>
        <v>PM/0131/0108/45990160207</v>
      </c>
      <c r="AG447" s="118" t="s">
        <v>385</v>
      </c>
      <c r="AH447" s="159" t="s">
        <v>193</v>
      </c>
      <c r="AI447" s="162" t="str">
        <f>CONCATENATE(PAA[[#This Row],[Id Interno]],"-",PAA[[#This Row],[tipo de Contrato (TH talento humano - B/S bienes y/o servicios)]],"-",S447,"-",T447,"-",PAA[[#This Row],[Objeto de la contratación]])</f>
        <v>20260408-TH-8126-9-Prestación de servicios profesionales en la Subdirección de Gestión Corporativa adelantando las actividades necesarias para la ejecución del programa y los procesos de seguros de la Entidad-SGC</v>
      </c>
    </row>
    <row r="448" spans="2:35" ht="56" x14ac:dyDescent="0.35">
      <c r="B448" s="23">
        <v>20260409</v>
      </c>
      <c r="C448" s="99" t="s">
        <v>691</v>
      </c>
      <c r="D448" s="23" t="s">
        <v>105</v>
      </c>
      <c r="E448" s="23" t="s">
        <v>363</v>
      </c>
      <c r="F448" s="156" t="s">
        <v>145</v>
      </c>
      <c r="G448" s="157" t="s">
        <v>373</v>
      </c>
      <c r="H448" s="158">
        <v>11</v>
      </c>
      <c r="I448" s="158">
        <v>0</v>
      </c>
      <c r="J448" s="127">
        <v>47187000</v>
      </c>
      <c r="K448" s="88" t="s">
        <v>398</v>
      </c>
      <c r="L448" s="156" t="s">
        <v>155</v>
      </c>
      <c r="M448" s="159" t="s">
        <v>422</v>
      </c>
      <c r="N448" s="23" t="s">
        <v>197</v>
      </c>
      <c r="O448" s="151" t="s">
        <v>963</v>
      </c>
      <c r="P448" s="156" t="s">
        <v>348</v>
      </c>
      <c r="Q448" s="53" t="s">
        <v>783</v>
      </c>
      <c r="R448" s="159" t="s">
        <v>208</v>
      </c>
      <c r="S448" s="159" t="str">
        <f>MID(PAA[[#This Row],[Meta Proyecto de Inversión]],1,4)</f>
        <v>8126</v>
      </c>
      <c r="T448" s="159" t="str">
        <f>MID(PAA[[#This Row],[Meta Proyecto de Inversión]],6,1)</f>
        <v>9</v>
      </c>
      <c r="U448" s="160" t="str">
        <f>IFERROR(VLOOKUP(N448,TD!$B$50:$F$54,2,0)," ")</f>
        <v>O230117</v>
      </c>
      <c r="V448" s="160" t="str">
        <f>IFERROR(VLOOKUP(N448,TD!$B$50:$F$54,3,0)," ")</f>
        <v>4599</v>
      </c>
      <c r="W448" s="160">
        <f>IFERROR(VLOOKUP(N448,TD!$B$50:$F$54,4,0)," ")</f>
        <v>20240207</v>
      </c>
      <c r="X448" s="159" t="s">
        <v>174</v>
      </c>
      <c r="Y448" s="160" t="str">
        <f>IFERROR(VLOOKUP(X448,TD!$J$51:$K$64,2,0)," ")</f>
        <v>Infraestructura física, mantenimiento y dotación (Sedes construidas, mantenidas reforzadas)</v>
      </c>
      <c r="Z448" s="161" t="str">
        <f>CONCATENATE(X448,"-",Y448)</f>
        <v>08-Infraestructura física, mantenimiento y dotación (Sedes construidas, mantenidas reforzadas)</v>
      </c>
      <c r="AA448" s="159" t="s">
        <v>227</v>
      </c>
      <c r="AB448" s="160" t="str">
        <f>IFERROR(VLOOKUP(AA448,TD!$N$51:$O$66,2,0)," ")</f>
        <v>Sedes mantenidas</v>
      </c>
      <c r="AC448" s="161" t="str">
        <f>CONCATENATE(AA448,"_",AB448)</f>
        <v>016_Sedes mantenidas</v>
      </c>
      <c r="AD448" s="161" t="str">
        <f>CONCATENATE(Z448," ",AC448)</f>
        <v>08-Infraestructura física, mantenimiento y dotación (Sedes construidas, mantenidas reforzadas) 016_Sedes mantenidas</v>
      </c>
      <c r="AE448" s="160" t="str">
        <f>CONCATENATE(U448,V448,W448,X448,AA448)</f>
        <v>O23011745992024020708016</v>
      </c>
      <c r="AF448" s="160" t="str">
        <f>IFERROR(VLOOKUP(AD448,TD!$J$66:$K$89,2,0)," ")</f>
        <v>PM/0131/0108/45990160207</v>
      </c>
      <c r="AG448" s="118" t="s">
        <v>385</v>
      </c>
      <c r="AH448" s="159" t="s">
        <v>193</v>
      </c>
      <c r="AI448" s="162" t="str">
        <f>CONCATENATE(PAA[[#This Row],[Id Interno]],"-",PAA[[#This Row],[tipo de Contrato (TH talento humano - B/S bienes y/o servicios)]],"-",S448,"-",T448,"-",PAA[[#This Row],[Objeto de la contratación]])</f>
        <v>20260409-TH-8126-9-Prestación de servicios de apoyo en la gestión de seguros de la Subdirección de Gestión Corporativa. –SGC</v>
      </c>
    </row>
    <row r="449" spans="2:35" ht="70" x14ac:dyDescent="0.35">
      <c r="B449" s="23">
        <v>20260410</v>
      </c>
      <c r="C449" s="99" t="s">
        <v>692</v>
      </c>
      <c r="D449" s="23" t="s">
        <v>105</v>
      </c>
      <c r="E449" s="23" t="s">
        <v>363</v>
      </c>
      <c r="F449" s="156" t="s">
        <v>144</v>
      </c>
      <c r="G449" s="157" t="s">
        <v>373</v>
      </c>
      <c r="H449" s="158">
        <v>11</v>
      </c>
      <c r="I449" s="158">
        <v>0</v>
      </c>
      <c r="J449" s="127">
        <v>56772000</v>
      </c>
      <c r="K449" s="88" t="s">
        <v>398</v>
      </c>
      <c r="L449" s="156" t="s">
        <v>155</v>
      </c>
      <c r="M449" s="159" t="s">
        <v>422</v>
      </c>
      <c r="N449" s="23" t="s">
        <v>197</v>
      </c>
      <c r="O449" s="151" t="s">
        <v>963</v>
      </c>
      <c r="P449" s="156" t="s">
        <v>348</v>
      </c>
      <c r="Q449" s="53" t="s">
        <v>783</v>
      </c>
      <c r="R449" s="159" t="s">
        <v>208</v>
      </c>
      <c r="S449" s="159" t="str">
        <f>MID(PAA[[#This Row],[Meta Proyecto de Inversión]],1,4)</f>
        <v>8126</v>
      </c>
      <c r="T449" s="159" t="str">
        <f>MID(PAA[[#This Row],[Meta Proyecto de Inversión]],6,1)</f>
        <v>9</v>
      </c>
      <c r="U449" s="160" t="str">
        <f>IFERROR(VLOOKUP(N449,TD!$B$50:$F$54,2,0)," ")</f>
        <v>O230117</v>
      </c>
      <c r="V449" s="160" t="str">
        <f>IFERROR(VLOOKUP(N449,TD!$B$50:$F$54,3,0)," ")</f>
        <v>4599</v>
      </c>
      <c r="W449" s="160">
        <f>IFERROR(VLOOKUP(N449,TD!$B$50:$F$54,4,0)," ")</f>
        <v>20240207</v>
      </c>
      <c r="X449" s="159" t="s">
        <v>174</v>
      </c>
      <c r="Y449" s="160" t="str">
        <f>IFERROR(VLOOKUP(X449,TD!$J$51:$K$64,2,0)," ")</f>
        <v>Infraestructura física, mantenimiento y dotación (Sedes construidas, mantenidas reforzadas)</v>
      </c>
      <c r="Z449" s="161" t="str">
        <f>CONCATENATE(X449,"-",Y449)</f>
        <v>08-Infraestructura física, mantenimiento y dotación (Sedes construidas, mantenidas reforzadas)</v>
      </c>
      <c r="AA449" s="159" t="s">
        <v>227</v>
      </c>
      <c r="AB449" s="160" t="str">
        <f>IFERROR(VLOOKUP(AA449,TD!$N$51:$O$66,2,0)," ")</f>
        <v>Sedes mantenidas</v>
      </c>
      <c r="AC449" s="161" t="str">
        <f>CONCATENATE(AA449,"_",AB449)</f>
        <v>016_Sedes mantenidas</v>
      </c>
      <c r="AD449" s="161" t="str">
        <f>CONCATENATE(Z449," ",AC449)</f>
        <v>08-Infraestructura física, mantenimiento y dotación (Sedes construidas, mantenidas reforzadas) 016_Sedes mantenidas</v>
      </c>
      <c r="AE449" s="160" t="str">
        <f>CONCATENATE(U449,V449,W449,X449,AA449)</f>
        <v>O23011745992024020708016</v>
      </c>
      <c r="AF449" s="160" t="str">
        <f>IFERROR(VLOOKUP(AD449,TD!$J$66:$K$89,2,0)," ")</f>
        <v>PM/0131/0108/45990160207</v>
      </c>
      <c r="AG449" s="118" t="s">
        <v>385</v>
      </c>
      <c r="AH449" s="159" t="s">
        <v>193</v>
      </c>
      <c r="AI449" s="162" t="str">
        <f>CONCATENATE(PAA[[#This Row],[Id Interno]],"-",PAA[[#This Row],[tipo de Contrato (TH talento humano - B/S bienes y/o servicios)]],"-",S449,"-",T449,"-",PAA[[#This Row],[Objeto de la contratación]])</f>
        <v>20260410-TH-8126-9-Prestación de servicios profesionales para apoyar a la Subdirección de Gestión Corporativa aplicando los procesos y procedimientos de seguros e inventarios -SGC</v>
      </c>
    </row>
    <row r="450" spans="2:35" ht="70" x14ac:dyDescent="0.35">
      <c r="B450" s="23">
        <v>20260411</v>
      </c>
      <c r="C450" s="99" t="s">
        <v>693</v>
      </c>
      <c r="D450" s="23" t="s">
        <v>105</v>
      </c>
      <c r="E450" s="23" t="s">
        <v>363</v>
      </c>
      <c r="F450" s="156" t="s">
        <v>145</v>
      </c>
      <c r="G450" s="157" t="s">
        <v>373</v>
      </c>
      <c r="H450" s="158">
        <v>11</v>
      </c>
      <c r="I450" s="158">
        <v>0</v>
      </c>
      <c r="J450" s="127">
        <v>36128000</v>
      </c>
      <c r="K450" s="88" t="s">
        <v>398</v>
      </c>
      <c r="L450" s="156" t="s">
        <v>155</v>
      </c>
      <c r="M450" s="159" t="s">
        <v>422</v>
      </c>
      <c r="N450" s="23" t="s">
        <v>197</v>
      </c>
      <c r="O450" s="151" t="s">
        <v>963</v>
      </c>
      <c r="P450" s="156" t="s">
        <v>348</v>
      </c>
      <c r="Q450" s="53" t="s">
        <v>783</v>
      </c>
      <c r="R450" s="159" t="s">
        <v>208</v>
      </c>
      <c r="S450" s="159" t="str">
        <f>MID(PAA[[#This Row],[Meta Proyecto de Inversión]],1,4)</f>
        <v>8126</v>
      </c>
      <c r="T450" s="159" t="str">
        <f>MID(PAA[[#This Row],[Meta Proyecto de Inversión]],6,1)</f>
        <v>9</v>
      </c>
      <c r="U450" s="160" t="str">
        <f>IFERROR(VLOOKUP(N450,TD!$B$50:$F$54,2,0)," ")</f>
        <v>O230117</v>
      </c>
      <c r="V450" s="160" t="str">
        <f>IFERROR(VLOOKUP(N450,TD!$B$50:$F$54,3,0)," ")</f>
        <v>4599</v>
      </c>
      <c r="W450" s="160">
        <f>IFERROR(VLOOKUP(N450,TD!$B$50:$F$54,4,0)," ")</f>
        <v>20240207</v>
      </c>
      <c r="X450" s="159" t="s">
        <v>174</v>
      </c>
      <c r="Y450" s="160" t="str">
        <f>IFERROR(VLOOKUP(X450,TD!$J$51:$K$64,2,0)," ")</f>
        <v>Infraestructura física, mantenimiento y dotación (Sedes construidas, mantenidas reforzadas)</v>
      </c>
      <c r="Z450" s="161" t="str">
        <f>CONCATENATE(X450,"-",Y450)</f>
        <v>08-Infraestructura física, mantenimiento y dotación (Sedes construidas, mantenidas reforzadas)</v>
      </c>
      <c r="AA450" s="159" t="s">
        <v>227</v>
      </c>
      <c r="AB450" s="160" t="str">
        <f>IFERROR(VLOOKUP(AA450,TD!$N$51:$O$66,2,0)," ")</f>
        <v>Sedes mantenidas</v>
      </c>
      <c r="AC450" s="161" t="str">
        <f>CONCATENATE(AA450,"_",AB450)</f>
        <v>016_Sedes mantenidas</v>
      </c>
      <c r="AD450" s="161" t="str">
        <f>CONCATENATE(Z450," ",AC450)</f>
        <v>08-Infraestructura física, mantenimiento y dotación (Sedes construidas, mantenidas reforzadas) 016_Sedes mantenidas</v>
      </c>
      <c r="AE450" s="160" t="str">
        <f>CONCATENATE(U450,V450,W450,X450,AA450)</f>
        <v>O23011745992024020708016</v>
      </c>
      <c r="AF450" s="160" t="str">
        <f>IFERROR(VLOOKUP(AD450,TD!$J$66:$K$89,2,0)," ")</f>
        <v>PM/0131/0108/45990160207</v>
      </c>
      <c r="AG450" s="118" t="s">
        <v>385</v>
      </c>
      <c r="AH450" s="159" t="s">
        <v>193</v>
      </c>
      <c r="AI450" s="162" t="str">
        <f>CONCATENATE(PAA[[#This Row],[Id Interno]],"-",PAA[[#This Row],[tipo de Contrato (TH talento humano - B/S bienes y/o servicios)]],"-",S450,"-",T450,"-",PAA[[#This Row],[Objeto de la contratación]])</f>
        <v>20260411-TH-8126-9-Prestación de servicios de apoyo a la gestión de seguros de la Subdirección de Gestión Corporativa. –SGC</v>
      </c>
    </row>
    <row r="451" spans="2:35" ht="70" x14ac:dyDescent="0.35">
      <c r="B451" s="99">
        <v>20260412</v>
      </c>
      <c r="C451" s="99" t="s">
        <v>694</v>
      </c>
      <c r="D451" s="99" t="s">
        <v>105</v>
      </c>
      <c r="E451" s="99" t="s">
        <v>363</v>
      </c>
      <c r="F451" s="157" t="s">
        <v>144</v>
      </c>
      <c r="G451" s="157" t="s">
        <v>373</v>
      </c>
      <c r="H451" s="164">
        <v>4</v>
      </c>
      <c r="I451" s="164">
        <v>0</v>
      </c>
      <c r="J451" s="118">
        <v>29491924</v>
      </c>
      <c r="K451" s="126" t="s">
        <v>398</v>
      </c>
      <c r="L451" s="157" t="s">
        <v>155</v>
      </c>
      <c r="M451" s="163" t="s">
        <v>422</v>
      </c>
      <c r="N451" s="99" t="s">
        <v>197</v>
      </c>
      <c r="O451" s="151" t="s">
        <v>963</v>
      </c>
      <c r="P451" s="157" t="s">
        <v>348</v>
      </c>
      <c r="Q451" s="128" t="s">
        <v>783</v>
      </c>
      <c r="R451" s="163" t="s">
        <v>208</v>
      </c>
      <c r="S451" s="159" t="str">
        <f>MID(PAA[[#This Row],[Meta Proyecto de Inversión]],1,4)</f>
        <v>8126</v>
      </c>
      <c r="T451" s="159" t="str">
        <f>MID(PAA[[#This Row],[Meta Proyecto de Inversión]],6,1)</f>
        <v>9</v>
      </c>
      <c r="U451" s="165" t="str">
        <f>IFERROR(VLOOKUP(N451,TD!$B$50:$F$54,2,0)," ")</f>
        <v>O230117</v>
      </c>
      <c r="V451" s="165" t="str">
        <f>IFERROR(VLOOKUP(N451,TD!$B$50:$F$54,3,0)," ")</f>
        <v>4599</v>
      </c>
      <c r="W451" s="165">
        <f>IFERROR(VLOOKUP(N451,TD!$B$50:$F$54,4,0)," ")</f>
        <v>20240207</v>
      </c>
      <c r="X451" s="163" t="s">
        <v>174</v>
      </c>
      <c r="Y451" s="165" t="str">
        <f>IFERROR(VLOOKUP(X451,TD!$J$51:$K$64,2,0)," ")</f>
        <v>Infraestructura física, mantenimiento y dotación (Sedes construidas, mantenidas reforzadas)</v>
      </c>
      <c r="Z451" s="161" t="str">
        <f>CONCATENATE(X451,"-",Y451)</f>
        <v>08-Infraestructura física, mantenimiento y dotación (Sedes construidas, mantenidas reforzadas)</v>
      </c>
      <c r="AA451" s="163" t="s">
        <v>227</v>
      </c>
      <c r="AB451" s="165" t="str">
        <f>IFERROR(VLOOKUP(AA451,TD!$N$51:$O$66,2,0)," ")</f>
        <v>Sedes mantenidas</v>
      </c>
      <c r="AC451" s="161" t="str">
        <f>CONCATENATE(AA451,"_",AB451)</f>
        <v>016_Sedes mantenidas</v>
      </c>
      <c r="AD451" s="161" t="str">
        <f>CONCATENATE(Z451," ",AC451)</f>
        <v>08-Infraestructura física, mantenimiento y dotación (Sedes construidas, mantenidas reforzadas) 016_Sedes mantenidas</v>
      </c>
      <c r="AE451" s="165" t="str">
        <f>CONCATENATE(U451,V451,W451,X451,AA451)</f>
        <v>O23011745992024020708016</v>
      </c>
      <c r="AF451" s="165" t="str">
        <f>IFERROR(VLOOKUP(AD451,TD!$J$66:$K$89,2,0)," ")</f>
        <v>PM/0131/0108/45990160207</v>
      </c>
      <c r="AG451" s="118" t="s">
        <v>385</v>
      </c>
      <c r="AH451" s="163" t="s">
        <v>193</v>
      </c>
      <c r="AI451" s="166" t="str">
        <f>CONCATENATE(PAA[[#This Row],[Id Interno]],"-",PAA[[#This Row],[tipo de Contrato (TH talento humano - B/S bienes y/o servicios)]],"-",S451,"-",T451,"-",PAA[[#This Row],[Objeto de la contratación]])</f>
        <v>20260412-TH-8126-9-Prestación de servicios profesionales en la Subdirección de Gestión Corporativa en las actividades relacionadas con MIPG-SGC</v>
      </c>
    </row>
    <row r="452" spans="2:35" ht="70" x14ac:dyDescent="0.35">
      <c r="B452" s="23">
        <v>20260414</v>
      </c>
      <c r="C452" s="99" t="s">
        <v>696</v>
      </c>
      <c r="D452" s="23" t="s">
        <v>105</v>
      </c>
      <c r="E452" s="23" t="s">
        <v>363</v>
      </c>
      <c r="F452" s="156" t="s">
        <v>145</v>
      </c>
      <c r="G452" s="157" t="s">
        <v>373</v>
      </c>
      <c r="H452" s="158">
        <v>11</v>
      </c>
      <c r="I452" s="158">
        <v>0</v>
      </c>
      <c r="J452" s="127">
        <v>30966000</v>
      </c>
      <c r="K452" s="88" t="s">
        <v>398</v>
      </c>
      <c r="L452" s="156" t="s">
        <v>155</v>
      </c>
      <c r="M452" s="159" t="s">
        <v>422</v>
      </c>
      <c r="N452" s="23" t="s">
        <v>197</v>
      </c>
      <c r="O452" s="151" t="s">
        <v>963</v>
      </c>
      <c r="P452" s="156" t="s">
        <v>348</v>
      </c>
      <c r="Q452" s="53" t="s">
        <v>783</v>
      </c>
      <c r="R452" s="159" t="s">
        <v>208</v>
      </c>
      <c r="S452" s="159" t="str">
        <f>MID(PAA[[#This Row],[Meta Proyecto de Inversión]],1,4)</f>
        <v>8126</v>
      </c>
      <c r="T452" s="159" t="str">
        <f>MID(PAA[[#This Row],[Meta Proyecto de Inversión]],6,1)</f>
        <v>9</v>
      </c>
      <c r="U452" s="160" t="str">
        <f>IFERROR(VLOOKUP(N452,TD!$B$50:$F$54,2,0)," ")</f>
        <v>O230117</v>
      </c>
      <c r="V452" s="160" t="str">
        <f>IFERROR(VLOOKUP(N452,TD!$B$50:$F$54,3,0)," ")</f>
        <v>4599</v>
      </c>
      <c r="W452" s="160">
        <f>IFERROR(VLOOKUP(N452,TD!$B$50:$F$54,4,0)," ")</f>
        <v>20240207</v>
      </c>
      <c r="X452" s="159" t="s">
        <v>174</v>
      </c>
      <c r="Y452" s="160" t="str">
        <f>IFERROR(VLOOKUP(X452,TD!$J$51:$K$64,2,0)," ")</f>
        <v>Infraestructura física, mantenimiento y dotación (Sedes construidas, mantenidas reforzadas)</v>
      </c>
      <c r="Z452" s="161" t="str">
        <f>CONCATENATE(X452,"-",Y452)</f>
        <v>08-Infraestructura física, mantenimiento y dotación (Sedes construidas, mantenidas reforzadas)</v>
      </c>
      <c r="AA452" s="159" t="s">
        <v>227</v>
      </c>
      <c r="AB452" s="160" t="str">
        <f>IFERROR(VLOOKUP(AA452,TD!$N$51:$O$66,2,0)," ")</f>
        <v>Sedes mantenidas</v>
      </c>
      <c r="AC452" s="161" t="str">
        <f>CONCATENATE(AA452,"_",AB452)</f>
        <v>016_Sedes mantenidas</v>
      </c>
      <c r="AD452" s="161" t="str">
        <f>CONCATENATE(Z452," ",AC452)</f>
        <v>08-Infraestructura física, mantenimiento y dotación (Sedes construidas, mantenidas reforzadas) 016_Sedes mantenidas</v>
      </c>
      <c r="AE452" s="160" t="str">
        <f>CONCATENATE(U452,V452,W452,X452,AA452)</f>
        <v>O23011745992024020708016</v>
      </c>
      <c r="AF452" s="160" t="str">
        <f>IFERROR(VLOOKUP(AD452,TD!$J$66:$K$89,2,0)," ")</f>
        <v>PM/0131/0108/45990160207</v>
      </c>
      <c r="AG452" s="118" t="s">
        <v>385</v>
      </c>
      <c r="AH452" s="159" t="s">
        <v>193</v>
      </c>
      <c r="AI452" s="162" t="str">
        <f>CONCATENATE(PAA[[#This Row],[Id Interno]],"-",PAA[[#This Row],[tipo de Contrato (TH talento humano - B/S bienes y/o servicios)]],"-",S452,"-",T452,"-",PAA[[#This Row],[Objeto de la contratación]])</f>
        <v>20260414-TH-8126-9-Prestación de servicios de apoyo a la gestión del proceso de inventarios de la Subdirección de Gestión Corporativa.-SGC</v>
      </c>
    </row>
    <row r="453" spans="2:35" ht="56" x14ac:dyDescent="0.35">
      <c r="B453" s="23">
        <v>20260415</v>
      </c>
      <c r="C453" s="99" t="s">
        <v>696</v>
      </c>
      <c r="D453" s="23" t="s">
        <v>105</v>
      </c>
      <c r="E453" s="23" t="s">
        <v>363</v>
      </c>
      <c r="F453" s="156" t="s">
        <v>145</v>
      </c>
      <c r="G453" s="157" t="s">
        <v>373</v>
      </c>
      <c r="H453" s="158">
        <v>11</v>
      </c>
      <c r="I453" s="158">
        <v>0</v>
      </c>
      <c r="J453" s="127">
        <v>30966000</v>
      </c>
      <c r="K453" s="88" t="s">
        <v>398</v>
      </c>
      <c r="L453" s="156" t="s">
        <v>155</v>
      </c>
      <c r="M453" s="159" t="s">
        <v>422</v>
      </c>
      <c r="N453" s="23" t="s">
        <v>197</v>
      </c>
      <c r="O453" s="151" t="s">
        <v>963</v>
      </c>
      <c r="P453" s="156" t="s">
        <v>348</v>
      </c>
      <c r="Q453" s="53" t="s">
        <v>783</v>
      </c>
      <c r="R453" s="159" t="s">
        <v>208</v>
      </c>
      <c r="S453" s="159" t="str">
        <f>MID(PAA[[#This Row],[Meta Proyecto de Inversión]],1,4)</f>
        <v>8126</v>
      </c>
      <c r="T453" s="159" t="str">
        <f>MID(PAA[[#This Row],[Meta Proyecto de Inversión]],6,1)</f>
        <v>9</v>
      </c>
      <c r="U453" s="160" t="str">
        <f>IFERROR(VLOOKUP(N453,TD!$B$50:$F$54,2,0)," ")</f>
        <v>O230117</v>
      </c>
      <c r="V453" s="160" t="str">
        <f>IFERROR(VLOOKUP(N453,TD!$B$50:$F$54,3,0)," ")</f>
        <v>4599</v>
      </c>
      <c r="W453" s="160">
        <f>IFERROR(VLOOKUP(N453,TD!$B$50:$F$54,4,0)," ")</f>
        <v>20240207</v>
      </c>
      <c r="X453" s="159" t="s">
        <v>174</v>
      </c>
      <c r="Y453" s="160" t="str">
        <f>IFERROR(VLOOKUP(X453,TD!$J$51:$K$64,2,0)," ")</f>
        <v>Infraestructura física, mantenimiento y dotación (Sedes construidas, mantenidas reforzadas)</v>
      </c>
      <c r="Z453" s="161" t="str">
        <f>CONCATENATE(X453,"-",Y453)</f>
        <v>08-Infraestructura física, mantenimiento y dotación (Sedes construidas, mantenidas reforzadas)</v>
      </c>
      <c r="AA453" s="159" t="s">
        <v>227</v>
      </c>
      <c r="AB453" s="160" t="str">
        <f>IFERROR(VLOOKUP(AA453,TD!$N$51:$O$66,2,0)," ")</f>
        <v>Sedes mantenidas</v>
      </c>
      <c r="AC453" s="161" t="str">
        <f>CONCATENATE(AA453,"_",AB453)</f>
        <v>016_Sedes mantenidas</v>
      </c>
      <c r="AD453" s="161" t="str">
        <f>CONCATENATE(Z453," ",AC453)</f>
        <v>08-Infraestructura física, mantenimiento y dotación (Sedes construidas, mantenidas reforzadas) 016_Sedes mantenidas</v>
      </c>
      <c r="AE453" s="160" t="str">
        <f>CONCATENATE(U453,V453,W453,X453,AA453)</f>
        <v>O23011745992024020708016</v>
      </c>
      <c r="AF453" s="160" t="str">
        <f>IFERROR(VLOOKUP(AD453,TD!$J$66:$K$89,2,0)," ")</f>
        <v>PM/0131/0108/45990160207</v>
      </c>
      <c r="AG453" s="118" t="s">
        <v>385</v>
      </c>
      <c r="AH453" s="159" t="s">
        <v>193</v>
      </c>
      <c r="AI453" s="162" t="str">
        <f>CONCATENATE(PAA[[#This Row],[Id Interno]],"-",PAA[[#This Row],[tipo de Contrato (TH talento humano - B/S bienes y/o servicios)]],"-",S453,"-",T453,"-",PAA[[#This Row],[Objeto de la contratación]])</f>
        <v>20260415-TH-8126-9-Prestación de servicios de apoyo a la gestión del proceso de inventarios de la Subdirección de Gestión Corporativa.-SGC</v>
      </c>
    </row>
    <row r="454" spans="2:35" ht="56" x14ac:dyDescent="0.35">
      <c r="B454" s="23">
        <v>20260416</v>
      </c>
      <c r="C454" s="99" t="s">
        <v>696</v>
      </c>
      <c r="D454" s="23" t="s">
        <v>105</v>
      </c>
      <c r="E454" s="23" t="s">
        <v>363</v>
      </c>
      <c r="F454" s="156" t="s">
        <v>145</v>
      </c>
      <c r="G454" s="157" t="s">
        <v>373</v>
      </c>
      <c r="H454" s="158">
        <v>11</v>
      </c>
      <c r="I454" s="158">
        <v>0</v>
      </c>
      <c r="J454" s="127">
        <v>30966000</v>
      </c>
      <c r="K454" s="88" t="s">
        <v>398</v>
      </c>
      <c r="L454" s="156" t="s">
        <v>155</v>
      </c>
      <c r="M454" s="159" t="s">
        <v>422</v>
      </c>
      <c r="N454" s="23" t="s">
        <v>197</v>
      </c>
      <c r="O454" s="151" t="s">
        <v>963</v>
      </c>
      <c r="P454" s="156" t="s">
        <v>348</v>
      </c>
      <c r="Q454" s="53" t="s">
        <v>783</v>
      </c>
      <c r="R454" s="159" t="s">
        <v>208</v>
      </c>
      <c r="S454" s="159" t="str">
        <f>MID(PAA[[#This Row],[Meta Proyecto de Inversión]],1,4)</f>
        <v>8126</v>
      </c>
      <c r="T454" s="159" t="str">
        <f>MID(PAA[[#This Row],[Meta Proyecto de Inversión]],6,1)</f>
        <v>9</v>
      </c>
      <c r="U454" s="160" t="str">
        <f>IFERROR(VLOOKUP(N454,TD!$B$50:$F$54,2,0)," ")</f>
        <v>O230117</v>
      </c>
      <c r="V454" s="160" t="str">
        <f>IFERROR(VLOOKUP(N454,TD!$B$50:$F$54,3,0)," ")</f>
        <v>4599</v>
      </c>
      <c r="W454" s="160">
        <f>IFERROR(VLOOKUP(N454,TD!$B$50:$F$54,4,0)," ")</f>
        <v>20240207</v>
      </c>
      <c r="X454" s="159" t="s">
        <v>174</v>
      </c>
      <c r="Y454" s="160" t="str">
        <f>IFERROR(VLOOKUP(X454,TD!$J$51:$K$64,2,0)," ")</f>
        <v>Infraestructura física, mantenimiento y dotación (Sedes construidas, mantenidas reforzadas)</v>
      </c>
      <c r="Z454" s="161" t="str">
        <f>CONCATENATE(X454,"-",Y454)</f>
        <v>08-Infraestructura física, mantenimiento y dotación (Sedes construidas, mantenidas reforzadas)</v>
      </c>
      <c r="AA454" s="159" t="s">
        <v>227</v>
      </c>
      <c r="AB454" s="160" t="str">
        <f>IFERROR(VLOOKUP(AA454,TD!$N$51:$O$66,2,0)," ")</f>
        <v>Sedes mantenidas</v>
      </c>
      <c r="AC454" s="161" t="str">
        <f>CONCATENATE(AA454,"_",AB454)</f>
        <v>016_Sedes mantenidas</v>
      </c>
      <c r="AD454" s="161" t="str">
        <f>CONCATENATE(Z454," ",AC454)</f>
        <v>08-Infraestructura física, mantenimiento y dotación (Sedes construidas, mantenidas reforzadas) 016_Sedes mantenidas</v>
      </c>
      <c r="AE454" s="160" t="str">
        <f>CONCATENATE(U454,V454,W454,X454,AA454)</f>
        <v>O23011745992024020708016</v>
      </c>
      <c r="AF454" s="160" t="str">
        <f>IFERROR(VLOOKUP(AD454,TD!$J$66:$K$89,2,0)," ")</f>
        <v>PM/0131/0108/45990160207</v>
      </c>
      <c r="AG454" s="118" t="s">
        <v>385</v>
      </c>
      <c r="AH454" s="159" t="s">
        <v>193</v>
      </c>
      <c r="AI454" s="162" t="str">
        <f>CONCATENATE(PAA[[#This Row],[Id Interno]],"-",PAA[[#This Row],[tipo de Contrato (TH talento humano - B/S bienes y/o servicios)]],"-",S454,"-",T454,"-",PAA[[#This Row],[Objeto de la contratación]])</f>
        <v>20260416-TH-8126-9-Prestación de servicios de apoyo a la gestión del proceso de inventarios de la Subdirección de Gestión Corporativa.-SGC</v>
      </c>
    </row>
    <row r="455" spans="2:35" ht="56" x14ac:dyDescent="0.35">
      <c r="B455" s="23">
        <v>20260417</v>
      </c>
      <c r="C455" s="99" t="s">
        <v>697</v>
      </c>
      <c r="D455" s="23" t="s">
        <v>105</v>
      </c>
      <c r="E455" s="23" t="s">
        <v>363</v>
      </c>
      <c r="F455" s="156" t="s">
        <v>144</v>
      </c>
      <c r="G455" s="157" t="s">
        <v>373</v>
      </c>
      <c r="H455" s="158">
        <v>11</v>
      </c>
      <c r="I455" s="158">
        <v>0</v>
      </c>
      <c r="J455" s="127">
        <v>102034000</v>
      </c>
      <c r="K455" s="88" t="s">
        <v>398</v>
      </c>
      <c r="L455" s="156" t="s">
        <v>155</v>
      </c>
      <c r="M455" s="159" t="s">
        <v>422</v>
      </c>
      <c r="N455" s="23" t="s">
        <v>197</v>
      </c>
      <c r="O455" s="151" t="s">
        <v>963</v>
      </c>
      <c r="P455" s="156" t="s">
        <v>348</v>
      </c>
      <c r="Q455" s="53" t="s">
        <v>783</v>
      </c>
      <c r="R455" s="159" t="s">
        <v>208</v>
      </c>
      <c r="S455" s="159" t="str">
        <f>MID(PAA[[#This Row],[Meta Proyecto de Inversión]],1,4)</f>
        <v>8126</v>
      </c>
      <c r="T455" s="159" t="str">
        <f>MID(PAA[[#This Row],[Meta Proyecto de Inversión]],6,1)</f>
        <v>9</v>
      </c>
      <c r="U455" s="160" t="str">
        <f>IFERROR(VLOOKUP(N455,TD!$B$50:$F$54,2,0)," ")</f>
        <v>O230117</v>
      </c>
      <c r="V455" s="160" t="str">
        <f>IFERROR(VLOOKUP(N455,TD!$B$50:$F$54,3,0)," ")</f>
        <v>4599</v>
      </c>
      <c r="W455" s="160">
        <f>IFERROR(VLOOKUP(N455,TD!$B$50:$F$54,4,0)," ")</f>
        <v>20240207</v>
      </c>
      <c r="X455" s="159" t="s">
        <v>174</v>
      </c>
      <c r="Y455" s="160" t="str">
        <f>IFERROR(VLOOKUP(X455,TD!$J$51:$K$64,2,0)," ")</f>
        <v>Infraestructura física, mantenimiento y dotación (Sedes construidas, mantenidas reforzadas)</v>
      </c>
      <c r="Z455" s="161" t="str">
        <f>CONCATENATE(X455,"-",Y455)</f>
        <v>08-Infraestructura física, mantenimiento y dotación (Sedes construidas, mantenidas reforzadas)</v>
      </c>
      <c r="AA455" s="159" t="s">
        <v>227</v>
      </c>
      <c r="AB455" s="160" t="str">
        <f>IFERROR(VLOOKUP(AA455,TD!$N$51:$O$66,2,0)," ")</f>
        <v>Sedes mantenidas</v>
      </c>
      <c r="AC455" s="161" t="str">
        <f>CONCATENATE(AA455,"_",AB455)</f>
        <v>016_Sedes mantenidas</v>
      </c>
      <c r="AD455" s="161" t="str">
        <f>CONCATENATE(Z455," ",AC455)</f>
        <v>08-Infraestructura física, mantenimiento y dotación (Sedes construidas, mantenidas reforzadas) 016_Sedes mantenidas</v>
      </c>
      <c r="AE455" s="160" t="str">
        <f>CONCATENATE(U455,V455,W455,X455,AA455)</f>
        <v>O23011745992024020708016</v>
      </c>
      <c r="AF455" s="160" t="str">
        <f>IFERROR(VLOOKUP(AD455,TD!$J$66:$K$89,2,0)," ")</f>
        <v>PM/0131/0108/45990160207</v>
      </c>
      <c r="AG455" s="118" t="s">
        <v>385</v>
      </c>
      <c r="AH455" s="159" t="s">
        <v>193</v>
      </c>
      <c r="AI455" s="162" t="str">
        <f>CONCATENATE(PAA[[#This Row],[Id Interno]],"-",PAA[[#This Row],[tipo de Contrato (TH talento humano - B/S bienes y/o servicios)]],"-",S455,"-",T455,"-",PAA[[#This Row],[Objeto de la contratación]])</f>
        <v>20260417-TH-8126-9-Prestar servicios profesionales en la Subdirección de Gestión Corporativa en lo relacionado con los procesos de inventarios, almacén y bajas-SGC</v>
      </c>
    </row>
    <row r="456" spans="2:35" ht="56" x14ac:dyDescent="0.35">
      <c r="B456" s="23">
        <v>20260418</v>
      </c>
      <c r="C456" s="99" t="s">
        <v>698</v>
      </c>
      <c r="D456" s="23" t="s">
        <v>105</v>
      </c>
      <c r="E456" s="23" t="s">
        <v>363</v>
      </c>
      <c r="F456" s="156" t="s">
        <v>144</v>
      </c>
      <c r="G456" s="157" t="s">
        <v>373</v>
      </c>
      <c r="H456" s="158">
        <v>11</v>
      </c>
      <c r="I456" s="158">
        <v>0</v>
      </c>
      <c r="J456" s="127">
        <v>82390000</v>
      </c>
      <c r="K456" s="88" t="s">
        <v>398</v>
      </c>
      <c r="L456" s="156" t="s">
        <v>155</v>
      </c>
      <c r="M456" s="159" t="s">
        <v>422</v>
      </c>
      <c r="N456" s="23" t="s">
        <v>197</v>
      </c>
      <c r="O456" s="151" t="s">
        <v>963</v>
      </c>
      <c r="P456" s="156" t="s">
        <v>348</v>
      </c>
      <c r="Q456" s="53" t="s">
        <v>783</v>
      </c>
      <c r="R456" s="159" t="s">
        <v>208</v>
      </c>
      <c r="S456" s="159" t="str">
        <f>MID(PAA[[#This Row],[Meta Proyecto de Inversión]],1,4)</f>
        <v>8126</v>
      </c>
      <c r="T456" s="159" t="str">
        <f>MID(PAA[[#This Row],[Meta Proyecto de Inversión]],6,1)</f>
        <v>9</v>
      </c>
      <c r="U456" s="160" t="str">
        <f>IFERROR(VLOOKUP(N456,TD!$B$50:$F$54,2,0)," ")</f>
        <v>O230117</v>
      </c>
      <c r="V456" s="160" t="str">
        <f>IFERROR(VLOOKUP(N456,TD!$B$50:$F$54,3,0)," ")</f>
        <v>4599</v>
      </c>
      <c r="W456" s="160">
        <f>IFERROR(VLOOKUP(N456,TD!$B$50:$F$54,4,0)," ")</f>
        <v>20240207</v>
      </c>
      <c r="X456" s="159" t="s">
        <v>174</v>
      </c>
      <c r="Y456" s="160" t="str">
        <f>IFERROR(VLOOKUP(X456,TD!$J$51:$K$64,2,0)," ")</f>
        <v>Infraestructura física, mantenimiento y dotación (Sedes construidas, mantenidas reforzadas)</v>
      </c>
      <c r="Z456" s="161" t="str">
        <f>CONCATENATE(X456,"-",Y456)</f>
        <v>08-Infraestructura física, mantenimiento y dotación (Sedes construidas, mantenidas reforzadas)</v>
      </c>
      <c r="AA456" s="159" t="s">
        <v>227</v>
      </c>
      <c r="AB456" s="160" t="str">
        <f>IFERROR(VLOOKUP(AA456,TD!$N$51:$O$66,2,0)," ")</f>
        <v>Sedes mantenidas</v>
      </c>
      <c r="AC456" s="161" t="str">
        <f>CONCATENATE(AA456,"_",AB456)</f>
        <v>016_Sedes mantenidas</v>
      </c>
      <c r="AD456" s="161" t="str">
        <f>CONCATENATE(Z456," ",AC456)</f>
        <v>08-Infraestructura física, mantenimiento y dotación (Sedes construidas, mantenidas reforzadas) 016_Sedes mantenidas</v>
      </c>
      <c r="AE456" s="160" t="str">
        <f>CONCATENATE(U456,V456,W456,X456,AA456)</f>
        <v>O23011745992024020708016</v>
      </c>
      <c r="AF456" s="160" t="str">
        <f>IFERROR(VLOOKUP(AD456,TD!$J$66:$K$89,2,0)," ")</f>
        <v>PM/0131/0108/45990160207</v>
      </c>
      <c r="AG456" s="118" t="s">
        <v>385</v>
      </c>
      <c r="AH456" s="159" t="s">
        <v>193</v>
      </c>
      <c r="AI456" s="162" t="str">
        <f>CONCATENATE(PAA[[#This Row],[Id Interno]],"-",PAA[[#This Row],[tipo de Contrato (TH talento humano - B/S bienes y/o servicios)]],"-",S456,"-",T456,"-",PAA[[#This Row],[Objeto de la contratación]])</f>
        <v>20260418-TH-8126-9-Prestar servicios profesionales para desarrollar e implementar sistemas de información, brindar soporte, mantenimiento y generar interoperabilidad con la Subdirección de Gestión Corporativa -SGC</v>
      </c>
    </row>
    <row r="457" spans="2:35" ht="56" x14ac:dyDescent="0.35">
      <c r="B457" s="23">
        <v>20260419</v>
      </c>
      <c r="C457" s="99" t="s">
        <v>699</v>
      </c>
      <c r="D457" s="23" t="s">
        <v>105</v>
      </c>
      <c r="E457" s="23" t="s">
        <v>363</v>
      </c>
      <c r="F457" s="156" t="s">
        <v>144</v>
      </c>
      <c r="G457" s="157" t="s">
        <v>373</v>
      </c>
      <c r="H457" s="158">
        <v>11</v>
      </c>
      <c r="I457" s="158">
        <v>0</v>
      </c>
      <c r="J457" s="127">
        <v>75204000</v>
      </c>
      <c r="K457" s="88" t="s">
        <v>398</v>
      </c>
      <c r="L457" s="156" t="s">
        <v>155</v>
      </c>
      <c r="M457" s="159" t="s">
        <v>422</v>
      </c>
      <c r="N457" s="23" t="s">
        <v>197</v>
      </c>
      <c r="O457" s="151" t="s">
        <v>963</v>
      </c>
      <c r="P457" s="156" t="s">
        <v>348</v>
      </c>
      <c r="Q457" s="53" t="s">
        <v>783</v>
      </c>
      <c r="R457" s="159" t="s">
        <v>208</v>
      </c>
      <c r="S457" s="159" t="str">
        <f>MID(PAA[[#This Row],[Meta Proyecto de Inversión]],1,4)</f>
        <v>8126</v>
      </c>
      <c r="T457" s="159" t="str">
        <f>MID(PAA[[#This Row],[Meta Proyecto de Inversión]],6,1)</f>
        <v>9</v>
      </c>
      <c r="U457" s="160" t="str">
        <f>IFERROR(VLOOKUP(N457,TD!$B$50:$F$54,2,0)," ")</f>
        <v>O230117</v>
      </c>
      <c r="V457" s="160" t="str">
        <f>IFERROR(VLOOKUP(N457,TD!$B$50:$F$54,3,0)," ")</f>
        <v>4599</v>
      </c>
      <c r="W457" s="160">
        <f>IFERROR(VLOOKUP(N457,TD!$B$50:$F$54,4,0)," ")</f>
        <v>20240207</v>
      </c>
      <c r="X457" s="159" t="s">
        <v>174</v>
      </c>
      <c r="Y457" s="160" t="str">
        <f>IFERROR(VLOOKUP(X457,TD!$J$51:$K$64,2,0)," ")</f>
        <v>Infraestructura física, mantenimiento y dotación (Sedes construidas, mantenidas reforzadas)</v>
      </c>
      <c r="Z457" s="161" t="str">
        <f>CONCATENATE(X457,"-",Y457)</f>
        <v>08-Infraestructura física, mantenimiento y dotación (Sedes construidas, mantenidas reforzadas)</v>
      </c>
      <c r="AA457" s="159" t="s">
        <v>227</v>
      </c>
      <c r="AB457" s="160" t="str">
        <f>IFERROR(VLOOKUP(AA457,TD!$N$51:$O$66,2,0)," ")</f>
        <v>Sedes mantenidas</v>
      </c>
      <c r="AC457" s="161" t="str">
        <f>CONCATENATE(AA457,"_",AB457)</f>
        <v>016_Sedes mantenidas</v>
      </c>
      <c r="AD457" s="161" t="str">
        <f>CONCATENATE(Z457," ",AC457)</f>
        <v>08-Infraestructura física, mantenimiento y dotación (Sedes construidas, mantenidas reforzadas) 016_Sedes mantenidas</v>
      </c>
      <c r="AE457" s="160" t="str">
        <f>CONCATENATE(U457,V457,W457,X457,AA457)</f>
        <v>O23011745992024020708016</v>
      </c>
      <c r="AF457" s="160" t="str">
        <f>IFERROR(VLOOKUP(AD457,TD!$J$66:$K$89,2,0)," ")</f>
        <v>PM/0131/0108/45990160207</v>
      </c>
      <c r="AG457" s="118" t="s">
        <v>385</v>
      </c>
      <c r="AH457" s="159" t="s">
        <v>193</v>
      </c>
      <c r="AI457" s="162" t="str">
        <f>CONCATENATE(PAA[[#This Row],[Id Interno]],"-",PAA[[#This Row],[tipo de Contrato (TH talento humano - B/S bienes y/o servicios)]],"-",S457,"-",T457,"-",PAA[[#This Row],[Objeto de la contratación]])</f>
        <v>20260419-TH-8126-9-Prestación de servicios profesionales para la ejecución de los procesos contables que se desarrollan en el Área Financiera de la UAE Cuerpo Oficial de Bomberos asignados. -SGC</v>
      </c>
    </row>
    <row r="458" spans="2:35" ht="70" x14ac:dyDescent="0.35">
      <c r="B458" s="23">
        <v>20260420</v>
      </c>
      <c r="C458" s="99" t="s">
        <v>700</v>
      </c>
      <c r="D458" s="23" t="s">
        <v>105</v>
      </c>
      <c r="E458" s="23" t="s">
        <v>363</v>
      </c>
      <c r="F458" s="156" t="s">
        <v>145</v>
      </c>
      <c r="G458" s="157" t="s">
        <v>373</v>
      </c>
      <c r="H458" s="158">
        <v>11</v>
      </c>
      <c r="I458" s="158">
        <v>0</v>
      </c>
      <c r="J458" s="127">
        <v>30966000</v>
      </c>
      <c r="K458" s="88" t="s">
        <v>398</v>
      </c>
      <c r="L458" s="156" t="s">
        <v>155</v>
      </c>
      <c r="M458" s="159" t="s">
        <v>422</v>
      </c>
      <c r="N458" s="23" t="s">
        <v>197</v>
      </c>
      <c r="O458" s="151" t="s">
        <v>963</v>
      </c>
      <c r="P458" s="156" t="s">
        <v>348</v>
      </c>
      <c r="Q458" s="53" t="s">
        <v>783</v>
      </c>
      <c r="R458" s="159" t="s">
        <v>208</v>
      </c>
      <c r="S458" s="159" t="str">
        <f>MID(PAA[[#This Row],[Meta Proyecto de Inversión]],1,4)</f>
        <v>8126</v>
      </c>
      <c r="T458" s="159" t="str">
        <f>MID(PAA[[#This Row],[Meta Proyecto de Inversión]],6,1)</f>
        <v>9</v>
      </c>
      <c r="U458" s="160" t="str">
        <f>IFERROR(VLOOKUP(N458,TD!$B$50:$F$54,2,0)," ")</f>
        <v>O230117</v>
      </c>
      <c r="V458" s="160" t="str">
        <f>IFERROR(VLOOKUP(N458,TD!$B$50:$F$54,3,0)," ")</f>
        <v>4599</v>
      </c>
      <c r="W458" s="160">
        <f>IFERROR(VLOOKUP(N458,TD!$B$50:$F$54,4,0)," ")</f>
        <v>20240207</v>
      </c>
      <c r="X458" s="159" t="s">
        <v>174</v>
      </c>
      <c r="Y458" s="160" t="str">
        <f>IFERROR(VLOOKUP(X458,TD!$J$51:$K$64,2,0)," ")</f>
        <v>Infraestructura física, mantenimiento y dotación (Sedes construidas, mantenidas reforzadas)</v>
      </c>
      <c r="Z458" s="161" t="str">
        <f>CONCATENATE(X458,"-",Y458)</f>
        <v>08-Infraestructura física, mantenimiento y dotación (Sedes construidas, mantenidas reforzadas)</v>
      </c>
      <c r="AA458" s="159" t="s">
        <v>227</v>
      </c>
      <c r="AB458" s="160" t="str">
        <f>IFERROR(VLOOKUP(AA458,TD!$N$51:$O$66,2,0)," ")</f>
        <v>Sedes mantenidas</v>
      </c>
      <c r="AC458" s="161" t="str">
        <f>CONCATENATE(AA458,"_",AB458)</f>
        <v>016_Sedes mantenidas</v>
      </c>
      <c r="AD458" s="161" t="str">
        <f>CONCATENATE(Z458," ",AC458)</f>
        <v>08-Infraestructura física, mantenimiento y dotación (Sedes construidas, mantenidas reforzadas) 016_Sedes mantenidas</v>
      </c>
      <c r="AE458" s="160" t="str">
        <f>CONCATENATE(U458,V458,W458,X458,AA458)</f>
        <v>O23011745992024020708016</v>
      </c>
      <c r="AF458" s="160" t="str">
        <f>IFERROR(VLOOKUP(AD458,TD!$J$66:$K$89,2,0)," ")</f>
        <v>PM/0131/0108/45990160207</v>
      </c>
      <c r="AG458" s="118" t="s">
        <v>385</v>
      </c>
      <c r="AH458" s="159" t="s">
        <v>193</v>
      </c>
      <c r="AI458" s="162" t="str">
        <f>CONCATENATE(PAA[[#This Row],[Id Interno]],"-",PAA[[#This Row],[tipo de Contrato (TH talento humano - B/S bienes y/o servicios)]],"-",S458,"-",T458,"-",PAA[[#This Row],[Objeto de la contratación]])</f>
        <v>20260420-TH-8126-9-Prestación de servicios de apoyo a la gestión documental de la Subdirección de Gestión Corporativa de la Unidad.-SGC.</v>
      </c>
    </row>
    <row r="459" spans="2:35" ht="70" x14ac:dyDescent="0.35">
      <c r="B459" s="23">
        <v>20260422</v>
      </c>
      <c r="C459" s="99" t="s">
        <v>701</v>
      </c>
      <c r="D459" s="23" t="s">
        <v>105</v>
      </c>
      <c r="E459" s="23" t="s">
        <v>363</v>
      </c>
      <c r="F459" s="156" t="s">
        <v>145</v>
      </c>
      <c r="G459" s="157" t="s">
        <v>373</v>
      </c>
      <c r="H459" s="158">
        <v>11</v>
      </c>
      <c r="I459" s="158">
        <v>0</v>
      </c>
      <c r="J459" s="127">
        <v>40551000</v>
      </c>
      <c r="K459" s="88" t="s">
        <v>398</v>
      </c>
      <c r="L459" s="156" t="s">
        <v>155</v>
      </c>
      <c r="M459" s="159" t="s">
        <v>422</v>
      </c>
      <c r="N459" s="23" t="s">
        <v>197</v>
      </c>
      <c r="O459" s="151" t="s">
        <v>963</v>
      </c>
      <c r="P459" s="156" t="s">
        <v>348</v>
      </c>
      <c r="Q459" s="53" t="s">
        <v>783</v>
      </c>
      <c r="R459" s="159" t="s">
        <v>208</v>
      </c>
      <c r="S459" s="159" t="str">
        <f>MID(PAA[[#This Row],[Meta Proyecto de Inversión]],1,4)</f>
        <v>8126</v>
      </c>
      <c r="T459" s="159" t="str">
        <f>MID(PAA[[#This Row],[Meta Proyecto de Inversión]],6,1)</f>
        <v>9</v>
      </c>
      <c r="U459" s="160" t="str">
        <f>IFERROR(VLOOKUP(N459,TD!$B$50:$F$54,2,0)," ")</f>
        <v>O230117</v>
      </c>
      <c r="V459" s="160" t="str">
        <f>IFERROR(VLOOKUP(N459,TD!$B$50:$F$54,3,0)," ")</f>
        <v>4599</v>
      </c>
      <c r="W459" s="160">
        <f>IFERROR(VLOOKUP(N459,TD!$B$50:$F$54,4,0)," ")</f>
        <v>20240207</v>
      </c>
      <c r="X459" s="159" t="s">
        <v>174</v>
      </c>
      <c r="Y459" s="160" t="str">
        <f>IFERROR(VLOOKUP(X459,TD!$J$51:$K$64,2,0)," ")</f>
        <v>Infraestructura física, mantenimiento y dotación (Sedes construidas, mantenidas reforzadas)</v>
      </c>
      <c r="Z459" s="161" t="str">
        <f>CONCATENATE(X459,"-",Y459)</f>
        <v>08-Infraestructura física, mantenimiento y dotación (Sedes construidas, mantenidas reforzadas)</v>
      </c>
      <c r="AA459" s="159" t="s">
        <v>227</v>
      </c>
      <c r="AB459" s="160" t="str">
        <f>IFERROR(VLOOKUP(AA459,TD!$N$51:$O$66,2,0)," ")</f>
        <v>Sedes mantenidas</v>
      </c>
      <c r="AC459" s="161" t="str">
        <f>CONCATENATE(AA459,"_",AB459)</f>
        <v>016_Sedes mantenidas</v>
      </c>
      <c r="AD459" s="161" t="str">
        <f>CONCATENATE(Z459," ",AC459)</f>
        <v>08-Infraestructura física, mantenimiento y dotación (Sedes construidas, mantenidas reforzadas) 016_Sedes mantenidas</v>
      </c>
      <c r="AE459" s="160" t="str">
        <f>CONCATENATE(U459,V459,W459,X459,AA459)</f>
        <v>O23011745992024020708016</v>
      </c>
      <c r="AF459" s="160" t="str">
        <f>IFERROR(VLOOKUP(AD459,TD!$J$66:$K$89,2,0)," ")</f>
        <v>PM/0131/0108/45990160207</v>
      </c>
      <c r="AG459" s="118" t="s">
        <v>385</v>
      </c>
      <c r="AH459" s="159" t="s">
        <v>193</v>
      </c>
      <c r="AI459" s="162" t="str">
        <f>CONCATENATE(PAA[[#This Row],[Id Interno]],"-",PAA[[#This Row],[tipo de Contrato (TH talento humano - B/S bienes y/o servicios)]],"-",S459,"-",T459,"-",PAA[[#This Row],[Objeto de la contratación]])</f>
        <v>20260422-TH-8126-9-Prestación de servicios de apoyo a la gestión documental de la Subdirección de Gestión Corporativa de la Unidad.-SGC</v>
      </c>
    </row>
    <row r="460" spans="2:35" ht="42" x14ac:dyDescent="0.35">
      <c r="B460" s="23">
        <v>20260423</v>
      </c>
      <c r="C460" s="99" t="s">
        <v>701</v>
      </c>
      <c r="D460" s="23" t="s">
        <v>105</v>
      </c>
      <c r="E460" s="23" t="s">
        <v>363</v>
      </c>
      <c r="F460" s="156" t="s">
        <v>145</v>
      </c>
      <c r="G460" s="157" t="s">
        <v>373</v>
      </c>
      <c r="H460" s="158">
        <v>11</v>
      </c>
      <c r="I460" s="158">
        <v>0</v>
      </c>
      <c r="J460" s="127">
        <v>30966000</v>
      </c>
      <c r="K460" s="88" t="s">
        <v>398</v>
      </c>
      <c r="L460" s="156" t="s">
        <v>155</v>
      </c>
      <c r="M460" s="159" t="s">
        <v>422</v>
      </c>
      <c r="N460" s="23" t="s">
        <v>197</v>
      </c>
      <c r="O460" s="151" t="s">
        <v>963</v>
      </c>
      <c r="P460" s="156" t="s">
        <v>348</v>
      </c>
      <c r="Q460" s="53" t="s">
        <v>783</v>
      </c>
      <c r="R460" s="159" t="s">
        <v>208</v>
      </c>
      <c r="S460" s="159" t="str">
        <f>MID(PAA[[#This Row],[Meta Proyecto de Inversión]],1,4)</f>
        <v>8126</v>
      </c>
      <c r="T460" s="159" t="str">
        <f>MID(PAA[[#This Row],[Meta Proyecto de Inversión]],6,1)</f>
        <v>9</v>
      </c>
      <c r="U460" s="160" t="str">
        <f>IFERROR(VLOOKUP(N460,TD!$B$50:$F$54,2,0)," ")</f>
        <v>O230117</v>
      </c>
      <c r="V460" s="160" t="str">
        <f>IFERROR(VLOOKUP(N460,TD!$B$50:$F$54,3,0)," ")</f>
        <v>4599</v>
      </c>
      <c r="W460" s="160">
        <f>IFERROR(VLOOKUP(N460,TD!$B$50:$F$54,4,0)," ")</f>
        <v>20240207</v>
      </c>
      <c r="X460" s="159" t="s">
        <v>174</v>
      </c>
      <c r="Y460" s="160" t="str">
        <f>IFERROR(VLOOKUP(X460,TD!$J$51:$K$64,2,0)," ")</f>
        <v>Infraestructura física, mantenimiento y dotación (Sedes construidas, mantenidas reforzadas)</v>
      </c>
      <c r="Z460" s="161" t="str">
        <f>CONCATENATE(X460,"-",Y460)</f>
        <v>08-Infraestructura física, mantenimiento y dotación (Sedes construidas, mantenidas reforzadas)</v>
      </c>
      <c r="AA460" s="159" t="s">
        <v>227</v>
      </c>
      <c r="AB460" s="160" t="str">
        <f>IFERROR(VLOOKUP(AA460,TD!$N$51:$O$66,2,0)," ")</f>
        <v>Sedes mantenidas</v>
      </c>
      <c r="AC460" s="161" t="str">
        <f>CONCATENATE(AA460,"_",AB460)</f>
        <v>016_Sedes mantenidas</v>
      </c>
      <c r="AD460" s="161" t="str">
        <f>CONCATENATE(Z460," ",AC460)</f>
        <v>08-Infraestructura física, mantenimiento y dotación (Sedes construidas, mantenidas reforzadas) 016_Sedes mantenidas</v>
      </c>
      <c r="AE460" s="160" t="str">
        <f>CONCATENATE(U460,V460,W460,X460,AA460)</f>
        <v>O23011745992024020708016</v>
      </c>
      <c r="AF460" s="160" t="str">
        <f>IFERROR(VLOOKUP(AD460,TD!$J$66:$K$89,2,0)," ")</f>
        <v>PM/0131/0108/45990160207</v>
      </c>
      <c r="AG460" s="118" t="s">
        <v>385</v>
      </c>
      <c r="AH460" s="159" t="s">
        <v>193</v>
      </c>
      <c r="AI460" s="162" t="str">
        <f>CONCATENATE(PAA[[#This Row],[Id Interno]],"-",PAA[[#This Row],[tipo de Contrato (TH talento humano - B/S bienes y/o servicios)]],"-",S460,"-",T460,"-",PAA[[#This Row],[Objeto de la contratación]])</f>
        <v>20260423-TH-8126-9-Prestación de servicios de apoyo a la gestión documental de la Subdirección de Gestión Corporativa de la Unidad.-SGC</v>
      </c>
    </row>
    <row r="461" spans="2:35" ht="56" x14ac:dyDescent="0.35">
      <c r="B461" s="23">
        <v>20260424</v>
      </c>
      <c r="C461" s="99" t="s">
        <v>701</v>
      </c>
      <c r="D461" s="23" t="s">
        <v>105</v>
      </c>
      <c r="E461" s="23" t="s">
        <v>363</v>
      </c>
      <c r="F461" s="156" t="s">
        <v>145</v>
      </c>
      <c r="G461" s="157" t="s">
        <v>373</v>
      </c>
      <c r="H461" s="158">
        <v>11</v>
      </c>
      <c r="I461" s="158">
        <v>0</v>
      </c>
      <c r="J461" s="127">
        <v>34100000</v>
      </c>
      <c r="K461" s="88" t="s">
        <v>398</v>
      </c>
      <c r="L461" s="156" t="s">
        <v>155</v>
      </c>
      <c r="M461" s="159" t="s">
        <v>422</v>
      </c>
      <c r="N461" s="23" t="s">
        <v>197</v>
      </c>
      <c r="O461" s="151" t="s">
        <v>963</v>
      </c>
      <c r="P461" s="156" t="s">
        <v>348</v>
      </c>
      <c r="Q461" s="53" t="s">
        <v>783</v>
      </c>
      <c r="R461" s="159" t="s">
        <v>208</v>
      </c>
      <c r="S461" s="159" t="str">
        <f>MID(PAA[[#This Row],[Meta Proyecto de Inversión]],1,4)</f>
        <v>8126</v>
      </c>
      <c r="T461" s="159" t="str">
        <f>MID(PAA[[#This Row],[Meta Proyecto de Inversión]],6,1)</f>
        <v>9</v>
      </c>
      <c r="U461" s="160" t="str">
        <f>IFERROR(VLOOKUP(N461,TD!$B$50:$F$54,2,0)," ")</f>
        <v>O230117</v>
      </c>
      <c r="V461" s="160" t="str">
        <f>IFERROR(VLOOKUP(N461,TD!$B$50:$F$54,3,0)," ")</f>
        <v>4599</v>
      </c>
      <c r="W461" s="160">
        <f>IFERROR(VLOOKUP(N461,TD!$B$50:$F$54,4,0)," ")</f>
        <v>20240207</v>
      </c>
      <c r="X461" s="159" t="s">
        <v>174</v>
      </c>
      <c r="Y461" s="160" t="str">
        <f>IFERROR(VLOOKUP(X461,TD!$J$51:$K$64,2,0)," ")</f>
        <v>Infraestructura física, mantenimiento y dotación (Sedes construidas, mantenidas reforzadas)</v>
      </c>
      <c r="Z461" s="161" t="str">
        <f>CONCATENATE(X461,"-",Y461)</f>
        <v>08-Infraestructura física, mantenimiento y dotación (Sedes construidas, mantenidas reforzadas)</v>
      </c>
      <c r="AA461" s="159" t="s">
        <v>227</v>
      </c>
      <c r="AB461" s="160" t="str">
        <f>IFERROR(VLOOKUP(AA461,TD!$N$51:$O$66,2,0)," ")</f>
        <v>Sedes mantenidas</v>
      </c>
      <c r="AC461" s="161" t="str">
        <f>CONCATENATE(AA461,"_",AB461)</f>
        <v>016_Sedes mantenidas</v>
      </c>
      <c r="AD461" s="161" t="str">
        <f>CONCATENATE(Z461," ",AC461)</f>
        <v>08-Infraestructura física, mantenimiento y dotación (Sedes construidas, mantenidas reforzadas) 016_Sedes mantenidas</v>
      </c>
      <c r="AE461" s="160" t="str">
        <f>CONCATENATE(U461,V461,W461,X461,AA461)</f>
        <v>O23011745992024020708016</v>
      </c>
      <c r="AF461" s="160" t="str">
        <f>IFERROR(VLOOKUP(AD461,TD!$J$66:$K$89,2,0)," ")</f>
        <v>PM/0131/0108/45990160207</v>
      </c>
      <c r="AG461" s="118" t="s">
        <v>385</v>
      </c>
      <c r="AH461" s="159" t="s">
        <v>193</v>
      </c>
      <c r="AI461" s="162" t="str">
        <f>CONCATENATE(PAA[[#This Row],[Id Interno]],"-",PAA[[#This Row],[tipo de Contrato (TH talento humano - B/S bienes y/o servicios)]],"-",S461,"-",T461,"-",PAA[[#This Row],[Objeto de la contratación]])</f>
        <v>20260424-TH-8126-9-Prestación de servicios de apoyo a la gestión documental de la Subdirección de Gestión Corporativa de la Unidad.-SGC</v>
      </c>
    </row>
    <row r="462" spans="2:35" ht="56" x14ac:dyDescent="0.35">
      <c r="B462" s="23">
        <v>20260425</v>
      </c>
      <c r="C462" s="99" t="s">
        <v>702</v>
      </c>
      <c r="D462" s="23" t="s">
        <v>105</v>
      </c>
      <c r="E462" s="23" t="s">
        <v>363</v>
      </c>
      <c r="F462" s="156" t="s">
        <v>144</v>
      </c>
      <c r="G462" s="157" t="s">
        <v>373</v>
      </c>
      <c r="H462" s="158">
        <v>11</v>
      </c>
      <c r="I462" s="158">
        <v>0</v>
      </c>
      <c r="J462" s="127">
        <v>56772000</v>
      </c>
      <c r="K462" s="88" t="s">
        <v>398</v>
      </c>
      <c r="L462" s="156" t="s">
        <v>155</v>
      </c>
      <c r="M462" s="159" t="s">
        <v>422</v>
      </c>
      <c r="N462" s="23" t="s">
        <v>197</v>
      </c>
      <c r="O462" s="151" t="s">
        <v>963</v>
      </c>
      <c r="P462" s="156" t="s">
        <v>348</v>
      </c>
      <c r="Q462" s="53" t="s">
        <v>783</v>
      </c>
      <c r="R462" s="159" t="s">
        <v>208</v>
      </c>
      <c r="S462" s="159" t="str">
        <f>MID(PAA[[#This Row],[Meta Proyecto de Inversión]],1,4)</f>
        <v>8126</v>
      </c>
      <c r="T462" s="159" t="str">
        <f>MID(PAA[[#This Row],[Meta Proyecto de Inversión]],6,1)</f>
        <v>9</v>
      </c>
      <c r="U462" s="160" t="str">
        <f>IFERROR(VLOOKUP(N462,TD!$B$50:$F$54,2,0)," ")</f>
        <v>O230117</v>
      </c>
      <c r="V462" s="160" t="str">
        <f>IFERROR(VLOOKUP(N462,TD!$B$50:$F$54,3,0)," ")</f>
        <v>4599</v>
      </c>
      <c r="W462" s="160">
        <f>IFERROR(VLOOKUP(N462,TD!$B$50:$F$54,4,0)," ")</f>
        <v>20240207</v>
      </c>
      <c r="X462" s="159" t="s">
        <v>174</v>
      </c>
      <c r="Y462" s="160" t="str">
        <f>IFERROR(VLOOKUP(X462,TD!$J$51:$K$64,2,0)," ")</f>
        <v>Infraestructura física, mantenimiento y dotación (Sedes construidas, mantenidas reforzadas)</v>
      </c>
      <c r="Z462" s="161" t="str">
        <f>CONCATENATE(X462,"-",Y462)</f>
        <v>08-Infraestructura física, mantenimiento y dotación (Sedes construidas, mantenidas reforzadas)</v>
      </c>
      <c r="AA462" s="159" t="s">
        <v>227</v>
      </c>
      <c r="AB462" s="160" t="str">
        <f>IFERROR(VLOOKUP(AA462,TD!$N$51:$O$66,2,0)," ")</f>
        <v>Sedes mantenidas</v>
      </c>
      <c r="AC462" s="161" t="str">
        <f>CONCATENATE(AA462,"_",AB462)</f>
        <v>016_Sedes mantenidas</v>
      </c>
      <c r="AD462" s="161" t="str">
        <f>CONCATENATE(Z462," ",AC462)</f>
        <v>08-Infraestructura física, mantenimiento y dotación (Sedes construidas, mantenidas reforzadas) 016_Sedes mantenidas</v>
      </c>
      <c r="AE462" s="160" t="str">
        <f>CONCATENATE(U462,V462,W462,X462,AA462)</f>
        <v>O23011745992024020708016</v>
      </c>
      <c r="AF462" s="160" t="str">
        <f>IFERROR(VLOOKUP(AD462,TD!$J$66:$K$89,2,0)," ")</f>
        <v>PM/0131/0108/45990160207</v>
      </c>
      <c r="AG462" s="118" t="s">
        <v>385</v>
      </c>
      <c r="AH462" s="159" t="s">
        <v>193</v>
      </c>
      <c r="AI462" s="162" t="str">
        <f>CONCATENATE(PAA[[#This Row],[Id Interno]],"-",PAA[[#This Row],[tipo de Contrato (TH talento humano - B/S bienes y/o servicios)]],"-",S462,"-",T462,"-",PAA[[#This Row],[Objeto de la contratación]])</f>
        <v>20260425-TH-8126-9-Prestación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63" spans="2:35" ht="56" x14ac:dyDescent="0.35">
      <c r="B463" s="23">
        <v>20260426</v>
      </c>
      <c r="C463" s="99" t="s">
        <v>702</v>
      </c>
      <c r="D463" s="23" t="s">
        <v>105</v>
      </c>
      <c r="E463" s="23" t="s">
        <v>363</v>
      </c>
      <c r="F463" s="156" t="s">
        <v>144</v>
      </c>
      <c r="G463" s="157" t="s">
        <v>373</v>
      </c>
      <c r="H463" s="158">
        <v>11</v>
      </c>
      <c r="I463" s="158">
        <v>0</v>
      </c>
      <c r="J463" s="127">
        <v>56772000</v>
      </c>
      <c r="K463" s="88" t="s">
        <v>398</v>
      </c>
      <c r="L463" s="156" t="s">
        <v>155</v>
      </c>
      <c r="M463" s="159" t="s">
        <v>422</v>
      </c>
      <c r="N463" s="23" t="s">
        <v>197</v>
      </c>
      <c r="O463" s="151" t="s">
        <v>963</v>
      </c>
      <c r="P463" s="156" t="s">
        <v>348</v>
      </c>
      <c r="Q463" s="53" t="s">
        <v>783</v>
      </c>
      <c r="R463" s="159" t="s">
        <v>208</v>
      </c>
      <c r="S463" s="159" t="str">
        <f>MID(PAA[[#This Row],[Meta Proyecto de Inversión]],1,4)</f>
        <v>8126</v>
      </c>
      <c r="T463" s="159" t="str">
        <f>MID(PAA[[#This Row],[Meta Proyecto de Inversión]],6,1)</f>
        <v>9</v>
      </c>
      <c r="U463" s="160" t="str">
        <f>IFERROR(VLOOKUP(N463,TD!$B$50:$F$54,2,0)," ")</f>
        <v>O230117</v>
      </c>
      <c r="V463" s="160" t="str">
        <f>IFERROR(VLOOKUP(N463,TD!$B$50:$F$54,3,0)," ")</f>
        <v>4599</v>
      </c>
      <c r="W463" s="160">
        <f>IFERROR(VLOOKUP(N463,TD!$B$50:$F$54,4,0)," ")</f>
        <v>20240207</v>
      </c>
      <c r="X463" s="159" t="s">
        <v>174</v>
      </c>
      <c r="Y463" s="160" t="str">
        <f>IFERROR(VLOOKUP(X463,TD!$J$51:$K$64,2,0)," ")</f>
        <v>Infraestructura física, mantenimiento y dotación (Sedes construidas, mantenidas reforzadas)</v>
      </c>
      <c r="Z463" s="161" t="str">
        <f>CONCATENATE(X463,"-",Y463)</f>
        <v>08-Infraestructura física, mantenimiento y dotación (Sedes construidas, mantenidas reforzadas)</v>
      </c>
      <c r="AA463" s="159" t="s">
        <v>227</v>
      </c>
      <c r="AB463" s="160" t="str">
        <f>IFERROR(VLOOKUP(AA463,TD!$N$51:$O$66,2,0)," ")</f>
        <v>Sedes mantenidas</v>
      </c>
      <c r="AC463" s="161" t="str">
        <f>CONCATENATE(AA463,"_",AB463)</f>
        <v>016_Sedes mantenidas</v>
      </c>
      <c r="AD463" s="161" t="str">
        <f>CONCATENATE(Z463," ",AC463)</f>
        <v>08-Infraestructura física, mantenimiento y dotación (Sedes construidas, mantenidas reforzadas) 016_Sedes mantenidas</v>
      </c>
      <c r="AE463" s="160" t="str">
        <f>CONCATENATE(U463,V463,W463,X463,AA463)</f>
        <v>O23011745992024020708016</v>
      </c>
      <c r="AF463" s="160" t="str">
        <f>IFERROR(VLOOKUP(AD463,TD!$J$66:$K$89,2,0)," ")</f>
        <v>PM/0131/0108/45990160207</v>
      </c>
      <c r="AG463" s="118" t="s">
        <v>385</v>
      </c>
      <c r="AH463" s="159" t="s">
        <v>193</v>
      </c>
      <c r="AI463" s="162" t="str">
        <f>CONCATENATE(PAA[[#This Row],[Id Interno]],"-",PAA[[#This Row],[tipo de Contrato (TH talento humano - B/S bienes y/o servicios)]],"-",S463,"-",T463,"-",PAA[[#This Row],[Objeto de la contratación]])</f>
        <v>20260426-TH-8126-9-Prestación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464" spans="2:35" ht="70" x14ac:dyDescent="0.35">
      <c r="B464" s="23">
        <v>20260427</v>
      </c>
      <c r="C464" s="99" t="s">
        <v>703</v>
      </c>
      <c r="D464" s="23" t="s">
        <v>105</v>
      </c>
      <c r="E464" s="23" t="s">
        <v>363</v>
      </c>
      <c r="F464" s="156" t="s">
        <v>144</v>
      </c>
      <c r="G464" s="157" t="s">
        <v>373</v>
      </c>
      <c r="H464" s="158">
        <v>11</v>
      </c>
      <c r="I464" s="158">
        <v>0</v>
      </c>
      <c r="J464" s="127">
        <v>75204000</v>
      </c>
      <c r="K464" s="88" t="s">
        <v>398</v>
      </c>
      <c r="L464" s="156" t="s">
        <v>155</v>
      </c>
      <c r="M464" s="159" t="s">
        <v>422</v>
      </c>
      <c r="N464" s="23" t="s">
        <v>197</v>
      </c>
      <c r="O464" s="151" t="s">
        <v>963</v>
      </c>
      <c r="P464" s="156" t="s">
        <v>348</v>
      </c>
      <c r="Q464" s="53" t="s">
        <v>783</v>
      </c>
      <c r="R464" s="159" t="s">
        <v>208</v>
      </c>
      <c r="S464" s="159" t="str">
        <f>MID(PAA[[#This Row],[Meta Proyecto de Inversión]],1,4)</f>
        <v>8126</v>
      </c>
      <c r="T464" s="159" t="str">
        <f>MID(PAA[[#This Row],[Meta Proyecto de Inversión]],6,1)</f>
        <v>9</v>
      </c>
      <c r="U464" s="160" t="str">
        <f>IFERROR(VLOOKUP(N464,TD!$B$50:$F$54,2,0)," ")</f>
        <v>O230117</v>
      </c>
      <c r="V464" s="160" t="str">
        <f>IFERROR(VLOOKUP(N464,TD!$B$50:$F$54,3,0)," ")</f>
        <v>4599</v>
      </c>
      <c r="W464" s="160">
        <f>IFERROR(VLOOKUP(N464,TD!$B$50:$F$54,4,0)," ")</f>
        <v>20240207</v>
      </c>
      <c r="X464" s="159" t="s">
        <v>174</v>
      </c>
      <c r="Y464" s="160" t="str">
        <f>IFERROR(VLOOKUP(X464,TD!$J$51:$K$64,2,0)," ")</f>
        <v>Infraestructura física, mantenimiento y dotación (Sedes construidas, mantenidas reforzadas)</v>
      </c>
      <c r="Z464" s="161" t="str">
        <f>CONCATENATE(X464,"-",Y464)</f>
        <v>08-Infraestructura física, mantenimiento y dotación (Sedes construidas, mantenidas reforzadas)</v>
      </c>
      <c r="AA464" s="159" t="s">
        <v>227</v>
      </c>
      <c r="AB464" s="160" t="str">
        <f>IFERROR(VLOOKUP(AA464,TD!$N$51:$O$66,2,0)," ")</f>
        <v>Sedes mantenidas</v>
      </c>
      <c r="AC464" s="161" t="str">
        <f>CONCATENATE(AA464,"_",AB464)</f>
        <v>016_Sedes mantenidas</v>
      </c>
      <c r="AD464" s="161" t="str">
        <f>CONCATENATE(Z464," ",AC464)</f>
        <v>08-Infraestructura física, mantenimiento y dotación (Sedes construidas, mantenidas reforzadas) 016_Sedes mantenidas</v>
      </c>
      <c r="AE464" s="160" t="str">
        <f>CONCATENATE(U464,V464,W464,X464,AA464)</f>
        <v>O23011745992024020708016</v>
      </c>
      <c r="AF464" s="160" t="str">
        <f>IFERROR(VLOOKUP(AD464,TD!$J$66:$K$89,2,0)," ")</f>
        <v>PM/0131/0108/45990160207</v>
      </c>
      <c r="AG464" s="118" t="s">
        <v>385</v>
      </c>
      <c r="AH464" s="159" t="s">
        <v>193</v>
      </c>
      <c r="AI464" s="162" t="str">
        <f>CONCATENATE(PAA[[#This Row],[Id Interno]],"-",PAA[[#This Row],[tipo de Contrato (TH talento humano - B/S bienes y/o servicios)]],"-",S464,"-",T464,"-",PAA[[#This Row],[Objeto de la contratación]])</f>
        <v>20260427-TH-8126-9-Prestar los servicios profesionales para la gestión administrativa y operativa de la Subdirección de Gestión Corporativa en el proceso de adquisición de bienes y servicios - SGC</v>
      </c>
    </row>
    <row r="465" spans="2:35" ht="70" x14ac:dyDescent="0.35">
      <c r="B465" s="23">
        <v>20260428</v>
      </c>
      <c r="C465" s="157" t="s">
        <v>704</v>
      </c>
      <c r="D465" s="23" t="s">
        <v>105</v>
      </c>
      <c r="E465" s="23" t="s">
        <v>363</v>
      </c>
      <c r="F465" s="156" t="s">
        <v>145</v>
      </c>
      <c r="G465" s="157" t="s">
        <v>373</v>
      </c>
      <c r="H465" s="158">
        <v>11</v>
      </c>
      <c r="I465" s="158">
        <v>0</v>
      </c>
      <c r="J465" s="127">
        <v>38060000</v>
      </c>
      <c r="K465" s="88" t="s">
        <v>398</v>
      </c>
      <c r="L465" s="156" t="s">
        <v>155</v>
      </c>
      <c r="M465" s="159" t="s">
        <v>422</v>
      </c>
      <c r="N465" s="23" t="s">
        <v>197</v>
      </c>
      <c r="O465" s="151" t="s">
        <v>963</v>
      </c>
      <c r="P465" s="156" t="s">
        <v>348</v>
      </c>
      <c r="Q465" s="53" t="s">
        <v>783</v>
      </c>
      <c r="R465" s="159" t="s">
        <v>208</v>
      </c>
      <c r="S465" s="159" t="str">
        <f>MID(PAA[[#This Row],[Meta Proyecto de Inversión]],1,4)</f>
        <v>8126</v>
      </c>
      <c r="T465" s="159" t="str">
        <f>MID(PAA[[#This Row],[Meta Proyecto de Inversión]],6,1)</f>
        <v>9</v>
      </c>
      <c r="U465" s="160" t="str">
        <f>IFERROR(VLOOKUP(N465,TD!$B$50:$F$54,2,0)," ")</f>
        <v>O230117</v>
      </c>
      <c r="V465" s="160" t="str">
        <f>IFERROR(VLOOKUP(N465,TD!$B$50:$F$54,3,0)," ")</f>
        <v>4599</v>
      </c>
      <c r="W465" s="160">
        <f>IFERROR(VLOOKUP(N465,TD!$B$50:$F$54,4,0)," ")</f>
        <v>20240207</v>
      </c>
      <c r="X465" s="159" t="s">
        <v>174</v>
      </c>
      <c r="Y465" s="160" t="str">
        <f>IFERROR(VLOOKUP(X465,TD!$J$51:$K$64,2,0)," ")</f>
        <v>Infraestructura física, mantenimiento y dotación (Sedes construidas, mantenidas reforzadas)</v>
      </c>
      <c r="Z465" s="161" t="str">
        <f>CONCATENATE(X465,"-",Y465)</f>
        <v>08-Infraestructura física, mantenimiento y dotación (Sedes construidas, mantenidas reforzadas)</v>
      </c>
      <c r="AA465" s="159" t="s">
        <v>227</v>
      </c>
      <c r="AB465" s="160" t="str">
        <f>IFERROR(VLOOKUP(AA465,TD!$N$51:$O$66,2,0)," ")</f>
        <v>Sedes mantenidas</v>
      </c>
      <c r="AC465" s="161" t="str">
        <f>CONCATENATE(AA465,"_",AB465)</f>
        <v>016_Sedes mantenidas</v>
      </c>
      <c r="AD465" s="161" t="str">
        <f>CONCATENATE(Z465," ",AC465)</f>
        <v>08-Infraestructura física, mantenimiento y dotación (Sedes construidas, mantenidas reforzadas) 016_Sedes mantenidas</v>
      </c>
      <c r="AE465" s="160" t="str">
        <f>CONCATENATE(U465,V465,W465,X465,AA465)</f>
        <v>O23011745992024020708016</v>
      </c>
      <c r="AF465" s="160" t="str">
        <f>IFERROR(VLOOKUP(AD465,TD!$J$66:$K$89,2,0)," ")</f>
        <v>PM/0131/0108/45990160207</v>
      </c>
      <c r="AG465" s="118" t="s">
        <v>385</v>
      </c>
      <c r="AH465" s="159" t="s">
        <v>193</v>
      </c>
      <c r="AI465" s="162" t="str">
        <f>CONCATENATE(PAA[[#This Row],[Id Interno]],"-",PAA[[#This Row],[tipo de Contrato (TH talento humano - B/S bienes y/o servicios)]],"-",S465,"-",T465,"-",PAA[[#This Row],[Objeto de la contratación]])</f>
        <v>20260428-TH-8126-9-Prestar los servicios como conductor de la Subdirección de Gestión Corporativa -SGC</v>
      </c>
    </row>
    <row r="466" spans="2:35" ht="56" x14ac:dyDescent="0.35">
      <c r="B466" s="23">
        <v>20260429</v>
      </c>
      <c r="C466" s="157" t="s">
        <v>705</v>
      </c>
      <c r="D466" s="23" t="s">
        <v>105</v>
      </c>
      <c r="E466" s="23" t="s">
        <v>363</v>
      </c>
      <c r="F466" s="156" t="s">
        <v>144</v>
      </c>
      <c r="G466" s="157" t="s">
        <v>373</v>
      </c>
      <c r="H466" s="158">
        <v>11</v>
      </c>
      <c r="I466" s="158">
        <v>0</v>
      </c>
      <c r="J466" s="127">
        <v>75204000</v>
      </c>
      <c r="K466" s="88" t="s">
        <v>398</v>
      </c>
      <c r="L466" s="156" t="s">
        <v>155</v>
      </c>
      <c r="M466" s="159" t="s">
        <v>422</v>
      </c>
      <c r="N466" s="23" t="s">
        <v>197</v>
      </c>
      <c r="O466" s="151" t="s">
        <v>963</v>
      </c>
      <c r="P466" s="156" t="s">
        <v>348</v>
      </c>
      <c r="Q466" s="53" t="s">
        <v>783</v>
      </c>
      <c r="R466" s="159" t="s">
        <v>208</v>
      </c>
      <c r="S466" s="159" t="str">
        <f>MID(PAA[[#This Row],[Meta Proyecto de Inversión]],1,4)</f>
        <v>8126</v>
      </c>
      <c r="T466" s="159" t="str">
        <f>MID(PAA[[#This Row],[Meta Proyecto de Inversión]],6,1)</f>
        <v>9</v>
      </c>
      <c r="U466" s="160" t="str">
        <f>IFERROR(VLOOKUP(N466,TD!$B$50:$F$54,2,0)," ")</f>
        <v>O230117</v>
      </c>
      <c r="V466" s="160" t="str">
        <f>IFERROR(VLOOKUP(N466,TD!$B$50:$F$54,3,0)," ")</f>
        <v>4599</v>
      </c>
      <c r="W466" s="160">
        <f>IFERROR(VLOOKUP(N466,TD!$B$50:$F$54,4,0)," ")</f>
        <v>20240207</v>
      </c>
      <c r="X466" s="159" t="s">
        <v>174</v>
      </c>
      <c r="Y466" s="160" t="str">
        <f>IFERROR(VLOOKUP(X466,TD!$J$51:$K$64,2,0)," ")</f>
        <v>Infraestructura física, mantenimiento y dotación (Sedes construidas, mantenidas reforzadas)</v>
      </c>
      <c r="Z466" s="161" t="str">
        <f>CONCATENATE(X466,"-",Y466)</f>
        <v>08-Infraestructura física, mantenimiento y dotación (Sedes construidas, mantenidas reforzadas)</v>
      </c>
      <c r="AA466" s="159" t="s">
        <v>227</v>
      </c>
      <c r="AB466" s="160" t="str">
        <f>IFERROR(VLOOKUP(AA466,TD!$N$51:$O$66,2,0)," ")</f>
        <v>Sedes mantenidas</v>
      </c>
      <c r="AC466" s="161" t="str">
        <f>CONCATENATE(AA466,"_",AB466)</f>
        <v>016_Sedes mantenidas</v>
      </c>
      <c r="AD466" s="161" t="str">
        <f>CONCATENATE(Z466," ",AC466)</f>
        <v>08-Infraestructura física, mantenimiento y dotación (Sedes construidas, mantenidas reforzadas) 016_Sedes mantenidas</v>
      </c>
      <c r="AE466" s="160" t="str">
        <f>CONCATENATE(U466,V466,W466,X466,AA466)</f>
        <v>O23011745992024020708016</v>
      </c>
      <c r="AF466" s="160" t="str">
        <f>IFERROR(VLOOKUP(AD466,TD!$J$66:$K$89,2,0)," ")</f>
        <v>PM/0131/0108/45990160207</v>
      </c>
      <c r="AG466" s="118" t="s">
        <v>385</v>
      </c>
      <c r="AH466" s="159" t="s">
        <v>193</v>
      </c>
      <c r="AI466" s="162" t="str">
        <f>CONCATENATE(PAA[[#This Row],[Id Interno]],"-",PAA[[#This Row],[tipo de Contrato (TH talento humano - B/S bienes y/o servicios)]],"-",S466,"-",T466,"-",PAA[[#This Row],[Objeto de la contratación]])</f>
        <v>20260429-TH-8126-9-Prestar servicios profesionales en la Subdirección de Gestión Corporativa en el marco de las actividades administrativas de la Dependencia.-SGC</v>
      </c>
    </row>
    <row r="467" spans="2:35" ht="70" x14ac:dyDescent="0.35">
      <c r="B467" s="23">
        <v>20260430</v>
      </c>
      <c r="C467" s="157" t="s">
        <v>685</v>
      </c>
      <c r="D467" s="23" t="s">
        <v>105</v>
      </c>
      <c r="E467" s="23" t="s">
        <v>363</v>
      </c>
      <c r="F467" s="156" t="s">
        <v>144</v>
      </c>
      <c r="G467" s="157" t="s">
        <v>373</v>
      </c>
      <c r="H467" s="158">
        <v>11</v>
      </c>
      <c r="I467" s="158">
        <v>0</v>
      </c>
      <c r="J467" s="127">
        <v>99000000</v>
      </c>
      <c r="K467" s="88" t="s">
        <v>398</v>
      </c>
      <c r="L467" s="156" t="s">
        <v>155</v>
      </c>
      <c r="M467" s="159" t="s">
        <v>422</v>
      </c>
      <c r="N467" s="23" t="s">
        <v>198</v>
      </c>
      <c r="O467" s="151" t="s">
        <v>964</v>
      </c>
      <c r="P467" s="156" t="s">
        <v>348</v>
      </c>
      <c r="Q467" s="53" t="s">
        <v>783</v>
      </c>
      <c r="R467" s="159" t="s">
        <v>216</v>
      </c>
      <c r="S467" s="159" t="str">
        <f>MID(PAA[[#This Row],[Meta Proyecto de Inversión]],1,4)</f>
        <v>8173</v>
      </c>
      <c r="T467" s="159" t="str">
        <f>MID(PAA[[#This Row],[Meta Proyecto de Inversión]],6,1)</f>
        <v>7</v>
      </c>
      <c r="U467" s="160" t="str">
        <f>IFERROR(VLOOKUP(N467,TD!$B$50:$F$54,2,0)," ")</f>
        <v>O230117</v>
      </c>
      <c r="V467" s="160" t="str">
        <f>IFERROR(VLOOKUP(N467,TD!$B$50:$F$54,3,0)," ")</f>
        <v>4503</v>
      </c>
      <c r="W467" s="160">
        <f>IFERROR(VLOOKUP(N467,TD!$B$50:$F$54,4,0)," ")</f>
        <v>20240255</v>
      </c>
      <c r="X467" s="159">
        <v>14</v>
      </c>
      <c r="Y467" s="160" t="str">
        <f>IFERROR(VLOOKUP(X467,TD!$J$51:$K$64,2,0)," ")</f>
        <v xml:space="preserve">Infraestructura física misional construida mantenida y dotada </v>
      </c>
      <c r="Z467" s="161" t="str">
        <f>CONCATENATE(X467,"-",Y467)</f>
        <v xml:space="preserve">14-Infraestructura física misional construida mantenida y dotada </v>
      </c>
      <c r="AA467" s="159" t="s">
        <v>225</v>
      </c>
      <c r="AB467" s="160" t="str">
        <f>IFERROR(VLOOKUP(AA467,TD!$N$51:$O$66,2,0)," ")</f>
        <v>Estaciones de bomberos adecuadas</v>
      </c>
      <c r="AC467" s="161" t="str">
        <f>CONCATENATE(AA467,"_",AB467)</f>
        <v>014_Estaciones de bomberos adecuadas</v>
      </c>
      <c r="AD467" s="161" t="str">
        <f>CONCATENATE(Z467," ",AC467)</f>
        <v>14-Infraestructura física misional construida mantenida y dotada  014_Estaciones de bomberos adecuadas</v>
      </c>
      <c r="AE467" s="160" t="str">
        <f>CONCATENATE(U467,V467,W467,X467,AA467)</f>
        <v>O23011745032024025514014</v>
      </c>
      <c r="AF467" s="160" t="str">
        <f>IFERROR(VLOOKUP(AD467,TD!$J$66:$K$89,2,0)," ")</f>
        <v>PM/0131/0114/45030140255</v>
      </c>
      <c r="AG467" s="118" t="s">
        <v>385</v>
      </c>
      <c r="AH467" s="159" t="s">
        <v>193</v>
      </c>
      <c r="AI467" s="162" t="str">
        <f>CONCATENATE(PAA[[#This Row],[Id Interno]],"-",PAA[[#This Row],[tipo de Contrato (TH talento humano - B/S bienes y/o servicios)]],"-",S467,"-",T467,"-",PAA[[#This Row],[Objeto de la contratación]])</f>
        <v>20260430-TH-8173-7-Prestación de servicios profesionales para apoyar las actividades de estructuración de procesos contractuales del Área de Infraestructura de la Subdirección de Gestión Corporativa-SGC</v>
      </c>
    </row>
    <row r="468" spans="2:35" ht="70" x14ac:dyDescent="0.35">
      <c r="B468" s="23">
        <v>20260431</v>
      </c>
      <c r="C468" s="157" t="s">
        <v>695</v>
      </c>
      <c r="D468" s="23" t="s">
        <v>105</v>
      </c>
      <c r="E468" s="23" t="s">
        <v>363</v>
      </c>
      <c r="F468" s="156" t="s">
        <v>144</v>
      </c>
      <c r="G468" s="157" t="s">
        <v>373</v>
      </c>
      <c r="H468" s="158">
        <v>11</v>
      </c>
      <c r="I468" s="158">
        <v>0</v>
      </c>
      <c r="J468" s="127">
        <v>81103000</v>
      </c>
      <c r="K468" s="88" t="s">
        <v>398</v>
      </c>
      <c r="L468" s="156" t="s">
        <v>155</v>
      </c>
      <c r="M468" s="159" t="s">
        <v>422</v>
      </c>
      <c r="N468" s="23" t="s">
        <v>198</v>
      </c>
      <c r="O468" s="151" t="s">
        <v>964</v>
      </c>
      <c r="P468" s="156" t="s">
        <v>348</v>
      </c>
      <c r="Q468" s="53" t="s">
        <v>783</v>
      </c>
      <c r="R468" s="159" t="s">
        <v>216</v>
      </c>
      <c r="S468" s="159" t="str">
        <f>MID(PAA[[#This Row],[Meta Proyecto de Inversión]],1,4)</f>
        <v>8173</v>
      </c>
      <c r="T468" s="159" t="str">
        <f>MID(PAA[[#This Row],[Meta Proyecto de Inversión]],6,1)</f>
        <v>7</v>
      </c>
      <c r="U468" s="160" t="str">
        <f>IFERROR(VLOOKUP(N468,TD!$B$50:$F$54,2,0)," ")</f>
        <v>O230117</v>
      </c>
      <c r="V468" s="160" t="str">
        <f>IFERROR(VLOOKUP(N468,TD!$B$50:$F$54,3,0)," ")</f>
        <v>4503</v>
      </c>
      <c r="W468" s="160">
        <f>IFERROR(VLOOKUP(N468,TD!$B$50:$F$54,4,0)," ")</f>
        <v>20240255</v>
      </c>
      <c r="X468" s="159">
        <v>14</v>
      </c>
      <c r="Y468" s="160" t="str">
        <f>IFERROR(VLOOKUP(X468,TD!$J$51:$K$64,2,0)," ")</f>
        <v xml:space="preserve">Infraestructura física misional construida mantenida y dotada </v>
      </c>
      <c r="Z468" s="161" t="str">
        <f>CONCATENATE(X468,"-",Y468)</f>
        <v xml:space="preserve">14-Infraestructura física misional construida mantenida y dotada </v>
      </c>
      <c r="AA468" s="159" t="s">
        <v>225</v>
      </c>
      <c r="AB468" s="160" t="str">
        <f>IFERROR(VLOOKUP(AA468,TD!$N$51:$O$66,2,0)," ")</f>
        <v>Estaciones de bomberos adecuadas</v>
      </c>
      <c r="AC468" s="161" t="str">
        <f>CONCATENATE(AA468,"_",AB468)</f>
        <v>014_Estaciones de bomberos adecuadas</v>
      </c>
      <c r="AD468" s="161" t="str">
        <f>CONCATENATE(Z468," ",AC468)</f>
        <v>14-Infraestructura física misional construida mantenida y dotada  014_Estaciones de bomberos adecuadas</v>
      </c>
      <c r="AE468" s="160" t="str">
        <f>CONCATENATE(U468,V468,W468,X468,AA468)</f>
        <v>O23011745032024025514014</v>
      </c>
      <c r="AF468" s="160" t="str">
        <f>IFERROR(VLOOKUP(AD468,TD!$J$66:$K$89,2,0)," ")</f>
        <v>PM/0131/0114/45030140255</v>
      </c>
      <c r="AG468" s="118" t="s">
        <v>385</v>
      </c>
      <c r="AH468" s="159" t="s">
        <v>193</v>
      </c>
      <c r="AI468" s="162" t="str">
        <f>CONCATENATE(PAA[[#This Row],[Id Interno]],"-",PAA[[#This Row],[tipo de Contrato (TH talento humano - B/S bienes y/o servicios)]],"-",S468,"-",T468,"-",PAA[[#This Row],[Objeto de la contratación]])</f>
        <v>20260431-TH-8173-7-Prestar servicios profesionales para realizar acompañamiento juridico en la elaboración de los procesos contractuales adelantados por la Subdirección Gestión Corporativa -SGC</v>
      </c>
    </row>
    <row r="469" spans="2:35" ht="84" x14ac:dyDescent="0.35">
      <c r="B469" s="23">
        <v>20260432</v>
      </c>
      <c r="C469" s="157" t="s">
        <v>706</v>
      </c>
      <c r="D469" s="23" t="s">
        <v>105</v>
      </c>
      <c r="E469" s="23" t="s">
        <v>363</v>
      </c>
      <c r="F469" s="156" t="s">
        <v>144</v>
      </c>
      <c r="G469" s="157" t="s">
        <v>373</v>
      </c>
      <c r="H469" s="136">
        <v>11</v>
      </c>
      <c r="I469" s="158">
        <v>0</v>
      </c>
      <c r="J469" s="118">
        <v>81103000</v>
      </c>
      <c r="K469" s="88" t="s">
        <v>398</v>
      </c>
      <c r="L469" s="156" t="s">
        <v>155</v>
      </c>
      <c r="M469" s="159" t="s">
        <v>422</v>
      </c>
      <c r="N469" s="23" t="s">
        <v>197</v>
      </c>
      <c r="O469" s="151" t="s">
        <v>963</v>
      </c>
      <c r="P469" s="156" t="s">
        <v>348</v>
      </c>
      <c r="Q469" s="53" t="s">
        <v>783</v>
      </c>
      <c r="R469" s="159" t="s">
        <v>207</v>
      </c>
      <c r="S469" s="159" t="str">
        <f>MID(PAA[[#This Row],[Meta Proyecto de Inversión]],1,4)</f>
        <v>8126</v>
      </c>
      <c r="T469" s="159" t="str">
        <f>MID(PAA[[#This Row],[Meta Proyecto de Inversión]],6,1)</f>
        <v>8</v>
      </c>
      <c r="U469" s="160" t="str">
        <f>IFERROR(VLOOKUP(N469,TD!$B$50:$F$54,2,0)," ")</f>
        <v>O230117</v>
      </c>
      <c r="V469" s="160" t="str">
        <f>IFERROR(VLOOKUP(N469,TD!$B$50:$F$54,3,0)," ")</f>
        <v>4599</v>
      </c>
      <c r="W469" s="160">
        <f>IFERROR(VLOOKUP(N469,TD!$B$50:$F$54,4,0)," ")</f>
        <v>20240207</v>
      </c>
      <c r="X469" s="159" t="s">
        <v>174</v>
      </c>
      <c r="Y469" s="160" t="str">
        <f>IFERROR(VLOOKUP(X469,TD!$J$51:$K$64,2,0)," ")</f>
        <v>Infraestructura física, mantenimiento y dotación (Sedes construidas, mantenidas reforzadas)</v>
      </c>
      <c r="Z469" s="161" t="str">
        <f>CONCATENATE(X469,"-",Y469)</f>
        <v>08-Infraestructura física, mantenimiento y dotación (Sedes construidas, mantenidas reforzadas)</v>
      </c>
      <c r="AA469" s="159" t="s">
        <v>227</v>
      </c>
      <c r="AB469" s="160" t="str">
        <f>IFERROR(VLOOKUP(AA469,TD!$N$51:$O$66,2,0)," ")</f>
        <v>Sedes mantenidas</v>
      </c>
      <c r="AC469" s="161" t="str">
        <f>CONCATENATE(AA469,"_",AB469)</f>
        <v>016_Sedes mantenidas</v>
      </c>
      <c r="AD469" s="161" t="str">
        <f>CONCATENATE(Z469," ",AC469)</f>
        <v>08-Infraestructura física, mantenimiento y dotación (Sedes construidas, mantenidas reforzadas) 016_Sedes mantenidas</v>
      </c>
      <c r="AE469" s="160" t="str">
        <f>CONCATENATE(U469,V469,W469,X469,AA469)</f>
        <v>O23011745992024020708016</v>
      </c>
      <c r="AF469" s="160" t="str">
        <f>IFERROR(VLOOKUP(AD469,TD!$J$66:$K$89,2,0)," ")</f>
        <v>PM/0131/0108/45990160207</v>
      </c>
      <c r="AG469" s="118" t="s">
        <v>385</v>
      </c>
      <c r="AH469" s="159" t="s">
        <v>193</v>
      </c>
      <c r="AI469" s="162" t="str">
        <f>CONCATENATE(PAA[[#This Row],[Id Interno]],"-",PAA[[#This Row],[tipo de Contrato (TH talento humano - B/S bienes y/o servicios)]],"-",S469,"-",T469,"-",PAA[[#This Row],[Objeto de la contratación]])</f>
        <v>20260432-TH-8126-8-Prestación de servicios profesionales para adelantar actividades técnicas y trámites administrativos del Área de Infraestructura de la Subdirección de Gestión Corporativa-SGC</v>
      </c>
    </row>
    <row r="470" spans="2:35" ht="56" x14ac:dyDescent="0.35">
      <c r="B470" s="23">
        <v>20260433</v>
      </c>
      <c r="C470" s="157" t="s">
        <v>707</v>
      </c>
      <c r="D470" s="23" t="s">
        <v>105</v>
      </c>
      <c r="E470" s="23" t="s">
        <v>363</v>
      </c>
      <c r="F470" s="156" t="s">
        <v>144</v>
      </c>
      <c r="G470" s="157" t="s">
        <v>373</v>
      </c>
      <c r="H470" s="158">
        <v>11</v>
      </c>
      <c r="I470" s="158">
        <v>0</v>
      </c>
      <c r="J470" s="127">
        <v>99000000</v>
      </c>
      <c r="K470" s="88" t="s">
        <v>398</v>
      </c>
      <c r="L470" s="156" t="s">
        <v>155</v>
      </c>
      <c r="M470" s="159" t="s">
        <v>422</v>
      </c>
      <c r="N470" s="23" t="s">
        <v>197</v>
      </c>
      <c r="O470" s="151" t="s">
        <v>963</v>
      </c>
      <c r="P470" s="156" t="s">
        <v>348</v>
      </c>
      <c r="Q470" s="53" t="s">
        <v>783</v>
      </c>
      <c r="R470" s="159" t="s">
        <v>207</v>
      </c>
      <c r="S470" s="159" t="str">
        <f>MID(PAA[[#This Row],[Meta Proyecto de Inversión]],1,4)</f>
        <v>8126</v>
      </c>
      <c r="T470" s="159" t="str">
        <f>MID(PAA[[#This Row],[Meta Proyecto de Inversión]],6,1)</f>
        <v>8</v>
      </c>
      <c r="U470" s="160" t="str">
        <f>IFERROR(VLOOKUP(N470,TD!$B$50:$F$54,2,0)," ")</f>
        <v>O230117</v>
      </c>
      <c r="V470" s="160" t="str">
        <f>IFERROR(VLOOKUP(N470,TD!$B$50:$F$54,3,0)," ")</f>
        <v>4599</v>
      </c>
      <c r="W470" s="160">
        <f>IFERROR(VLOOKUP(N470,TD!$B$50:$F$54,4,0)," ")</f>
        <v>20240207</v>
      </c>
      <c r="X470" s="159" t="s">
        <v>174</v>
      </c>
      <c r="Y470" s="160" t="str">
        <f>IFERROR(VLOOKUP(X470,TD!$J$51:$K$64,2,0)," ")</f>
        <v>Infraestructura física, mantenimiento y dotación (Sedes construidas, mantenidas reforzadas)</v>
      </c>
      <c r="Z470" s="161" t="str">
        <f>CONCATENATE(X470,"-",Y470)</f>
        <v>08-Infraestructura física, mantenimiento y dotación (Sedes construidas, mantenidas reforzadas)</v>
      </c>
      <c r="AA470" s="159" t="s">
        <v>227</v>
      </c>
      <c r="AB470" s="160" t="str">
        <f>IFERROR(VLOOKUP(AA470,TD!$N$51:$O$66,2,0)," ")</f>
        <v>Sedes mantenidas</v>
      </c>
      <c r="AC470" s="161" t="str">
        <f>CONCATENATE(AA470,"_",AB470)</f>
        <v>016_Sedes mantenidas</v>
      </c>
      <c r="AD470" s="161" t="str">
        <f>CONCATENATE(Z470," ",AC470)</f>
        <v>08-Infraestructura física, mantenimiento y dotación (Sedes construidas, mantenidas reforzadas) 016_Sedes mantenidas</v>
      </c>
      <c r="AE470" s="160" t="str">
        <f>CONCATENATE(U470,V470,W470,X470,AA470)</f>
        <v>O23011745992024020708016</v>
      </c>
      <c r="AF470" s="160" t="str">
        <f>IFERROR(VLOOKUP(AD470,TD!$J$66:$K$89,2,0)," ")</f>
        <v>PM/0131/0108/45990160207</v>
      </c>
      <c r="AG470" s="118" t="s">
        <v>385</v>
      </c>
      <c r="AH470" s="159" t="s">
        <v>193</v>
      </c>
      <c r="AI470" s="162" t="str">
        <f>CONCATENATE(PAA[[#This Row],[Id Interno]],"-",PAA[[#This Row],[tipo de Contrato (TH talento humano - B/S bienes y/o servicios)]],"-",S470,"-",T470,"-",PAA[[#This Row],[Objeto de la contratación]])</f>
        <v>20260433-TH-8126-8-Prestación de servicios profesionales especializados para articular y revisar los procesos y procedimientos del área de infraestructura, así como en el apoyo a la supervisión de los contratos que le sean asignados-SGC</v>
      </c>
    </row>
    <row r="471" spans="2:35" ht="56" x14ac:dyDescent="0.35">
      <c r="B471" s="23">
        <v>20260434</v>
      </c>
      <c r="C471" s="157" t="s">
        <v>708</v>
      </c>
      <c r="D471" s="23" t="s">
        <v>105</v>
      </c>
      <c r="E471" s="23" t="s">
        <v>363</v>
      </c>
      <c r="F471" s="156" t="s">
        <v>144</v>
      </c>
      <c r="G471" s="157" t="s">
        <v>373</v>
      </c>
      <c r="H471" s="158">
        <v>11</v>
      </c>
      <c r="I471" s="158">
        <v>0</v>
      </c>
      <c r="J471" s="127">
        <v>102035000</v>
      </c>
      <c r="K471" s="88" t="s">
        <v>398</v>
      </c>
      <c r="L471" s="156" t="s">
        <v>155</v>
      </c>
      <c r="M471" s="159" t="s">
        <v>422</v>
      </c>
      <c r="N471" s="23" t="s">
        <v>198</v>
      </c>
      <c r="O471" s="151" t="s">
        <v>964</v>
      </c>
      <c r="P471" s="156" t="s">
        <v>348</v>
      </c>
      <c r="Q471" s="53" t="s">
        <v>783</v>
      </c>
      <c r="R471" s="159" t="s">
        <v>216</v>
      </c>
      <c r="S471" s="159" t="str">
        <f>MID(PAA[[#This Row],[Meta Proyecto de Inversión]],1,4)</f>
        <v>8173</v>
      </c>
      <c r="T471" s="159" t="str">
        <f>MID(PAA[[#This Row],[Meta Proyecto de Inversión]],6,1)</f>
        <v>7</v>
      </c>
      <c r="U471" s="160" t="str">
        <f>IFERROR(VLOOKUP(N471,TD!$B$50:$F$54,2,0)," ")</f>
        <v>O230117</v>
      </c>
      <c r="V471" s="160" t="str">
        <f>IFERROR(VLOOKUP(N471,TD!$B$50:$F$54,3,0)," ")</f>
        <v>4503</v>
      </c>
      <c r="W471" s="160">
        <f>IFERROR(VLOOKUP(N471,TD!$B$50:$F$54,4,0)," ")</f>
        <v>20240255</v>
      </c>
      <c r="X471" s="159">
        <v>14</v>
      </c>
      <c r="Y471" s="160" t="str">
        <f>IFERROR(VLOOKUP(X471,TD!$J$51:$K$64,2,0)," ")</f>
        <v xml:space="preserve">Infraestructura física misional construida mantenida y dotada </v>
      </c>
      <c r="Z471" s="161" t="str">
        <f>CONCATENATE(X471,"-",Y471)</f>
        <v xml:space="preserve">14-Infraestructura física misional construida mantenida y dotada </v>
      </c>
      <c r="AA471" s="159" t="s">
        <v>225</v>
      </c>
      <c r="AB471" s="160" t="str">
        <f>IFERROR(VLOOKUP(AA471,TD!$N$51:$O$66,2,0)," ")</f>
        <v>Estaciones de bomberos adecuadas</v>
      </c>
      <c r="AC471" s="161" t="str">
        <f>CONCATENATE(AA471,"_",AB471)</f>
        <v>014_Estaciones de bomberos adecuadas</v>
      </c>
      <c r="AD471" s="161" t="str">
        <f>CONCATENATE(Z471," ",AC471)</f>
        <v>14-Infraestructura física misional construida mantenida y dotada  014_Estaciones de bomberos adecuadas</v>
      </c>
      <c r="AE471" s="160" t="str">
        <f>CONCATENATE(U471,V471,W471,X471,AA471)</f>
        <v>O23011745032024025514014</v>
      </c>
      <c r="AF471" s="160" t="str">
        <f>IFERROR(VLOOKUP(AD471,TD!$J$66:$K$89,2,0)," ")</f>
        <v>PM/0131/0114/45030140255</v>
      </c>
      <c r="AG471" s="118" t="s">
        <v>385</v>
      </c>
      <c r="AH471" s="159" t="s">
        <v>193</v>
      </c>
      <c r="AI471" s="162" t="str">
        <f>CONCATENATE(PAA[[#This Row],[Id Interno]],"-",PAA[[#This Row],[tipo de Contrato (TH talento humano - B/S bienes y/o servicios)]],"-",S471,"-",T471,"-",PAA[[#This Row],[Objeto de la contratación]])</f>
        <v>20260434-TH-8173-7-Prestación de Servicios Profesionales para la formulación, seguimiento y ejecución de procesos presupuestales y financieros a cargo del área de infraestructura de la Subdirección de Gestión Corporativa -SGC</v>
      </c>
    </row>
    <row r="472" spans="2:35" ht="56" x14ac:dyDescent="0.35">
      <c r="B472" s="23">
        <v>20260435</v>
      </c>
      <c r="C472" s="99" t="s">
        <v>709</v>
      </c>
      <c r="D472" s="23" t="s">
        <v>105</v>
      </c>
      <c r="E472" s="23" t="s">
        <v>363</v>
      </c>
      <c r="F472" s="156" t="s">
        <v>144</v>
      </c>
      <c r="G472" s="157" t="s">
        <v>373</v>
      </c>
      <c r="H472" s="158">
        <v>11</v>
      </c>
      <c r="I472" s="158">
        <v>0</v>
      </c>
      <c r="J472" s="127">
        <v>75204000</v>
      </c>
      <c r="K472" s="88" t="s">
        <v>398</v>
      </c>
      <c r="L472" s="156" t="s">
        <v>155</v>
      </c>
      <c r="M472" s="159" t="s">
        <v>422</v>
      </c>
      <c r="N472" s="23" t="s">
        <v>197</v>
      </c>
      <c r="O472" s="151" t="s">
        <v>963</v>
      </c>
      <c r="P472" s="156" t="s">
        <v>348</v>
      </c>
      <c r="Q472" s="53" t="s">
        <v>783</v>
      </c>
      <c r="R472" s="159" t="s">
        <v>207</v>
      </c>
      <c r="S472" s="159" t="str">
        <f>MID(PAA[[#This Row],[Meta Proyecto de Inversión]],1,4)</f>
        <v>8126</v>
      </c>
      <c r="T472" s="159" t="str">
        <f>MID(PAA[[#This Row],[Meta Proyecto de Inversión]],6,1)</f>
        <v>8</v>
      </c>
      <c r="U472" s="160" t="str">
        <f>IFERROR(VLOOKUP(N472,TD!$B$50:$F$54,2,0)," ")</f>
        <v>O230117</v>
      </c>
      <c r="V472" s="160" t="str">
        <f>IFERROR(VLOOKUP(N472,TD!$B$50:$F$54,3,0)," ")</f>
        <v>4599</v>
      </c>
      <c r="W472" s="160">
        <f>IFERROR(VLOOKUP(N472,TD!$B$50:$F$54,4,0)," ")</f>
        <v>20240207</v>
      </c>
      <c r="X472" s="159" t="s">
        <v>174</v>
      </c>
      <c r="Y472" s="160" t="str">
        <f>IFERROR(VLOOKUP(X472,TD!$J$51:$K$64,2,0)," ")</f>
        <v>Infraestructura física, mantenimiento y dotación (Sedes construidas, mantenidas reforzadas)</v>
      </c>
      <c r="Z472" s="161" t="str">
        <f>CONCATENATE(X472,"-",Y472)</f>
        <v>08-Infraestructura física, mantenimiento y dotación (Sedes construidas, mantenidas reforzadas)</v>
      </c>
      <c r="AA472" s="159" t="s">
        <v>227</v>
      </c>
      <c r="AB472" s="160" t="str">
        <f>IFERROR(VLOOKUP(AA472,TD!$N$51:$O$66,2,0)," ")</f>
        <v>Sedes mantenidas</v>
      </c>
      <c r="AC472" s="161" t="str">
        <f>CONCATENATE(AA472,"_",AB472)</f>
        <v>016_Sedes mantenidas</v>
      </c>
      <c r="AD472" s="161" t="str">
        <f>CONCATENATE(Z472," ",AC472)</f>
        <v>08-Infraestructura física, mantenimiento y dotación (Sedes construidas, mantenidas reforzadas) 016_Sedes mantenidas</v>
      </c>
      <c r="AE472" s="160" t="str">
        <f>CONCATENATE(U472,V472,W472,X472,AA472)</f>
        <v>O23011745992024020708016</v>
      </c>
      <c r="AF472" s="160" t="str">
        <f>IFERROR(VLOOKUP(AD472,TD!$J$66:$K$89,2,0)," ")</f>
        <v>PM/0131/0108/45990160207</v>
      </c>
      <c r="AG472" s="118" t="s">
        <v>385</v>
      </c>
      <c r="AH472" s="159" t="s">
        <v>193</v>
      </c>
      <c r="AI472" s="162" t="str">
        <f>CONCATENATE(PAA[[#This Row],[Id Interno]],"-",PAA[[#This Row],[tipo de Contrato (TH talento humano - B/S bienes y/o servicios)]],"-",S472,"-",T472,"-",PAA[[#This Row],[Objeto de la contratación]])</f>
        <v>20260435-TH-8126-8-Prestación de servicios profesionales para atender las necesidades de mantenimiento de las instalaciones y las actividades técnicas y administrativas de competencia del Área de Infraestructura de la Subdirección de Gestión Corporativa-SGC</v>
      </c>
    </row>
    <row r="473" spans="2:35" ht="56" x14ac:dyDescent="0.35">
      <c r="B473" s="23">
        <v>20260436</v>
      </c>
      <c r="C473" s="99" t="s">
        <v>710</v>
      </c>
      <c r="D473" s="23" t="s">
        <v>105</v>
      </c>
      <c r="E473" s="23" t="s">
        <v>363</v>
      </c>
      <c r="F473" s="156" t="s">
        <v>144</v>
      </c>
      <c r="G473" s="157" t="s">
        <v>373</v>
      </c>
      <c r="H473" s="158">
        <v>11</v>
      </c>
      <c r="I473" s="158">
        <v>0</v>
      </c>
      <c r="J473" s="127">
        <v>75204000</v>
      </c>
      <c r="K473" s="88" t="s">
        <v>398</v>
      </c>
      <c r="L473" s="156" t="s">
        <v>155</v>
      </c>
      <c r="M473" s="159" t="s">
        <v>422</v>
      </c>
      <c r="N473" s="23" t="s">
        <v>197</v>
      </c>
      <c r="O473" s="151" t="s">
        <v>963</v>
      </c>
      <c r="P473" s="156" t="s">
        <v>348</v>
      </c>
      <c r="Q473" s="53" t="s">
        <v>783</v>
      </c>
      <c r="R473" s="159" t="s">
        <v>207</v>
      </c>
      <c r="S473" s="159" t="str">
        <f>MID(PAA[[#This Row],[Meta Proyecto de Inversión]],1,4)</f>
        <v>8126</v>
      </c>
      <c r="T473" s="159" t="str">
        <f>MID(PAA[[#This Row],[Meta Proyecto de Inversión]],6,1)</f>
        <v>8</v>
      </c>
      <c r="U473" s="160" t="str">
        <f>IFERROR(VLOOKUP(N473,TD!$B$50:$F$54,2,0)," ")</f>
        <v>O230117</v>
      </c>
      <c r="V473" s="160" t="str">
        <f>IFERROR(VLOOKUP(N473,TD!$B$50:$F$54,3,0)," ")</f>
        <v>4599</v>
      </c>
      <c r="W473" s="160">
        <f>IFERROR(VLOOKUP(N473,TD!$B$50:$F$54,4,0)," ")</f>
        <v>20240207</v>
      </c>
      <c r="X473" s="159" t="s">
        <v>174</v>
      </c>
      <c r="Y473" s="160" t="str">
        <f>IFERROR(VLOOKUP(X473,TD!$J$51:$K$64,2,0)," ")</f>
        <v>Infraestructura física, mantenimiento y dotación (Sedes construidas, mantenidas reforzadas)</v>
      </c>
      <c r="Z473" s="161" t="str">
        <f>CONCATENATE(X473,"-",Y473)</f>
        <v>08-Infraestructura física, mantenimiento y dotación (Sedes construidas, mantenidas reforzadas)</v>
      </c>
      <c r="AA473" s="159" t="s">
        <v>227</v>
      </c>
      <c r="AB473" s="160" t="str">
        <f>IFERROR(VLOOKUP(AA473,TD!$N$51:$O$66,2,0)," ")</f>
        <v>Sedes mantenidas</v>
      </c>
      <c r="AC473" s="161" t="str">
        <f>CONCATENATE(AA473,"_",AB473)</f>
        <v>016_Sedes mantenidas</v>
      </c>
      <c r="AD473" s="161" t="str">
        <f>CONCATENATE(Z473," ",AC473)</f>
        <v>08-Infraestructura física, mantenimiento y dotación (Sedes construidas, mantenidas reforzadas) 016_Sedes mantenidas</v>
      </c>
      <c r="AE473" s="160" t="str">
        <f>CONCATENATE(U473,V473,W473,X473,AA473)</f>
        <v>O23011745992024020708016</v>
      </c>
      <c r="AF473" s="160" t="str">
        <f>IFERROR(VLOOKUP(AD473,TD!$J$66:$K$89,2,0)," ")</f>
        <v>PM/0131/0108/45990160207</v>
      </c>
      <c r="AG473" s="118" t="s">
        <v>385</v>
      </c>
      <c r="AH473" s="159" t="s">
        <v>193</v>
      </c>
      <c r="AI473" s="162" t="str">
        <f>CONCATENATE(PAA[[#This Row],[Id Interno]],"-",PAA[[#This Row],[tipo de Contrato (TH talento humano - B/S bienes y/o servicios)]],"-",S473,"-",T473,"-",PAA[[#This Row],[Objeto de la contratación]])</f>
        <v>20260436-TH-8126-8-Prestación de Servicios Profesionales en temas financieros, administrativas y misionales para apoyar los proyectos de infraestructura de la Subdirección de Gestión Corporativa.- SGC</v>
      </c>
    </row>
    <row r="474" spans="2:35" ht="56" x14ac:dyDescent="0.35">
      <c r="B474" s="23">
        <v>20260437</v>
      </c>
      <c r="C474" s="99" t="s">
        <v>711</v>
      </c>
      <c r="D474" s="23" t="s">
        <v>105</v>
      </c>
      <c r="E474" s="23" t="s">
        <v>363</v>
      </c>
      <c r="F474" s="156" t="s">
        <v>144</v>
      </c>
      <c r="G474" s="157" t="s">
        <v>373</v>
      </c>
      <c r="H474" s="158">
        <v>11</v>
      </c>
      <c r="I474" s="158">
        <v>0</v>
      </c>
      <c r="J474" s="127">
        <v>102034000</v>
      </c>
      <c r="K474" s="88" t="s">
        <v>398</v>
      </c>
      <c r="L474" s="156" t="s">
        <v>155</v>
      </c>
      <c r="M474" s="159" t="s">
        <v>422</v>
      </c>
      <c r="N474" s="23" t="s">
        <v>197</v>
      </c>
      <c r="O474" s="151" t="s">
        <v>963</v>
      </c>
      <c r="P474" s="156" t="s">
        <v>348</v>
      </c>
      <c r="Q474" s="53" t="s">
        <v>783</v>
      </c>
      <c r="R474" s="159" t="s">
        <v>207</v>
      </c>
      <c r="S474" s="159" t="str">
        <f>MID(PAA[[#This Row],[Meta Proyecto de Inversión]],1,4)</f>
        <v>8126</v>
      </c>
      <c r="T474" s="159" t="str">
        <f>MID(PAA[[#This Row],[Meta Proyecto de Inversión]],6,1)</f>
        <v>8</v>
      </c>
      <c r="U474" s="160" t="str">
        <f>IFERROR(VLOOKUP(N474,TD!$B$50:$F$54,2,0)," ")</f>
        <v>O230117</v>
      </c>
      <c r="V474" s="160" t="str">
        <f>IFERROR(VLOOKUP(N474,TD!$B$50:$F$54,3,0)," ")</f>
        <v>4599</v>
      </c>
      <c r="W474" s="160">
        <f>IFERROR(VLOOKUP(N474,TD!$B$50:$F$54,4,0)," ")</f>
        <v>20240207</v>
      </c>
      <c r="X474" s="159" t="s">
        <v>174</v>
      </c>
      <c r="Y474" s="160" t="str">
        <f>IFERROR(VLOOKUP(X474,TD!$J$51:$K$64,2,0)," ")</f>
        <v>Infraestructura física, mantenimiento y dotación (Sedes construidas, mantenidas reforzadas)</v>
      </c>
      <c r="Z474" s="161" t="str">
        <f>CONCATENATE(X474,"-",Y474)</f>
        <v>08-Infraestructura física, mantenimiento y dotación (Sedes construidas, mantenidas reforzadas)</v>
      </c>
      <c r="AA474" s="159" t="s">
        <v>227</v>
      </c>
      <c r="AB474" s="160" t="str">
        <f>IFERROR(VLOOKUP(AA474,TD!$N$51:$O$66,2,0)," ")</f>
        <v>Sedes mantenidas</v>
      </c>
      <c r="AC474" s="161" t="str">
        <f>CONCATENATE(AA474,"_",AB474)</f>
        <v>016_Sedes mantenidas</v>
      </c>
      <c r="AD474" s="161" t="str">
        <f>CONCATENATE(Z474," ",AC474)</f>
        <v>08-Infraestructura física, mantenimiento y dotación (Sedes construidas, mantenidas reforzadas) 016_Sedes mantenidas</v>
      </c>
      <c r="AE474" s="160" t="str">
        <f>CONCATENATE(U474,V474,W474,X474,AA474)</f>
        <v>O23011745992024020708016</v>
      </c>
      <c r="AF474" s="160" t="str">
        <f>IFERROR(VLOOKUP(AD474,TD!$J$66:$K$89,2,0)," ")</f>
        <v>PM/0131/0108/45990160207</v>
      </c>
      <c r="AG474" s="118" t="s">
        <v>385</v>
      </c>
      <c r="AH474" s="159" t="s">
        <v>193</v>
      </c>
      <c r="AI474" s="162" t="str">
        <f>CONCATENATE(PAA[[#This Row],[Id Interno]],"-",PAA[[#This Row],[tipo de Contrato (TH talento humano - B/S bienes y/o servicios)]],"-",S474,"-",T474,"-",PAA[[#This Row],[Objeto de la contratación]])</f>
        <v>20260437-TH-8126-8-Prestar servicios profesionales especializados para acompañar jurídicamente los procesos y procedimientos del área de infraestructura de la Subdirección de Gestión Corporativa. SGC</v>
      </c>
    </row>
    <row r="475" spans="2:35" ht="56" x14ac:dyDescent="0.35">
      <c r="B475" s="23">
        <v>20260438</v>
      </c>
      <c r="C475" s="99" t="s">
        <v>712</v>
      </c>
      <c r="D475" s="23" t="s">
        <v>105</v>
      </c>
      <c r="E475" s="23" t="s">
        <v>363</v>
      </c>
      <c r="F475" s="156" t="s">
        <v>144</v>
      </c>
      <c r="G475" s="157" t="s">
        <v>373</v>
      </c>
      <c r="H475" s="158">
        <v>11</v>
      </c>
      <c r="I475" s="158">
        <v>0</v>
      </c>
      <c r="J475" s="127">
        <v>81103000</v>
      </c>
      <c r="K475" s="88" t="s">
        <v>398</v>
      </c>
      <c r="L475" s="156" t="s">
        <v>155</v>
      </c>
      <c r="M475" s="159" t="s">
        <v>422</v>
      </c>
      <c r="N475" s="23" t="s">
        <v>197</v>
      </c>
      <c r="O475" s="151" t="s">
        <v>963</v>
      </c>
      <c r="P475" s="156" t="s">
        <v>348</v>
      </c>
      <c r="Q475" s="53" t="s">
        <v>783</v>
      </c>
      <c r="R475" s="159" t="s">
        <v>207</v>
      </c>
      <c r="S475" s="159" t="str">
        <f>MID(PAA[[#This Row],[Meta Proyecto de Inversión]],1,4)</f>
        <v>8126</v>
      </c>
      <c r="T475" s="159" t="str">
        <f>MID(PAA[[#This Row],[Meta Proyecto de Inversión]],6,1)</f>
        <v>8</v>
      </c>
      <c r="U475" s="160" t="str">
        <f>IFERROR(VLOOKUP(N475,TD!$B$50:$F$54,2,0)," ")</f>
        <v>O230117</v>
      </c>
      <c r="V475" s="160" t="str">
        <f>IFERROR(VLOOKUP(N475,TD!$B$50:$F$54,3,0)," ")</f>
        <v>4599</v>
      </c>
      <c r="W475" s="160">
        <f>IFERROR(VLOOKUP(N475,TD!$B$50:$F$54,4,0)," ")</f>
        <v>20240207</v>
      </c>
      <c r="X475" s="159" t="s">
        <v>174</v>
      </c>
      <c r="Y475" s="160" t="str">
        <f>IFERROR(VLOOKUP(X475,TD!$J$51:$K$64,2,0)," ")</f>
        <v>Infraestructura física, mantenimiento y dotación (Sedes construidas, mantenidas reforzadas)</v>
      </c>
      <c r="Z475" s="161" t="str">
        <f>CONCATENATE(X475,"-",Y475)</f>
        <v>08-Infraestructura física, mantenimiento y dotación (Sedes construidas, mantenidas reforzadas)</v>
      </c>
      <c r="AA475" s="159" t="s">
        <v>227</v>
      </c>
      <c r="AB475" s="160" t="str">
        <f>IFERROR(VLOOKUP(AA475,TD!$N$51:$O$66,2,0)," ")</f>
        <v>Sedes mantenidas</v>
      </c>
      <c r="AC475" s="161" t="str">
        <f>CONCATENATE(AA475,"_",AB475)</f>
        <v>016_Sedes mantenidas</v>
      </c>
      <c r="AD475" s="161" t="str">
        <f>CONCATENATE(Z475," ",AC475)</f>
        <v>08-Infraestructura física, mantenimiento y dotación (Sedes construidas, mantenidas reforzadas) 016_Sedes mantenidas</v>
      </c>
      <c r="AE475" s="160" t="str">
        <f>CONCATENATE(U475,V475,W475,X475,AA475)</f>
        <v>O23011745992024020708016</v>
      </c>
      <c r="AF475" s="160" t="str">
        <f>IFERROR(VLOOKUP(AD475,TD!$J$66:$K$89,2,0)," ")</f>
        <v>PM/0131/0108/45990160207</v>
      </c>
      <c r="AG475" s="118" t="s">
        <v>385</v>
      </c>
      <c r="AH475" s="159" t="s">
        <v>193</v>
      </c>
      <c r="AI475" s="162" t="str">
        <f>CONCATENATE(PAA[[#This Row],[Id Interno]],"-",PAA[[#This Row],[tipo de Contrato (TH talento humano - B/S bienes y/o servicios)]],"-",S475,"-",T475,"-",PAA[[#This Row],[Objeto de la contratación]])</f>
        <v>20260438-TH-8126-8-Prestación de servicios profesionales para apoyar las actividades técnicas del Área de Infraestructura de la Subdirección de Gestión Corporativa-SGC</v>
      </c>
    </row>
    <row r="476" spans="2:35" ht="42" x14ac:dyDescent="0.35">
      <c r="B476" s="23">
        <v>20260439</v>
      </c>
      <c r="C476" s="99" t="s">
        <v>713</v>
      </c>
      <c r="D476" s="23" t="s">
        <v>105</v>
      </c>
      <c r="E476" s="23" t="s">
        <v>363</v>
      </c>
      <c r="F476" s="156" t="s">
        <v>144</v>
      </c>
      <c r="G476" s="157" t="s">
        <v>373</v>
      </c>
      <c r="H476" s="158">
        <v>10</v>
      </c>
      <c r="I476" s="158">
        <v>0</v>
      </c>
      <c r="J476" s="118">
        <v>51611000</v>
      </c>
      <c r="K476" s="88" t="s">
        <v>398</v>
      </c>
      <c r="L476" s="156" t="s">
        <v>155</v>
      </c>
      <c r="M476" s="159" t="s">
        <v>422</v>
      </c>
      <c r="N476" s="23" t="s">
        <v>197</v>
      </c>
      <c r="O476" s="151" t="s">
        <v>963</v>
      </c>
      <c r="P476" s="156" t="s">
        <v>348</v>
      </c>
      <c r="Q476" s="53" t="s">
        <v>783</v>
      </c>
      <c r="R476" s="159" t="s">
        <v>207</v>
      </c>
      <c r="S476" s="159" t="str">
        <f>MID(PAA[[#This Row],[Meta Proyecto de Inversión]],1,4)</f>
        <v>8126</v>
      </c>
      <c r="T476" s="159" t="str">
        <f>MID(PAA[[#This Row],[Meta Proyecto de Inversión]],6,1)</f>
        <v>8</v>
      </c>
      <c r="U476" s="160" t="str">
        <f>IFERROR(VLOOKUP(N476,TD!$B$50:$F$54,2,0)," ")</f>
        <v>O230117</v>
      </c>
      <c r="V476" s="160" t="str">
        <f>IFERROR(VLOOKUP(N476,TD!$B$50:$F$54,3,0)," ")</f>
        <v>4599</v>
      </c>
      <c r="W476" s="160">
        <f>IFERROR(VLOOKUP(N476,TD!$B$50:$F$54,4,0)," ")</f>
        <v>20240207</v>
      </c>
      <c r="X476" s="159" t="s">
        <v>174</v>
      </c>
      <c r="Y476" s="160" t="str">
        <f>IFERROR(VLOOKUP(X476,TD!$J$51:$K$64,2,0)," ")</f>
        <v>Infraestructura física, mantenimiento y dotación (Sedes construidas, mantenidas reforzadas)</v>
      </c>
      <c r="Z476" s="161" t="str">
        <f>CONCATENATE(X476,"-",Y476)</f>
        <v>08-Infraestructura física, mantenimiento y dotación (Sedes construidas, mantenidas reforzadas)</v>
      </c>
      <c r="AA476" s="159" t="s">
        <v>227</v>
      </c>
      <c r="AB476" s="160" t="str">
        <f>IFERROR(VLOOKUP(AA476,TD!$N$51:$O$66,2,0)," ")</f>
        <v>Sedes mantenidas</v>
      </c>
      <c r="AC476" s="161" t="str">
        <f>CONCATENATE(AA476,"_",AB476)</f>
        <v>016_Sedes mantenidas</v>
      </c>
      <c r="AD476" s="161" t="str">
        <f>CONCATENATE(Z476," ",AC476)</f>
        <v>08-Infraestructura física, mantenimiento y dotación (Sedes construidas, mantenidas reforzadas) 016_Sedes mantenidas</v>
      </c>
      <c r="AE476" s="160" t="str">
        <f>CONCATENATE(U476,V476,W476,X476,AA476)</f>
        <v>O23011745992024020708016</v>
      </c>
      <c r="AF476" s="160" t="str">
        <f>IFERROR(VLOOKUP(AD476,TD!$J$66:$K$89,2,0)," ")</f>
        <v>PM/0131/0108/45990160207</v>
      </c>
      <c r="AG476" s="118" t="s">
        <v>385</v>
      </c>
      <c r="AH476" s="159" t="s">
        <v>193</v>
      </c>
      <c r="AI476" s="162" t="str">
        <f>CONCATENATE(PAA[[#This Row],[Id Interno]],"-",PAA[[#This Row],[tipo de Contrato (TH talento humano - B/S bienes y/o servicios)]],"-",S476,"-",T476,"-",PAA[[#This Row],[Objeto de la contratación]])</f>
        <v>20260439-TH-8126-8-Prestar servicios profesionales con el fin de atender los trámites ambientales y los demás que requiera el área de Infraestructura de la Subdirección de Gestión Corporativa. SGC</v>
      </c>
    </row>
    <row r="477" spans="2:35" ht="56" x14ac:dyDescent="0.35">
      <c r="B477" s="23">
        <v>20260440</v>
      </c>
      <c r="C477" s="99" t="s">
        <v>714</v>
      </c>
      <c r="D477" s="23" t="s">
        <v>105</v>
      </c>
      <c r="E477" s="23" t="s">
        <v>363</v>
      </c>
      <c r="F477" s="156" t="s">
        <v>145</v>
      </c>
      <c r="G477" s="157" t="s">
        <v>373</v>
      </c>
      <c r="H477" s="158">
        <v>11</v>
      </c>
      <c r="I477" s="158">
        <v>0</v>
      </c>
      <c r="J477" s="127">
        <v>38060000</v>
      </c>
      <c r="K477" s="88" t="s">
        <v>398</v>
      </c>
      <c r="L477" s="156" t="s">
        <v>155</v>
      </c>
      <c r="M477" s="159" t="s">
        <v>422</v>
      </c>
      <c r="N477" s="23" t="s">
        <v>197</v>
      </c>
      <c r="O477" s="151" t="s">
        <v>963</v>
      </c>
      <c r="P477" s="156" t="s">
        <v>348</v>
      </c>
      <c r="Q477" s="53" t="s">
        <v>783</v>
      </c>
      <c r="R477" s="159" t="s">
        <v>207</v>
      </c>
      <c r="S477" s="159" t="str">
        <f>MID(PAA[[#This Row],[Meta Proyecto de Inversión]],1,4)</f>
        <v>8126</v>
      </c>
      <c r="T477" s="159" t="str">
        <f>MID(PAA[[#This Row],[Meta Proyecto de Inversión]],6,1)</f>
        <v>8</v>
      </c>
      <c r="U477" s="160" t="str">
        <f>IFERROR(VLOOKUP(N477,TD!$B$50:$F$54,2,0)," ")</f>
        <v>O230117</v>
      </c>
      <c r="V477" s="160" t="str">
        <f>IFERROR(VLOOKUP(N477,TD!$B$50:$F$54,3,0)," ")</f>
        <v>4599</v>
      </c>
      <c r="W477" s="160">
        <f>IFERROR(VLOOKUP(N477,TD!$B$50:$F$54,4,0)," ")</f>
        <v>20240207</v>
      </c>
      <c r="X477" s="159" t="s">
        <v>174</v>
      </c>
      <c r="Y477" s="160" t="str">
        <f>IFERROR(VLOOKUP(X477,TD!$J$51:$K$64,2,0)," ")</f>
        <v>Infraestructura física, mantenimiento y dotación (Sedes construidas, mantenidas reforzadas)</v>
      </c>
      <c r="Z477" s="161" t="str">
        <f>CONCATENATE(X477,"-",Y477)</f>
        <v>08-Infraestructura física, mantenimiento y dotación (Sedes construidas, mantenidas reforzadas)</v>
      </c>
      <c r="AA477" s="159" t="s">
        <v>227</v>
      </c>
      <c r="AB477" s="160" t="str">
        <f>IFERROR(VLOOKUP(AA477,TD!$N$51:$O$66,2,0)," ")</f>
        <v>Sedes mantenidas</v>
      </c>
      <c r="AC477" s="161" t="str">
        <f>CONCATENATE(AA477,"_",AB477)</f>
        <v>016_Sedes mantenidas</v>
      </c>
      <c r="AD477" s="161" t="str">
        <f>CONCATENATE(Z477," ",AC477)</f>
        <v>08-Infraestructura física, mantenimiento y dotación (Sedes construidas, mantenidas reforzadas) 016_Sedes mantenidas</v>
      </c>
      <c r="AE477" s="160" t="str">
        <f>CONCATENATE(U477,V477,W477,X477,AA477)</f>
        <v>O23011745992024020708016</v>
      </c>
      <c r="AF477" s="160" t="str">
        <f>IFERROR(VLOOKUP(AD477,TD!$J$66:$K$89,2,0)," ")</f>
        <v>PM/0131/0108/45990160207</v>
      </c>
      <c r="AG477" s="118" t="s">
        <v>385</v>
      </c>
      <c r="AH477" s="159" t="s">
        <v>193</v>
      </c>
      <c r="AI477" s="162" t="str">
        <f>CONCATENATE(PAA[[#This Row],[Id Interno]],"-",PAA[[#This Row],[tipo de Contrato (TH talento humano - B/S bienes y/o servicios)]],"-",S477,"-",T477,"-",PAA[[#This Row],[Objeto de la contratación]])</f>
        <v>20260440-TH-8126-8-Prestar los servicios como conductor del  Area de Infraestructura a fin de atender las actividades propias asociadas al mantenimiento de las sedes de UAECOB de la Subdirección de Gestión Corporativa -SGC</v>
      </c>
    </row>
    <row r="478" spans="2:35" ht="56" x14ac:dyDescent="0.35">
      <c r="B478" s="23">
        <v>20260441</v>
      </c>
      <c r="C478" s="99" t="s">
        <v>715</v>
      </c>
      <c r="D478" s="23" t="s">
        <v>105</v>
      </c>
      <c r="E478" s="23" t="s">
        <v>363</v>
      </c>
      <c r="F478" s="156" t="s">
        <v>145</v>
      </c>
      <c r="G478" s="157" t="s">
        <v>373</v>
      </c>
      <c r="H478" s="158">
        <v>10</v>
      </c>
      <c r="I478" s="158">
        <v>0</v>
      </c>
      <c r="J478" s="127">
        <v>32843000</v>
      </c>
      <c r="K478" s="88" t="s">
        <v>398</v>
      </c>
      <c r="L478" s="156" t="s">
        <v>155</v>
      </c>
      <c r="M478" s="159" t="s">
        <v>422</v>
      </c>
      <c r="N478" s="23" t="s">
        <v>197</v>
      </c>
      <c r="O478" s="151" t="s">
        <v>963</v>
      </c>
      <c r="P478" s="156" t="s">
        <v>348</v>
      </c>
      <c r="Q478" s="53" t="s">
        <v>783</v>
      </c>
      <c r="R478" s="159" t="s">
        <v>207</v>
      </c>
      <c r="S478" s="159" t="str">
        <f>MID(PAA[[#This Row],[Meta Proyecto de Inversión]],1,4)</f>
        <v>8126</v>
      </c>
      <c r="T478" s="159" t="str">
        <f>MID(PAA[[#This Row],[Meta Proyecto de Inversión]],6,1)</f>
        <v>8</v>
      </c>
      <c r="U478" s="160" t="str">
        <f>IFERROR(VLOOKUP(N478,TD!$B$50:$F$54,2,0)," ")</f>
        <v>O230117</v>
      </c>
      <c r="V478" s="160" t="str">
        <f>IFERROR(VLOOKUP(N478,TD!$B$50:$F$54,3,0)," ")</f>
        <v>4599</v>
      </c>
      <c r="W478" s="160">
        <f>IFERROR(VLOOKUP(N478,TD!$B$50:$F$54,4,0)," ")</f>
        <v>20240207</v>
      </c>
      <c r="X478" s="159" t="s">
        <v>174</v>
      </c>
      <c r="Y478" s="160" t="str">
        <f>IFERROR(VLOOKUP(X478,TD!$J$51:$K$64,2,0)," ")</f>
        <v>Infraestructura física, mantenimiento y dotación (Sedes construidas, mantenidas reforzadas)</v>
      </c>
      <c r="Z478" s="161" t="str">
        <f>CONCATENATE(X478,"-",Y478)</f>
        <v>08-Infraestructura física, mantenimiento y dotación (Sedes construidas, mantenidas reforzadas)</v>
      </c>
      <c r="AA478" s="159" t="s">
        <v>227</v>
      </c>
      <c r="AB478" s="160" t="str">
        <f>IFERROR(VLOOKUP(AA478,TD!$N$51:$O$66,2,0)," ")</f>
        <v>Sedes mantenidas</v>
      </c>
      <c r="AC478" s="161" t="str">
        <f>CONCATENATE(AA478,"_",AB478)</f>
        <v>016_Sedes mantenidas</v>
      </c>
      <c r="AD478" s="161" t="str">
        <f>CONCATENATE(Z478," ",AC478)</f>
        <v>08-Infraestructura física, mantenimiento y dotación (Sedes construidas, mantenidas reforzadas) 016_Sedes mantenidas</v>
      </c>
      <c r="AE478" s="160" t="str">
        <f>CONCATENATE(U478,V478,W478,X478,AA478)</f>
        <v>O23011745992024020708016</v>
      </c>
      <c r="AF478" s="160" t="str">
        <f>IFERROR(VLOOKUP(AD478,TD!$J$66:$K$89,2,0)," ")</f>
        <v>PM/0131/0108/45990160207</v>
      </c>
      <c r="AG478" s="118" t="s">
        <v>385</v>
      </c>
      <c r="AH478" s="159" t="s">
        <v>193</v>
      </c>
      <c r="AI478" s="162" t="str">
        <f>CONCATENATE(PAA[[#This Row],[Id Interno]],"-",PAA[[#This Row],[tipo de Contrato (TH talento humano - B/S bienes y/o servicios)]],"-",S478,"-",T478,"-",PAA[[#This Row],[Objeto de la contratación]])</f>
        <v>20260441-TH-8126-8-Prestación de servicios de apoyo a la gestión, en la Subdirección de Gestión Corporativa en temas de infraestructura para el sostenimiento y mejoramiento de los equipamientos de la Unidad Administrativa Especial Cuerpo Oficial de Bomberos de Bogotá-SGC</v>
      </c>
    </row>
    <row r="479" spans="2:35" ht="84" x14ac:dyDescent="0.35">
      <c r="B479" s="23">
        <v>20260442</v>
      </c>
      <c r="C479" s="99" t="s">
        <v>715</v>
      </c>
      <c r="D479" s="23" t="s">
        <v>105</v>
      </c>
      <c r="E479" s="23" t="s">
        <v>363</v>
      </c>
      <c r="F479" s="156" t="s">
        <v>145</v>
      </c>
      <c r="G479" s="157" t="s">
        <v>373</v>
      </c>
      <c r="H479" s="158">
        <v>10</v>
      </c>
      <c r="I479" s="158">
        <v>0</v>
      </c>
      <c r="J479" s="127">
        <v>32843000</v>
      </c>
      <c r="K479" s="88" t="s">
        <v>398</v>
      </c>
      <c r="L479" s="156" t="s">
        <v>155</v>
      </c>
      <c r="M479" s="159" t="s">
        <v>422</v>
      </c>
      <c r="N479" s="23" t="s">
        <v>197</v>
      </c>
      <c r="O479" s="151" t="s">
        <v>963</v>
      </c>
      <c r="P479" s="156" t="s">
        <v>348</v>
      </c>
      <c r="Q479" s="53" t="s">
        <v>783</v>
      </c>
      <c r="R479" s="159" t="s">
        <v>207</v>
      </c>
      <c r="S479" s="159" t="str">
        <f>MID(PAA[[#This Row],[Meta Proyecto de Inversión]],1,4)</f>
        <v>8126</v>
      </c>
      <c r="T479" s="159" t="str">
        <f>MID(PAA[[#This Row],[Meta Proyecto de Inversión]],6,1)</f>
        <v>8</v>
      </c>
      <c r="U479" s="160" t="str">
        <f>IFERROR(VLOOKUP(N479,TD!$B$50:$F$54,2,0)," ")</f>
        <v>O230117</v>
      </c>
      <c r="V479" s="160" t="str">
        <f>IFERROR(VLOOKUP(N479,TD!$B$50:$F$54,3,0)," ")</f>
        <v>4599</v>
      </c>
      <c r="W479" s="160">
        <f>IFERROR(VLOOKUP(N479,TD!$B$50:$F$54,4,0)," ")</f>
        <v>20240207</v>
      </c>
      <c r="X479" s="159" t="s">
        <v>174</v>
      </c>
      <c r="Y479" s="160" t="str">
        <f>IFERROR(VLOOKUP(X479,TD!$J$51:$K$64,2,0)," ")</f>
        <v>Infraestructura física, mantenimiento y dotación (Sedes construidas, mantenidas reforzadas)</v>
      </c>
      <c r="Z479" s="161" t="str">
        <f>CONCATENATE(X479,"-",Y479)</f>
        <v>08-Infraestructura física, mantenimiento y dotación (Sedes construidas, mantenidas reforzadas)</v>
      </c>
      <c r="AA479" s="159" t="s">
        <v>227</v>
      </c>
      <c r="AB479" s="160" t="str">
        <f>IFERROR(VLOOKUP(AA479,TD!$N$51:$O$66,2,0)," ")</f>
        <v>Sedes mantenidas</v>
      </c>
      <c r="AC479" s="161" t="str">
        <f>CONCATENATE(AA479,"_",AB479)</f>
        <v>016_Sedes mantenidas</v>
      </c>
      <c r="AD479" s="161" t="str">
        <f>CONCATENATE(Z479," ",AC479)</f>
        <v>08-Infraestructura física, mantenimiento y dotación (Sedes construidas, mantenidas reforzadas) 016_Sedes mantenidas</v>
      </c>
      <c r="AE479" s="160" t="str">
        <f>CONCATENATE(U479,V479,W479,X479,AA479)</f>
        <v>O23011745992024020708016</v>
      </c>
      <c r="AF479" s="160" t="str">
        <f>IFERROR(VLOOKUP(AD479,TD!$J$66:$K$89,2,0)," ")</f>
        <v>PM/0131/0108/45990160207</v>
      </c>
      <c r="AG479" s="118" t="s">
        <v>385</v>
      </c>
      <c r="AH479" s="159" t="s">
        <v>193</v>
      </c>
      <c r="AI479" s="162" t="str">
        <f>CONCATENATE(PAA[[#This Row],[Id Interno]],"-",PAA[[#This Row],[tipo de Contrato (TH talento humano - B/S bienes y/o servicios)]],"-",S479,"-",T479,"-",PAA[[#This Row],[Objeto de la contratación]])</f>
        <v>20260442-TH-8126-8-Prestación de servicios de apoyo a la gestión, en la Subdirección de Gestión Corporativa en temas de infraestructura para el sostenimiento y mejoramiento de los equipamientos de la Unidad Administrativa Especial Cuerpo Oficial de Bomberos de Bogotá-SGC</v>
      </c>
    </row>
    <row r="480" spans="2:35" ht="56" x14ac:dyDescent="0.35">
      <c r="B480" s="23">
        <v>20260443</v>
      </c>
      <c r="C480" s="99" t="s">
        <v>715</v>
      </c>
      <c r="D480" s="23" t="s">
        <v>105</v>
      </c>
      <c r="E480" s="23" t="s">
        <v>363</v>
      </c>
      <c r="F480" s="156" t="s">
        <v>145</v>
      </c>
      <c r="G480" s="157" t="s">
        <v>373</v>
      </c>
      <c r="H480" s="158">
        <v>10</v>
      </c>
      <c r="I480" s="158">
        <v>0</v>
      </c>
      <c r="J480" s="127">
        <v>32843000</v>
      </c>
      <c r="K480" s="88" t="s">
        <v>398</v>
      </c>
      <c r="L480" s="156" t="s">
        <v>155</v>
      </c>
      <c r="M480" s="159" t="s">
        <v>422</v>
      </c>
      <c r="N480" s="23" t="s">
        <v>197</v>
      </c>
      <c r="O480" s="151" t="s">
        <v>963</v>
      </c>
      <c r="P480" s="156" t="s">
        <v>348</v>
      </c>
      <c r="Q480" s="53" t="s">
        <v>783</v>
      </c>
      <c r="R480" s="159" t="s">
        <v>207</v>
      </c>
      <c r="S480" s="159" t="str">
        <f>MID(PAA[[#This Row],[Meta Proyecto de Inversión]],1,4)</f>
        <v>8126</v>
      </c>
      <c r="T480" s="159" t="str">
        <f>MID(PAA[[#This Row],[Meta Proyecto de Inversión]],6,1)</f>
        <v>8</v>
      </c>
      <c r="U480" s="160" t="str">
        <f>IFERROR(VLOOKUP(N480,TD!$B$50:$F$54,2,0)," ")</f>
        <v>O230117</v>
      </c>
      <c r="V480" s="160" t="str">
        <f>IFERROR(VLOOKUP(N480,TD!$B$50:$F$54,3,0)," ")</f>
        <v>4599</v>
      </c>
      <c r="W480" s="160">
        <f>IFERROR(VLOOKUP(N480,TD!$B$50:$F$54,4,0)," ")</f>
        <v>20240207</v>
      </c>
      <c r="X480" s="159" t="s">
        <v>174</v>
      </c>
      <c r="Y480" s="160" t="str">
        <f>IFERROR(VLOOKUP(X480,TD!$J$51:$K$64,2,0)," ")</f>
        <v>Infraestructura física, mantenimiento y dotación (Sedes construidas, mantenidas reforzadas)</v>
      </c>
      <c r="Z480" s="161" t="str">
        <f>CONCATENATE(X480,"-",Y480)</f>
        <v>08-Infraestructura física, mantenimiento y dotación (Sedes construidas, mantenidas reforzadas)</v>
      </c>
      <c r="AA480" s="159" t="s">
        <v>227</v>
      </c>
      <c r="AB480" s="160" t="str">
        <f>IFERROR(VLOOKUP(AA480,TD!$N$51:$O$66,2,0)," ")</f>
        <v>Sedes mantenidas</v>
      </c>
      <c r="AC480" s="161" t="str">
        <f>CONCATENATE(AA480,"_",AB480)</f>
        <v>016_Sedes mantenidas</v>
      </c>
      <c r="AD480" s="161" t="str">
        <f>CONCATENATE(Z480," ",AC480)</f>
        <v>08-Infraestructura física, mantenimiento y dotación (Sedes construidas, mantenidas reforzadas) 016_Sedes mantenidas</v>
      </c>
      <c r="AE480" s="160" t="str">
        <f>CONCATENATE(U480,V480,W480,X480,AA480)</f>
        <v>O23011745992024020708016</v>
      </c>
      <c r="AF480" s="160" t="str">
        <f>IFERROR(VLOOKUP(AD480,TD!$J$66:$K$89,2,0)," ")</f>
        <v>PM/0131/0108/45990160207</v>
      </c>
      <c r="AG480" s="118" t="s">
        <v>385</v>
      </c>
      <c r="AH480" s="159" t="s">
        <v>193</v>
      </c>
      <c r="AI480" s="162" t="str">
        <f>CONCATENATE(PAA[[#This Row],[Id Interno]],"-",PAA[[#This Row],[tipo de Contrato (TH talento humano - B/S bienes y/o servicios)]],"-",S480,"-",T480,"-",PAA[[#This Row],[Objeto de la contratación]])</f>
        <v>20260443-TH-8126-8-Prestación de servicios de apoyo a la gestión, en la Subdirección de Gestión Corporativa en temas de infraestructura para el sostenimiento y mejoramiento de los equipamientos de la Unidad Administrativa Especial Cuerpo Oficial de Bomberos de Bogotá-SGC</v>
      </c>
    </row>
    <row r="481" spans="2:35" ht="56" x14ac:dyDescent="0.35">
      <c r="B481" s="23">
        <v>20260444</v>
      </c>
      <c r="C481" s="99" t="s">
        <v>715</v>
      </c>
      <c r="D481" s="23" t="s">
        <v>105</v>
      </c>
      <c r="E481" s="23" t="s">
        <v>363</v>
      </c>
      <c r="F481" s="156" t="s">
        <v>145</v>
      </c>
      <c r="G481" s="157" t="s">
        <v>373</v>
      </c>
      <c r="H481" s="158">
        <v>11</v>
      </c>
      <c r="I481" s="158">
        <v>0</v>
      </c>
      <c r="J481" s="127">
        <v>36128000</v>
      </c>
      <c r="K481" s="88" t="s">
        <v>398</v>
      </c>
      <c r="L481" s="156" t="s">
        <v>155</v>
      </c>
      <c r="M481" s="159" t="s">
        <v>422</v>
      </c>
      <c r="N481" s="23" t="s">
        <v>197</v>
      </c>
      <c r="O481" s="151" t="s">
        <v>963</v>
      </c>
      <c r="P481" s="156" t="s">
        <v>348</v>
      </c>
      <c r="Q481" s="53" t="s">
        <v>783</v>
      </c>
      <c r="R481" s="159" t="s">
        <v>207</v>
      </c>
      <c r="S481" s="159" t="str">
        <f>MID(PAA[[#This Row],[Meta Proyecto de Inversión]],1,4)</f>
        <v>8126</v>
      </c>
      <c r="T481" s="159" t="str">
        <f>MID(PAA[[#This Row],[Meta Proyecto de Inversión]],6,1)</f>
        <v>8</v>
      </c>
      <c r="U481" s="160" t="str">
        <f>IFERROR(VLOOKUP(N481,TD!$B$50:$F$54,2,0)," ")</f>
        <v>O230117</v>
      </c>
      <c r="V481" s="160" t="str">
        <f>IFERROR(VLOOKUP(N481,TD!$B$50:$F$54,3,0)," ")</f>
        <v>4599</v>
      </c>
      <c r="W481" s="160">
        <f>IFERROR(VLOOKUP(N481,TD!$B$50:$F$54,4,0)," ")</f>
        <v>20240207</v>
      </c>
      <c r="X481" s="159" t="s">
        <v>174</v>
      </c>
      <c r="Y481" s="160" t="str">
        <f>IFERROR(VLOOKUP(X481,TD!$J$51:$K$64,2,0)," ")</f>
        <v>Infraestructura física, mantenimiento y dotación (Sedes construidas, mantenidas reforzadas)</v>
      </c>
      <c r="Z481" s="161" t="str">
        <f>CONCATENATE(X481,"-",Y481)</f>
        <v>08-Infraestructura física, mantenimiento y dotación (Sedes construidas, mantenidas reforzadas)</v>
      </c>
      <c r="AA481" s="159" t="s">
        <v>227</v>
      </c>
      <c r="AB481" s="160" t="str">
        <f>IFERROR(VLOOKUP(AA481,TD!$N$51:$O$66,2,0)," ")</f>
        <v>Sedes mantenidas</v>
      </c>
      <c r="AC481" s="161" t="str">
        <f>CONCATENATE(AA481,"_",AB481)</f>
        <v>016_Sedes mantenidas</v>
      </c>
      <c r="AD481" s="161" t="str">
        <f>CONCATENATE(Z481," ",AC481)</f>
        <v>08-Infraestructura física, mantenimiento y dotación (Sedes construidas, mantenidas reforzadas) 016_Sedes mantenidas</v>
      </c>
      <c r="AE481" s="160" t="str">
        <f>CONCATENATE(U481,V481,W481,X481,AA481)</f>
        <v>O23011745992024020708016</v>
      </c>
      <c r="AF481" s="160" t="str">
        <f>IFERROR(VLOOKUP(AD481,TD!$J$66:$K$89,2,0)," ")</f>
        <v>PM/0131/0108/45990160207</v>
      </c>
      <c r="AG481" s="118" t="s">
        <v>385</v>
      </c>
      <c r="AH481" s="159" t="s">
        <v>193</v>
      </c>
      <c r="AI481" s="162" t="str">
        <f>CONCATENATE(PAA[[#This Row],[Id Interno]],"-",PAA[[#This Row],[tipo de Contrato (TH talento humano - B/S bienes y/o servicios)]],"-",S481,"-",T481,"-",PAA[[#This Row],[Objeto de la contratación]])</f>
        <v>20260444-TH-8126-8-Prestación de servicios de apoyo a la gestión, en la Subdirección de Gestión Corporativa en temas de infraestructura para el sostenimiento y mejoramiento de los equipamientos de la Unidad Administrativa Especial Cuerpo Oficial de Bomberos de Bogotá-SGC</v>
      </c>
    </row>
    <row r="482" spans="2:35" ht="56" x14ac:dyDescent="0.35">
      <c r="B482" s="23">
        <v>20260445</v>
      </c>
      <c r="C482" s="99" t="s">
        <v>716</v>
      </c>
      <c r="D482" s="23" t="s">
        <v>105</v>
      </c>
      <c r="E482" s="23" t="s">
        <v>363</v>
      </c>
      <c r="F482" s="156" t="s">
        <v>144</v>
      </c>
      <c r="G482" s="157" t="s">
        <v>373</v>
      </c>
      <c r="H482" s="158">
        <v>11</v>
      </c>
      <c r="I482" s="158">
        <v>0</v>
      </c>
      <c r="J482" s="127">
        <v>66357000</v>
      </c>
      <c r="K482" s="88" t="s">
        <v>398</v>
      </c>
      <c r="L482" s="156" t="s">
        <v>155</v>
      </c>
      <c r="M482" s="159" t="s">
        <v>422</v>
      </c>
      <c r="N482" s="23" t="s">
        <v>197</v>
      </c>
      <c r="O482" s="151" t="s">
        <v>963</v>
      </c>
      <c r="P482" s="156" t="s">
        <v>348</v>
      </c>
      <c r="Q482" s="53" t="s">
        <v>783</v>
      </c>
      <c r="R482" s="159" t="s">
        <v>208</v>
      </c>
      <c r="S482" s="159" t="str">
        <f>MID(PAA[[#This Row],[Meta Proyecto de Inversión]],1,4)</f>
        <v>8126</v>
      </c>
      <c r="T482" s="159" t="str">
        <f>MID(PAA[[#This Row],[Meta Proyecto de Inversión]],6,1)</f>
        <v>9</v>
      </c>
      <c r="U482" s="160" t="str">
        <f>IFERROR(VLOOKUP(N482,TD!$B$50:$F$54,2,0)," ")</f>
        <v>O230117</v>
      </c>
      <c r="V482" s="160" t="str">
        <f>IFERROR(VLOOKUP(N482,TD!$B$50:$F$54,3,0)," ")</f>
        <v>4599</v>
      </c>
      <c r="W482" s="160">
        <f>IFERROR(VLOOKUP(N482,TD!$B$50:$F$54,4,0)," ")</f>
        <v>20240207</v>
      </c>
      <c r="X482" s="159" t="s">
        <v>174</v>
      </c>
      <c r="Y482" s="160" t="str">
        <f>IFERROR(VLOOKUP(X482,TD!$J$51:$K$64,2,0)," ")</f>
        <v>Infraestructura física, mantenimiento y dotación (Sedes construidas, mantenidas reforzadas)</v>
      </c>
      <c r="Z482" s="161" t="str">
        <f>CONCATENATE(X482,"-",Y482)</f>
        <v>08-Infraestructura física, mantenimiento y dotación (Sedes construidas, mantenidas reforzadas)</v>
      </c>
      <c r="AA482" s="159" t="s">
        <v>227</v>
      </c>
      <c r="AB482" s="160" t="str">
        <f>IFERROR(VLOOKUP(AA482,TD!$N$51:$O$66,2,0)," ")</f>
        <v>Sedes mantenidas</v>
      </c>
      <c r="AC482" s="161" t="str">
        <f>CONCATENATE(AA482,"_",AB482)</f>
        <v>016_Sedes mantenidas</v>
      </c>
      <c r="AD482" s="161" t="str">
        <f>CONCATENATE(Z482," ",AC482)</f>
        <v>08-Infraestructura física, mantenimiento y dotación (Sedes construidas, mantenidas reforzadas) 016_Sedes mantenidas</v>
      </c>
      <c r="AE482" s="160" t="str">
        <f>CONCATENATE(U482,V482,W482,X482,AA482)</f>
        <v>O23011745992024020708016</v>
      </c>
      <c r="AF482" s="160" t="str">
        <f>IFERROR(VLOOKUP(AD482,TD!$J$66:$K$89,2,0)," ")</f>
        <v>PM/0131/0108/45990160207</v>
      </c>
      <c r="AG482" s="118" t="s">
        <v>385</v>
      </c>
      <c r="AH482" s="159" t="s">
        <v>193</v>
      </c>
      <c r="AI482" s="162" t="str">
        <f>CONCATENATE(PAA[[#This Row],[Id Interno]],"-",PAA[[#This Row],[tipo de Contrato (TH talento humano - B/S bienes y/o servicios)]],"-",S482,"-",T482,"-",PAA[[#This Row],[Objeto de la contratación]])</f>
        <v>20260445-TH-8126-9-Prestación de servicios profesionales al área Financiera de la Subdirección de Gestión Corporativa--SGC</v>
      </c>
    </row>
    <row r="483" spans="2:35" ht="56" x14ac:dyDescent="0.35">
      <c r="B483" s="23">
        <v>20260446</v>
      </c>
      <c r="C483" s="99" t="s">
        <v>716</v>
      </c>
      <c r="D483" s="23" t="s">
        <v>105</v>
      </c>
      <c r="E483" s="23" t="s">
        <v>363</v>
      </c>
      <c r="F483" s="156" t="s">
        <v>144</v>
      </c>
      <c r="G483" s="157" t="s">
        <v>373</v>
      </c>
      <c r="H483" s="158">
        <v>11</v>
      </c>
      <c r="I483" s="158">
        <v>0</v>
      </c>
      <c r="J483" s="127">
        <v>66357000</v>
      </c>
      <c r="K483" s="88" t="s">
        <v>398</v>
      </c>
      <c r="L483" s="156" t="s">
        <v>155</v>
      </c>
      <c r="M483" s="159" t="s">
        <v>422</v>
      </c>
      <c r="N483" s="23" t="s">
        <v>197</v>
      </c>
      <c r="O483" s="151" t="s">
        <v>963</v>
      </c>
      <c r="P483" s="156" t="s">
        <v>348</v>
      </c>
      <c r="Q483" s="53" t="s">
        <v>783</v>
      </c>
      <c r="R483" s="159" t="s">
        <v>208</v>
      </c>
      <c r="S483" s="159" t="str">
        <f>MID(PAA[[#This Row],[Meta Proyecto de Inversión]],1,4)</f>
        <v>8126</v>
      </c>
      <c r="T483" s="159" t="str">
        <f>MID(PAA[[#This Row],[Meta Proyecto de Inversión]],6,1)</f>
        <v>9</v>
      </c>
      <c r="U483" s="160" t="str">
        <f>IFERROR(VLOOKUP(N483,TD!$B$50:$F$54,2,0)," ")</f>
        <v>O230117</v>
      </c>
      <c r="V483" s="160" t="str">
        <f>IFERROR(VLOOKUP(N483,TD!$B$50:$F$54,3,0)," ")</f>
        <v>4599</v>
      </c>
      <c r="W483" s="160">
        <f>IFERROR(VLOOKUP(N483,TD!$B$50:$F$54,4,0)," ")</f>
        <v>20240207</v>
      </c>
      <c r="X483" s="159" t="s">
        <v>174</v>
      </c>
      <c r="Y483" s="160" t="str">
        <f>IFERROR(VLOOKUP(X483,TD!$J$51:$K$64,2,0)," ")</f>
        <v>Infraestructura física, mantenimiento y dotación (Sedes construidas, mantenidas reforzadas)</v>
      </c>
      <c r="Z483" s="161" t="str">
        <f>CONCATENATE(X483,"-",Y483)</f>
        <v>08-Infraestructura física, mantenimiento y dotación (Sedes construidas, mantenidas reforzadas)</v>
      </c>
      <c r="AA483" s="159" t="s">
        <v>227</v>
      </c>
      <c r="AB483" s="160" t="str">
        <f>IFERROR(VLOOKUP(AA483,TD!$N$51:$O$66,2,0)," ")</f>
        <v>Sedes mantenidas</v>
      </c>
      <c r="AC483" s="161" t="str">
        <f>CONCATENATE(AA483,"_",AB483)</f>
        <v>016_Sedes mantenidas</v>
      </c>
      <c r="AD483" s="161" t="str">
        <f>CONCATENATE(Z483," ",AC483)</f>
        <v>08-Infraestructura física, mantenimiento y dotación (Sedes construidas, mantenidas reforzadas) 016_Sedes mantenidas</v>
      </c>
      <c r="AE483" s="160" t="str">
        <f>CONCATENATE(U483,V483,W483,X483,AA483)</f>
        <v>O23011745992024020708016</v>
      </c>
      <c r="AF483" s="160" t="str">
        <f>IFERROR(VLOOKUP(AD483,TD!$J$66:$K$89,2,0)," ")</f>
        <v>PM/0131/0108/45990160207</v>
      </c>
      <c r="AG483" s="118" t="s">
        <v>385</v>
      </c>
      <c r="AH483" s="159" t="s">
        <v>193</v>
      </c>
      <c r="AI483" s="162" t="str">
        <f>CONCATENATE(PAA[[#This Row],[Id Interno]],"-",PAA[[#This Row],[tipo de Contrato (TH talento humano - B/S bienes y/o servicios)]],"-",S483,"-",T483,"-",PAA[[#This Row],[Objeto de la contratación]])</f>
        <v>20260446-TH-8126-9-Prestación de servicios profesionales al área Financiera de la Subdirección de Gestión Corporativa--SGC</v>
      </c>
    </row>
    <row r="484" spans="2:35" ht="56" x14ac:dyDescent="0.35">
      <c r="B484" s="23">
        <v>20260447</v>
      </c>
      <c r="C484" s="99" t="s">
        <v>717</v>
      </c>
      <c r="D484" s="23" t="s">
        <v>105</v>
      </c>
      <c r="E484" s="23" t="s">
        <v>363</v>
      </c>
      <c r="F484" s="156" t="s">
        <v>145</v>
      </c>
      <c r="G484" s="157" t="s">
        <v>373</v>
      </c>
      <c r="H484" s="158">
        <v>11</v>
      </c>
      <c r="I484" s="158">
        <v>0</v>
      </c>
      <c r="J484" s="127">
        <v>49399000</v>
      </c>
      <c r="K484" s="88" t="s">
        <v>398</v>
      </c>
      <c r="L484" s="156" t="s">
        <v>155</v>
      </c>
      <c r="M484" s="159" t="s">
        <v>422</v>
      </c>
      <c r="N484" s="23" t="s">
        <v>197</v>
      </c>
      <c r="O484" s="151" t="s">
        <v>963</v>
      </c>
      <c r="P484" s="156" t="s">
        <v>348</v>
      </c>
      <c r="Q484" s="53" t="s">
        <v>783</v>
      </c>
      <c r="R484" s="159" t="s">
        <v>208</v>
      </c>
      <c r="S484" s="159" t="str">
        <f>MID(PAA[[#This Row],[Meta Proyecto de Inversión]],1,4)</f>
        <v>8126</v>
      </c>
      <c r="T484" s="159" t="str">
        <f>MID(PAA[[#This Row],[Meta Proyecto de Inversión]],6,1)</f>
        <v>9</v>
      </c>
      <c r="U484" s="160" t="str">
        <f>IFERROR(VLOOKUP(N484,TD!$B$50:$F$54,2,0)," ")</f>
        <v>O230117</v>
      </c>
      <c r="V484" s="160" t="str">
        <f>IFERROR(VLOOKUP(N484,TD!$B$50:$F$54,3,0)," ")</f>
        <v>4599</v>
      </c>
      <c r="W484" s="160">
        <f>IFERROR(VLOOKUP(N484,TD!$B$50:$F$54,4,0)," ")</f>
        <v>20240207</v>
      </c>
      <c r="X484" s="159" t="s">
        <v>174</v>
      </c>
      <c r="Y484" s="160" t="str">
        <f>IFERROR(VLOOKUP(X484,TD!$J$51:$K$64,2,0)," ")</f>
        <v>Infraestructura física, mantenimiento y dotación (Sedes construidas, mantenidas reforzadas)</v>
      </c>
      <c r="Z484" s="161" t="str">
        <f>CONCATENATE(X484,"-",Y484)</f>
        <v>08-Infraestructura física, mantenimiento y dotación (Sedes construidas, mantenidas reforzadas)</v>
      </c>
      <c r="AA484" s="159" t="s">
        <v>227</v>
      </c>
      <c r="AB484" s="160" t="str">
        <f>IFERROR(VLOOKUP(AA484,TD!$N$51:$O$66,2,0)," ")</f>
        <v>Sedes mantenidas</v>
      </c>
      <c r="AC484" s="161" t="str">
        <f>CONCATENATE(AA484,"_",AB484)</f>
        <v>016_Sedes mantenidas</v>
      </c>
      <c r="AD484" s="161" t="str">
        <f>CONCATENATE(Z484," ",AC484)</f>
        <v>08-Infraestructura física, mantenimiento y dotación (Sedes construidas, mantenidas reforzadas) 016_Sedes mantenidas</v>
      </c>
      <c r="AE484" s="160" t="str">
        <f>CONCATENATE(U484,V484,W484,X484,AA484)</f>
        <v>O23011745992024020708016</v>
      </c>
      <c r="AF484" s="160" t="str">
        <f>IFERROR(VLOOKUP(AD484,TD!$J$66:$K$89,2,0)," ")</f>
        <v>PM/0131/0108/45990160207</v>
      </c>
      <c r="AG484" s="118" t="s">
        <v>385</v>
      </c>
      <c r="AH484" s="159" t="s">
        <v>193</v>
      </c>
      <c r="AI484" s="162" t="str">
        <f>CONCATENATE(PAA[[#This Row],[Id Interno]],"-",PAA[[#This Row],[tipo de Contrato (TH talento humano - B/S bienes y/o servicios)]],"-",S484,"-",T484,"-",PAA[[#This Row],[Objeto de la contratación]])</f>
        <v>20260447-TH-8126-9-Prestación de servicios de apoyo a la gestión del área Financiera de la Subdirección de Gestión Corporativa.-SGC</v>
      </c>
    </row>
    <row r="485" spans="2:35" ht="56" x14ac:dyDescent="0.35">
      <c r="B485" s="23">
        <v>20260448</v>
      </c>
      <c r="C485" s="99" t="s">
        <v>718</v>
      </c>
      <c r="D485" s="23" t="s">
        <v>105</v>
      </c>
      <c r="E485" s="23" t="s">
        <v>363</v>
      </c>
      <c r="F485" s="156" t="s">
        <v>144</v>
      </c>
      <c r="G485" s="157" t="s">
        <v>373</v>
      </c>
      <c r="H485" s="158">
        <v>11</v>
      </c>
      <c r="I485" s="158">
        <v>0</v>
      </c>
      <c r="J485" s="127">
        <v>66357000</v>
      </c>
      <c r="K485" s="88" t="s">
        <v>398</v>
      </c>
      <c r="L485" s="156" t="s">
        <v>155</v>
      </c>
      <c r="M485" s="159" t="s">
        <v>422</v>
      </c>
      <c r="N485" s="23" t="s">
        <v>197</v>
      </c>
      <c r="O485" s="151" t="s">
        <v>963</v>
      </c>
      <c r="P485" s="156" t="s">
        <v>348</v>
      </c>
      <c r="Q485" s="53" t="s">
        <v>783</v>
      </c>
      <c r="R485" s="159" t="s">
        <v>208</v>
      </c>
      <c r="S485" s="159" t="str">
        <f>MID(PAA[[#This Row],[Meta Proyecto de Inversión]],1,4)</f>
        <v>8126</v>
      </c>
      <c r="T485" s="159" t="str">
        <f>MID(PAA[[#This Row],[Meta Proyecto de Inversión]],6,1)</f>
        <v>9</v>
      </c>
      <c r="U485" s="160" t="str">
        <f>IFERROR(VLOOKUP(N485,TD!$B$50:$F$54,2,0)," ")</f>
        <v>O230117</v>
      </c>
      <c r="V485" s="160" t="str">
        <f>IFERROR(VLOOKUP(N485,TD!$B$50:$F$54,3,0)," ")</f>
        <v>4599</v>
      </c>
      <c r="W485" s="160">
        <f>IFERROR(VLOOKUP(N485,TD!$B$50:$F$54,4,0)," ")</f>
        <v>20240207</v>
      </c>
      <c r="X485" s="159" t="s">
        <v>174</v>
      </c>
      <c r="Y485" s="160" t="str">
        <f>IFERROR(VLOOKUP(X485,TD!$J$51:$K$64,2,0)," ")</f>
        <v>Infraestructura física, mantenimiento y dotación (Sedes construidas, mantenidas reforzadas)</v>
      </c>
      <c r="Z485" s="161" t="str">
        <f>CONCATENATE(X485,"-",Y485)</f>
        <v>08-Infraestructura física, mantenimiento y dotación (Sedes construidas, mantenidas reforzadas)</v>
      </c>
      <c r="AA485" s="159" t="s">
        <v>227</v>
      </c>
      <c r="AB485" s="160" t="str">
        <f>IFERROR(VLOOKUP(AA485,TD!$N$51:$O$66,2,0)," ")</f>
        <v>Sedes mantenidas</v>
      </c>
      <c r="AC485" s="161" t="str">
        <f>CONCATENATE(AA485,"_",AB485)</f>
        <v>016_Sedes mantenidas</v>
      </c>
      <c r="AD485" s="161" t="str">
        <f>CONCATENATE(Z485," ",AC485)</f>
        <v>08-Infraestructura física, mantenimiento y dotación (Sedes construidas, mantenidas reforzadas) 016_Sedes mantenidas</v>
      </c>
      <c r="AE485" s="160" t="str">
        <f>CONCATENATE(U485,V485,W485,X485,AA485)</f>
        <v>O23011745992024020708016</v>
      </c>
      <c r="AF485" s="160" t="str">
        <f>IFERROR(VLOOKUP(AD485,TD!$J$66:$K$89,2,0)," ")</f>
        <v>PM/0131/0108/45990160207</v>
      </c>
      <c r="AG485" s="118" t="s">
        <v>385</v>
      </c>
      <c r="AH485" s="159" t="s">
        <v>193</v>
      </c>
      <c r="AI485" s="162" t="str">
        <f>CONCATENATE(PAA[[#This Row],[Id Interno]],"-",PAA[[#This Row],[tipo de Contrato (TH talento humano - B/S bienes y/o servicios)]],"-",S485,"-",T485,"-",PAA[[#This Row],[Objeto de la contratación]])</f>
        <v>20260448-TH-8126-9-Prestación de servicios profesionales para el seguimiento, ejecución de los procesos de gestión de pagos que se desarrollan en el área Financiera de la UAE Cuerpo Oficial de Bomberos asignados. -SGC</v>
      </c>
    </row>
    <row r="486" spans="2:35" ht="56" x14ac:dyDescent="0.35">
      <c r="B486" s="23">
        <v>20260449</v>
      </c>
      <c r="C486" s="99" t="s">
        <v>719</v>
      </c>
      <c r="D486" s="23" t="s">
        <v>105</v>
      </c>
      <c r="E486" s="23" t="s">
        <v>363</v>
      </c>
      <c r="F486" s="156" t="s">
        <v>144</v>
      </c>
      <c r="G486" s="157" t="s">
        <v>373</v>
      </c>
      <c r="H486" s="158">
        <v>11</v>
      </c>
      <c r="I486" s="158">
        <v>0</v>
      </c>
      <c r="J486" s="127">
        <v>102034000</v>
      </c>
      <c r="K486" s="88" t="s">
        <v>398</v>
      </c>
      <c r="L486" s="156" t="s">
        <v>155</v>
      </c>
      <c r="M486" s="159" t="s">
        <v>422</v>
      </c>
      <c r="N486" s="23" t="s">
        <v>197</v>
      </c>
      <c r="O486" s="151" t="s">
        <v>963</v>
      </c>
      <c r="P486" s="156" t="s">
        <v>348</v>
      </c>
      <c r="Q486" s="53" t="s">
        <v>783</v>
      </c>
      <c r="R486" s="159" t="s">
        <v>207</v>
      </c>
      <c r="S486" s="159" t="str">
        <f>MID(PAA[[#This Row],[Meta Proyecto de Inversión]],1,4)</f>
        <v>8126</v>
      </c>
      <c r="T486" s="159" t="str">
        <f>MID(PAA[[#This Row],[Meta Proyecto de Inversión]],6,1)</f>
        <v>8</v>
      </c>
      <c r="U486" s="160" t="str">
        <f>IFERROR(VLOOKUP(N486,TD!$B$50:$F$54,2,0)," ")</f>
        <v>O230117</v>
      </c>
      <c r="V486" s="160" t="str">
        <f>IFERROR(VLOOKUP(N486,TD!$B$50:$F$54,3,0)," ")</f>
        <v>4599</v>
      </c>
      <c r="W486" s="160">
        <f>IFERROR(VLOOKUP(N486,TD!$B$50:$F$54,4,0)," ")</f>
        <v>20240207</v>
      </c>
      <c r="X486" s="159" t="s">
        <v>174</v>
      </c>
      <c r="Y486" s="160" t="str">
        <f>IFERROR(VLOOKUP(X486,TD!$J$51:$K$64,2,0)," ")</f>
        <v>Infraestructura física, mantenimiento y dotación (Sedes construidas, mantenidas reforzadas)</v>
      </c>
      <c r="Z486" s="161" t="str">
        <f>CONCATENATE(X486,"-",Y486)</f>
        <v>08-Infraestructura física, mantenimiento y dotación (Sedes construidas, mantenidas reforzadas)</v>
      </c>
      <c r="AA486" s="159" t="s">
        <v>227</v>
      </c>
      <c r="AB486" s="160" t="str">
        <f>IFERROR(VLOOKUP(AA486,TD!$N$51:$O$66,2,0)," ")</f>
        <v>Sedes mantenidas</v>
      </c>
      <c r="AC486" s="161" t="str">
        <f>CONCATENATE(AA486,"_",AB486)</f>
        <v>016_Sedes mantenidas</v>
      </c>
      <c r="AD486" s="161" t="str">
        <f>CONCATENATE(Z486," ",AC486)</f>
        <v>08-Infraestructura física, mantenimiento y dotación (Sedes construidas, mantenidas reforzadas) 016_Sedes mantenidas</v>
      </c>
      <c r="AE486" s="160" t="str">
        <f>CONCATENATE(U486,V486,W486,X486,AA486)</f>
        <v>O23011745992024020708016</v>
      </c>
      <c r="AF486" s="160" t="str">
        <f>IFERROR(VLOOKUP(AD486,TD!$J$66:$K$89,2,0)," ")</f>
        <v>PM/0131/0108/45990160207</v>
      </c>
      <c r="AG486" s="118" t="s">
        <v>385</v>
      </c>
      <c r="AH486" s="159" t="s">
        <v>193</v>
      </c>
      <c r="AI486" s="162" t="str">
        <f>CONCATENATE(PAA[[#This Row],[Id Interno]],"-",PAA[[#This Row],[tipo de Contrato (TH talento humano - B/S bienes y/o servicios)]],"-",S486,"-",T486,"-",PAA[[#This Row],[Objeto de la contratación]])</f>
        <v>20260449-TH-8126-8-Prestación de servicios profesionales especializados para apoyar las actividades de seguimiento técnico del Área de Infraestructura de la Subdirección de Gestión Corporativa-SGC</v>
      </c>
    </row>
    <row r="487" spans="2:35" ht="56" x14ac:dyDescent="0.35">
      <c r="B487" s="23">
        <v>20260450</v>
      </c>
      <c r="C487" s="99" t="s">
        <v>715</v>
      </c>
      <c r="D487" s="23" t="s">
        <v>105</v>
      </c>
      <c r="E487" s="23" t="s">
        <v>363</v>
      </c>
      <c r="F487" s="156" t="s">
        <v>145</v>
      </c>
      <c r="G487" s="157" t="s">
        <v>373</v>
      </c>
      <c r="H487" s="158">
        <v>11</v>
      </c>
      <c r="I487" s="158">
        <v>0</v>
      </c>
      <c r="J487" s="127">
        <v>36128000</v>
      </c>
      <c r="K487" s="88" t="s">
        <v>398</v>
      </c>
      <c r="L487" s="156" t="s">
        <v>155</v>
      </c>
      <c r="M487" s="159" t="s">
        <v>422</v>
      </c>
      <c r="N487" s="23" t="s">
        <v>197</v>
      </c>
      <c r="O487" s="151" t="s">
        <v>963</v>
      </c>
      <c r="P487" s="156" t="s">
        <v>348</v>
      </c>
      <c r="Q487" s="53" t="s">
        <v>783</v>
      </c>
      <c r="R487" s="159" t="s">
        <v>207</v>
      </c>
      <c r="S487" s="159" t="str">
        <f>MID(PAA[[#This Row],[Meta Proyecto de Inversión]],1,4)</f>
        <v>8126</v>
      </c>
      <c r="T487" s="159" t="str">
        <f>MID(PAA[[#This Row],[Meta Proyecto de Inversión]],6,1)</f>
        <v>8</v>
      </c>
      <c r="U487" s="160" t="str">
        <f>IFERROR(VLOOKUP(N487,TD!$B$50:$F$54,2,0)," ")</f>
        <v>O230117</v>
      </c>
      <c r="V487" s="160" t="str">
        <f>IFERROR(VLOOKUP(N487,TD!$B$50:$F$54,3,0)," ")</f>
        <v>4599</v>
      </c>
      <c r="W487" s="160">
        <f>IFERROR(VLOOKUP(N487,TD!$B$50:$F$54,4,0)," ")</f>
        <v>20240207</v>
      </c>
      <c r="X487" s="159" t="s">
        <v>174</v>
      </c>
      <c r="Y487" s="160" t="str">
        <f>IFERROR(VLOOKUP(X487,TD!$J$51:$K$64,2,0)," ")</f>
        <v>Infraestructura física, mantenimiento y dotación (Sedes construidas, mantenidas reforzadas)</v>
      </c>
      <c r="Z487" s="161" t="str">
        <f>CONCATENATE(X487,"-",Y487)</f>
        <v>08-Infraestructura física, mantenimiento y dotación (Sedes construidas, mantenidas reforzadas)</v>
      </c>
      <c r="AA487" s="159" t="s">
        <v>227</v>
      </c>
      <c r="AB487" s="160" t="str">
        <f>IFERROR(VLOOKUP(AA487,TD!$N$51:$O$66,2,0)," ")</f>
        <v>Sedes mantenidas</v>
      </c>
      <c r="AC487" s="161" t="str">
        <f>CONCATENATE(AA487,"_",AB487)</f>
        <v>016_Sedes mantenidas</v>
      </c>
      <c r="AD487" s="161" t="str">
        <f>CONCATENATE(Z487," ",AC487)</f>
        <v>08-Infraestructura física, mantenimiento y dotación (Sedes construidas, mantenidas reforzadas) 016_Sedes mantenidas</v>
      </c>
      <c r="AE487" s="160" t="str">
        <f>CONCATENATE(U487,V487,W487,X487,AA487)</f>
        <v>O23011745992024020708016</v>
      </c>
      <c r="AF487" s="160" t="str">
        <f>IFERROR(VLOOKUP(AD487,TD!$J$66:$K$89,2,0)," ")</f>
        <v>PM/0131/0108/45990160207</v>
      </c>
      <c r="AG487" s="118" t="s">
        <v>385</v>
      </c>
      <c r="AH487" s="159" t="s">
        <v>193</v>
      </c>
      <c r="AI487" s="162" t="str">
        <f>CONCATENATE(PAA[[#This Row],[Id Interno]],"-",PAA[[#This Row],[tipo de Contrato (TH talento humano - B/S bienes y/o servicios)]],"-",S487,"-",T487,"-",PAA[[#This Row],[Objeto de la contratación]])</f>
        <v>20260450-TH-8126-8-Prestación de servicios de apoyo a la gestión, en la Subdirección de Gestión Corporativa en temas de infraestructura para el sostenimiento y mejoramiento de los equipamientos de la Unidad Administrativa Especial Cuerpo Oficial de Bomberos de Bogotá-SGC</v>
      </c>
    </row>
    <row r="488" spans="2:35" ht="56" x14ac:dyDescent="0.35">
      <c r="B488" s="23">
        <v>20260451</v>
      </c>
      <c r="C488" s="99" t="s">
        <v>715</v>
      </c>
      <c r="D488" s="23" t="s">
        <v>105</v>
      </c>
      <c r="E488" s="23" t="s">
        <v>363</v>
      </c>
      <c r="F488" s="156" t="s">
        <v>145</v>
      </c>
      <c r="G488" s="157" t="s">
        <v>373</v>
      </c>
      <c r="H488" s="158">
        <v>11</v>
      </c>
      <c r="I488" s="158">
        <v>0</v>
      </c>
      <c r="J488" s="127">
        <v>36128000</v>
      </c>
      <c r="K488" s="88" t="s">
        <v>398</v>
      </c>
      <c r="L488" s="156" t="s">
        <v>155</v>
      </c>
      <c r="M488" s="159" t="s">
        <v>422</v>
      </c>
      <c r="N488" s="23" t="s">
        <v>197</v>
      </c>
      <c r="O488" s="151" t="s">
        <v>963</v>
      </c>
      <c r="P488" s="156" t="s">
        <v>348</v>
      </c>
      <c r="Q488" s="53" t="s">
        <v>783</v>
      </c>
      <c r="R488" s="159" t="s">
        <v>207</v>
      </c>
      <c r="S488" s="159" t="str">
        <f>MID(PAA[[#This Row],[Meta Proyecto de Inversión]],1,4)</f>
        <v>8126</v>
      </c>
      <c r="T488" s="159" t="str">
        <f>MID(PAA[[#This Row],[Meta Proyecto de Inversión]],6,1)</f>
        <v>8</v>
      </c>
      <c r="U488" s="160" t="str">
        <f>IFERROR(VLOOKUP(N488,TD!$B$50:$F$54,2,0)," ")</f>
        <v>O230117</v>
      </c>
      <c r="V488" s="160" t="str">
        <f>IFERROR(VLOOKUP(N488,TD!$B$50:$F$54,3,0)," ")</f>
        <v>4599</v>
      </c>
      <c r="W488" s="160">
        <f>IFERROR(VLOOKUP(N488,TD!$B$50:$F$54,4,0)," ")</f>
        <v>20240207</v>
      </c>
      <c r="X488" s="159" t="s">
        <v>174</v>
      </c>
      <c r="Y488" s="160" t="str">
        <f>IFERROR(VLOOKUP(X488,TD!$J$51:$K$64,2,0)," ")</f>
        <v>Infraestructura física, mantenimiento y dotación (Sedes construidas, mantenidas reforzadas)</v>
      </c>
      <c r="Z488" s="161" t="str">
        <f>CONCATENATE(X488,"-",Y488)</f>
        <v>08-Infraestructura física, mantenimiento y dotación (Sedes construidas, mantenidas reforzadas)</v>
      </c>
      <c r="AA488" s="159" t="s">
        <v>227</v>
      </c>
      <c r="AB488" s="160" t="str">
        <f>IFERROR(VLOOKUP(AA488,TD!$N$51:$O$66,2,0)," ")</f>
        <v>Sedes mantenidas</v>
      </c>
      <c r="AC488" s="161" t="str">
        <f>CONCATENATE(AA488,"_",AB488)</f>
        <v>016_Sedes mantenidas</v>
      </c>
      <c r="AD488" s="161" t="str">
        <f>CONCATENATE(Z488," ",AC488)</f>
        <v>08-Infraestructura física, mantenimiento y dotación (Sedes construidas, mantenidas reforzadas) 016_Sedes mantenidas</v>
      </c>
      <c r="AE488" s="160" t="str">
        <f>CONCATENATE(U488,V488,W488,X488,AA488)</f>
        <v>O23011745992024020708016</v>
      </c>
      <c r="AF488" s="160" t="str">
        <f>IFERROR(VLOOKUP(AD488,TD!$J$66:$K$89,2,0)," ")</f>
        <v>PM/0131/0108/45990160207</v>
      </c>
      <c r="AG488" s="118" t="s">
        <v>385</v>
      </c>
      <c r="AH488" s="159" t="s">
        <v>193</v>
      </c>
      <c r="AI488" s="162" t="str">
        <f>CONCATENATE(PAA[[#This Row],[Id Interno]],"-",PAA[[#This Row],[tipo de Contrato (TH talento humano - B/S bienes y/o servicios)]],"-",S488,"-",T488,"-",PAA[[#This Row],[Objeto de la contratación]])</f>
        <v>20260451-TH-8126-8-Prestación de servicios de apoyo a la gestión, en la Subdirección de Gestión Corporativa en temas de infraestructura para el sostenimiento y mejoramiento de los equipamientos de la Unidad Administrativa Especial Cuerpo Oficial de Bomberos de Bogotá-SGC</v>
      </c>
    </row>
    <row r="489" spans="2:35" ht="56" x14ac:dyDescent="0.35">
      <c r="B489" s="23">
        <v>20260452</v>
      </c>
      <c r="C489" s="99" t="s">
        <v>720</v>
      </c>
      <c r="D489" s="23" t="s">
        <v>105</v>
      </c>
      <c r="E489" s="23" t="s">
        <v>363</v>
      </c>
      <c r="F489" s="156" t="s">
        <v>144</v>
      </c>
      <c r="G489" s="157" t="s">
        <v>373</v>
      </c>
      <c r="H489" s="158">
        <v>11</v>
      </c>
      <c r="I489" s="158">
        <v>0</v>
      </c>
      <c r="J489" s="127">
        <v>57200000</v>
      </c>
      <c r="K489" s="88" t="s">
        <v>398</v>
      </c>
      <c r="L489" s="156" t="s">
        <v>155</v>
      </c>
      <c r="M489" s="159" t="s">
        <v>422</v>
      </c>
      <c r="N489" s="23" t="s">
        <v>198</v>
      </c>
      <c r="O489" s="151" t="s">
        <v>964</v>
      </c>
      <c r="P489" s="156" t="s">
        <v>348</v>
      </c>
      <c r="Q489" s="53" t="s">
        <v>783</v>
      </c>
      <c r="R489" s="159" t="s">
        <v>216</v>
      </c>
      <c r="S489" s="159" t="str">
        <f>MID(PAA[[#This Row],[Meta Proyecto de Inversión]],1,4)</f>
        <v>8173</v>
      </c>
      <c r="T489" s="159" t="str">
        <f>MID(PAA[[#This Row],[Meta Proyecto de Inversión]],6,1)</f>
        <v>7</v>
      </c>
      <c r="U489" s="160" t="str">
        <f>IFERROR(VLOOKUP(N489,TD!$B$50:$F$54,2,0)," ")</f>
        <v>O230117</v>
      </c>
      <c r="V489" s="160" t="str">
        <f>IFERROR(VLOOKUP(N489,TD!$B$50:$F$54,3,0)," ")</f>
        <v>4503</v>
      </c>
      <c r="W489" s="160">
        <f>IFERROR(VLOOKUP(N489,TD!$B$50:$F$54,4,0)," ")</f>
        <v>20240255</v>
      </c>
      <c r="X489" s="159">
        <v>14</v>
      </c>
      <c r="Y489" s="160" t="str">
        <f>IFERROR(VLOOKUP(X489,TD!$J$51:$K$64,2,0)," ")</f>
        <v xml:space="preserve">Infraestructura física misional construida mantenida y dotada </v>
      </c>
      <c r="Z489" s="161" t="str">
        <f>CONCATENATE(X489,"-",Y489)</f>
        <v xml:space="preserve">14-Infraestructura física misional construida mantenida y dotada </v>
      </c>
      <c r="AA489" s="159" t="s">
        <v>225</v>
      </c>
      <c r="AB489" s="160" t="str">
        <f>IFERROR(VLOOKUP(AA489,TD!$N$51:$O$66,2,0)," ")</f>
        <v>Estaciones de bomberos adecuadas</v>
      </c>
      <c r="AC489" s="161" t="str">
        <f>CONCATENATE(AA489,"_",AB489)</f>
        <v>014_Estaciones de bomberos adecuadas</v>
      </c>
      <c r="AD489" s="161" t="str">
        <f>CONCATENATE(Z489," ",AC489)</f>
        <v>14-Infraestructura física misional construida mantenida y dotada  014_Estaciones de bomberos adecuadas</v>
      </c>
      <c r="AE489" s="160" t="str">
        <f>CONCATENATE(U489,V489,W489,X489,AA489)</f>
        <v>O23011745032024025514014</v>
      </c>
      <c r="AF489" s="160" t="str">
        <f>IFERROR(VLOOKUP(AD489,TD!$J$66:$K$89,2,0)," ")</f>
        <v>PM/0131/0114/45030140255</v>
      </c>
      <c r="AG489" s="118" t="s">
        <v>385</v>
      </c>
      <c r="AH489" s="159" t="s">
        <v>193</v>
      </c>
      <c r="AI489" s="162" t="str">
        <f>CONCATENATE(PAA[[#This Row],[Id Interno]],"-",PAA[[#This Row],[tipo de Contrato (TH talento humano - B/S bienes y/o servicios)]],"-",S489,"-",T489,"-",PAA[[#This Row],[Objeto de la contratación]])</f>
        <v>20260452-TH-8173-7-Prestación de servicios profesionales en la proyección y el seguimiento financiero a los proyectos del área de infraestructura de la Subdirección de Gestión Corporativa -SGC</v>
      </c>
    </row>
    <row r="490" spans="2:35" ht="56" x14ac:dyDescent="0.35">
      <c r="B490" s="23">
        <v>20260453</v>
      </c>
      <c r="C490" s="99" t="s">
        <v>721</v>
      </c>
      <c r="D490" s="23" t="s">
        <v>105</v>
      </c>
      <c r="E490" s="23" t="s">
        <v>363</v>
      </c>
      <c r="F490" s="156" t="s">
        <v>144</v>
      </c>
      <c r="G490" s="157" t="s">
        <v>373</v>
      </c>
      <c r="H490" s="158">
        <v>10</v>
      </c>
      <c r="I490" s="158">
        <v>0</v>
      </c>
      <c r="J490" s="127">
        <v>60324000</v>
      </c>
      <c r="K490" s="88" t="s">
        <v>398</v>
      </c>
      <c r="L490" s="156" t="s">
        <v>155</v>
      </c>
      <c r="M490" s="159" t="s">
        <v>422</v>
      </c>
      <c r="N490" s="23" t="s">
        <v>198</v>
      </c>
      <c r="O490" s="151" t="s">
        <v>964</v>
      </c>
      <c r="P490" s="156" t="s">
        <v>348</v>
      </c>
      <c r="Q490" s="53" t="s">
        <v>783</v>
      </c>
      <c r="R490" s="159" t="s">
        <v>216</v>
      </c>
      <c r="S490" s="159" t="str">
        <f>MID(PAA[[#This Row],[Meta Proyecto de Inversión]],1,4)</f>
        <v>8173</v>
      </c>
      <c r="T490" s="159" t="str">
        <f>MID(PAA[[#This Row],[Meta Proyecto de Inversión]],6,1)</f>
        <v>7</v>
      </c>
      <c r="U490" s="160" t="str">
        <f>IFERROR(VLOOKUP(N490,TD!$B$50:$F$54,2,0)," ")</f>
        <v>O230117</v>
      </c>
      <c r="V490" s="160" t="str">
        <f>IFERROR(VLOOKUP(N490,TD!$B$50:$F$54,3,0)," ")</f>
        <v>4503</v>
      </c>
      <c r="W490" s="160">
        <f>IFERROR(VLOOKUP(N490,TD!$B$50:$F$54,4,0)," ")</f>
        <v>20240255</v>
      </c>
      <c r="X490" s="159">
        <v>14</v>
      </c>
      <c r="Y490" s="160" t="str">
        <f>IFERROR(VLOOKUP(X490,TD!$J$51:$K$64,2,0)," ")</f>
        <v xml:space="preserve">Infraestructura física misional construida mantenida y dotada </v>
      </c>
      <c r="Z490" s="161" t="str">
        <f>CONCATENATE(X490,"-",Y490)</f>
        <v xml:space="preserve">14-Infraestructura física misional construida mantenida y dotada </v>
      </c>
      <c r="AA490" s="159" t="s">
        <v>225</v>
      </c>
      <c r="AB490" s="160" t="str">
        <f>IFERROR(VLOOKUP(AA490,TD!$N$51:$O$66,2,0)," ")</f>
        <v>Estaciones de bomberos adecuadas</v>
      </c>
      <c r="AC490" s="161" t="str">
        <f>CONCATENATE(AA490,"_",AB490)</f>
        <v>014_Estaciones de bomberos adecuadas</v>
      </c>
      <c r="AD490" s="161" t="str">
        <f>CONCATENATE(Z490," ",AC490)</f>
        <v>14-Infraestructura física misional construida mantenida y dotada  014_Estaciones de bomberos adecuadas</v>
      </c>
      <c r="AE490" s="160" t="str">
        <f>CONCATENATE(U490,V490,W490,X490,AA490)</f>
        <v>O23011745032024025514014</v>
      </c>
      <c r="AF490" s="160" t="str">
        <f>IFERROR(VLOOKUP(AD490,TD!$J$66:$K$89,2,0)," ")</f>
        <v>PM/0131/0114/45030140255</v>
      </c>
      <c r="AG490" s="118" t="s">
        <v>385</v>
      </c>
      <c r="AH490" s="159" t="s">
        <v>193</v>
      </c>
      <c r="AI490" s="162" t="str">
        <f>CONCATENATE(PAA[[#This Row],[Id Interno]],"-",PAA[[#This Row],[tipo de Contrato (TH talento humano - B/S bienes y/o servicios)]],"-",S490,"-",T490,"-",PAA[[#This Row],[Objeto de la contratación]])</f>
        <v>20260453-TH-8173-7-Prestación de servicios profesionales con el fin de gestionar trámites de carácter técnico, administrativo y operativamente en el desarrollo de los proyectos de inversión  de la entidad-SGC</v>
      </c>
    </row>
    <row r="491" spans="2:35" ht="70" x14ac:dyDescent="0.35">
      <c r="B491" s="23">
        <v>20260454</v>
      </c>
      <c r="C491" s="99" t="s">
        <v>695</v>
      </c>
      <c r="D491" s="23" t="s">
        <v>105</v>
      </c>
      <c r="E491" s="23" t="s">
        <v>363</v>
      </c>
      <c r="F491" s="156" t="s">
        <v>144</v>
      </c>
      <c r="G491" s="157" t="s">
        <v>373</v>
      </c>
      <c r="H491" s="158">
        <v>11</v>
      </c>
      <c r="I491" s="158">
        <v>0</v>
      </c>
      <c r="J491" s="127">
        <v>81103000</v>
      </c>
      <c r="K491" s="88" t="s">
        <v>398</v>
      </c>
      <c r="L491" s="156" t="s">
        <v>155</v>
      </c>
      <c r="M491" s="159" t="s">
        <v>422</v>
      </c>
      <c r="N491" s="23" t="s">
        <v>197</v>
      </c>
      <c r="O491" s="151" t="s">
        <v>963</v>
      </c>
      <c r="P491" s="156" t="s">
        <v>348</v>
      </c>
      <c r="Q491" s="53" t="s">
        <v>783</v>
      </c>
      <c r="R491" s="159" t="s">
        <v>208</v>
      </c>
      <c r="S491" s="159" t="str">
        <f>MID(PAA[[#This Row],[Meta Proyecto de Inversión]],1,4)</f>
        <v>8126</v>
      </c>
      <c r="T491" s="159" t="str">
        <f>MID(PAA[[#This Row],[Meta Proyecto de Inversión]],6,1)</f>
        <v>9</v>
      </c>
      <c r="U491" s="160" t="str">
        <f>IFERROR(VLOOKUP(N491,TD!$B$50:$F$54,2,0)," ")</f>
        <v>O230117</v>
      </c>
      <c r="V491" s="160" t="str">
        <f>IFERROR(VLOOKUP(N491,TD!$B$50:$F$54,3,0)," ")</f>
        <v>4599</v>
      </c>
      <c r="W491" s="160">
        <f>IFERROR(VLOOKUP(N491,TD!$B$50:$F$54,4,0)," ")</f>
        <v>20240207</v>
      </c>
      <c r="X491" s="159" t="s">
        <v>174</v>
      </c>
      <c r="Y491" s="160" t="str">
        <f>IFERROR(VLOOKUP(X491,TD!$J$51:$K$64,2,0)," ")</f>
        <v>Infraestructura física, mantenimiento y dotación (Sedes construidas, mantenidas reforzadas)</v>
      </c>
      <c r="Z491" s="161" t="str">
        <f>CONCATENATE(X491,"-",Y491)</f>
        <v>08-Infraestructura física, mantenimiento y dotación (Sedes construidas, mantenidas reforzadas)</v>
      </c>
      <c r="AA491" s="159" t="s">
        <v>227</v>
      </c>
      <c r="AB491" s="160" t="str">
        <f>IFERROR(VLOOKUP(AA491,TD!$N$51:$O$66,2,0)," ")</f>
        <v>Sedes mantenidas</v>
      </c>
      <c r="AC491" s="161" t="str">
        <f>CONCATENATE(AA491,"_",AB491)</f>
        <v>016_Sedes mantenidas</v>
      </c>
      <c r="AD491" s="161" t="str">
        <f>CONCATENATE(Z491," ",AC491)</f>
        <v>08-Infraestructura física, mantenimiento y dotación (Sedes construidas, mantenidas reforzadas) 016_Sedes mantenidas</v>
      </c>
      <c r="AE491" s="160" t="str">
        <f>CONCATENATE(U491,V491,W491,X491,AA491)</f>
        <v>O23011745992024020708016</v>
      </c>
      <c r="AF491" s="160" t="str">
        <f>IFERROR(VLOOKUP(AD491,TD!$J$66:$K$89,2,0)," ")</f>
        <v>PM/0131/0108/45990160207</v>
      </c>
      <c r="AG491" s="118" t="s">
        <v>385</v>
      </c>
      <c r="AH491" s="159" t="s">
        <v>193</v>
      </c>
      <c r="AI491" s="162" t="str">
        <f>CONCATENATE(PAA[[#This Row],[Id Interno]],"-",PAA[[#This Row],[tipo de Contrato (TH talento humano - B/S bienes y/o servicios)]],"-",S491,"-",T491,"-",PAA[[#This Row],[Objeto de la contratación]])</f>
        <v>20260454-TH-8126-9-Prestar servicios profesionales para realizar acompañamiento juridico en la elaboración de los procesos contractuales adelantados por la Subdirección Gestión Corporativa -SGC</v>
      </c>
    </row>
    <row r="492" spans="2:35" ht="70" x14ac:dyDescent="0.35">
      <c r="B492" s="23">
        <v>20260455</v>
      </c>
      <c r="C492" s="99" t="s">
        <v>707</v>
      </c>
      <c r="D492" s="23" t="s">
        <v>105</v>
      </c>
      <c r="E492" s="23" t="s">
        <v>363</v>
      </c>
      <c r="F492" s="156" t="s">
        <v>144</v>
      </c>
      <c r="G492" s="157" t="s">
        <v>373</v>
      </c>
      <c r="H492" s="158">
        <v>11</v>
      </c>
      <c r="I492" s="158">
        <v>0</v>
      </c>
      <c r="J492" s="127">
        <v>99000000</v>
      </c>
      <c r="K492" s="88" t="s">
        <v>398</v>
      </c>
      <c r="L492" s="156" t="s">
        <v>155</v>
      </c>
      <c r="M492" s="159" t="s">
        <v>422</v>
      </c>
      <c r="N492" s="23" t="s">
        <v>198</v>
      </c>
      <c r="O492" s="151" t="s">
        <v>964</v>
      </c>
      <c r="P492" s="156" t="s">
        <v>348</v>
      </c>
      <c r="Q492" s="53" t="s">
        <v>783</v>
      </c>
      <c r="R492" s="159" t="s">
        <v>216</v>
      </c>
      <c r="S492" s="159" t="str">
        <f>MID(PAA[[#This Row],[Meta Proyecto de Inversión]],1,4)</f>
        <v>8173</v>
      </c>
      <c r="T492" s="159" t="str">
        <f>MID(PAA[[#This Row],[Meta Proyecto de Inversión]],6,1)</f>
        <v>7</v>
      </c>
      <c r="U492" s="160" t="str">
        <f>IFERROR(VLOOKUP(N492,TD!$B$50:$F$54,2,0)," ")</f>
        <v>O230117</v>
      </c>
      <c r="V492" s="160" t="str">
        <f>IFERROR(VLOOKUP(N492,TD!$B$50:$F$54,3,0)," ")</f>
        <v>4503</v>
      </c>
      <c r="W492" s="160">
        <f>IFERROR(VLOOKUP(N492,TD!$B$50:$F$54,4,0)," ")</f>
        <v>20240255</v>
      </c>
      <c r="X492" s="159">
        <v>14</v>
      </c>
      <c r="Y492" s="160" t="str">
        <f>IFERROR(VLOOKUP(X492,TD!$J$51:$K$64,2,0)," ")</f>
        <v xml:space="preserve">Infraestructura física misional construida mantenida y dotada </v>
      </c>
      <c r="Z492" s="161" t="str">
        <f>CONCATENATE(X492,"-",Y492)</f>
        <v xml:space="preserve">14-Infraestructura física misional construida mantenida y dotada </v>
      </c>
      <c r="AA492" s="159" t="s">
        <v>225</v>
      </c>
      <c r="AB492" s="160" t="str">
        <f>IFERROR(VLOOKUP(AA492,TD!$N$51:$O$66,2,0)," ")</f>
        <v>Estaciones de bomberos adecuadas</v>
      </c>
      <c r="AC492" s="161" t="str">
        <f>CONCATENATE(AA492,"_",AB492)</f>
        <v>014_Estaciones de bomberos adecuadas</v>
      </c>
      <c r="AD492" s="161" t="str">
        <f>CONCATENATE(Z492," ",AC492)</f>
        <v>14-Infraestructura física misional construida mantenida y dotada  014_Estaciones de bomberos adecuadas</v>
      </c>
      <c r="AE492" s="160" t="str">
        <f>CONCATENATE(U492,V492,W492,X492,AA492)</f>
        <v>O23011745032024025514014</v>
      </c>
      <c r="AF492" s="160" t="str">
        <f>IFERROR(VLOOKUP(AD492,TD!$J$66:$K$89,2,0)," ")</f>
        <v>PM/0131/0114/45030140255</v>
      </c>
      <c r="AG492" s="118" t="s">
        <v>385</v>
      </c>
      <c r="AH492" s="159" t="s">
        <v>193</v>
      </c>
      <c r="AI492" s="162" t="str">
        <f>CONCATENATE(PAA[[#This Row],[Id Interno]],"-",PAA[[#This Row],[tipo de Contrato (TH talento humano - B/S bienes y/o servicios)]],"-",S492,"-",T492,"-",PAA[[#This Row],[Objeto de la contratación]])</f>
        <v>20260455-TH-8173-7-Prestación de servicios profesionales especializados para articular y revisar los procesos y procedimientos del área de infraestructura, así como en el apoyo a la supervisión de los contratos que le sean asignados-SGC</v>
      </c>
    </row>
    <row r="493" spans="2:35" ht="70" x14ac:dyDescent="0.35">
      <c r="B493" s="23">
        <v>20260456</v>
      </c>
      <c r="C493" s="99" t="s">
        <v>715</v>
      </c>
      <c r="D493" s="23" t="s">
        <v>105</v>
      </c>
      <c r="E493" s="23" t="s">
        <v>363</v>
      </c>
      <c r="F493" s="156" t="s">
        <v>145</v>
      </c>
      <c r="G493" s="157" t="s">
        <v>373</v>
      </c>
      <c r="H493" s="158">
        <v>10</v>
      </c>
      <c r="I493" s="158">
        <v>0</v>
      </c>
      <c r="J493" s="127">
        <v>32843000</v>
      </c>
      <c r="K493" s="88" t="s">
        <v>398</v>
      </c>
      <c r="L493" s="156" t="s">
        <v>155</v>
      </c>
      <c r="M493" s="159" t="s">
        <v>422</v>
      </c>
      <c r="N493" s="23" t="s">
        <v>197</v>
      </c>
      <c r="O493" s="151" t="s">
        <v>963</v>
      </c>
      <c r="P493" s="156" t="s">
        <v>348</v>
      </c>
      <c r="Q493" s="53" t="s">
        <v>783</v>
      </c>
      <c r="R493" s="159" t="s">
        <v>207</v>
      </c>
      <c r="S493" s="159" t="str">
        <f>MID(PAA[[#This Row],[Meta Proyecto de Inversión]],1,4)</f>
        <v>8126</v>
      </c>
      <c r="T493" s="159" t="str">
        <f>MID(PAA[[#This Row],[Meta Proyecto de Inversión]],6,1)</f>
        <v>8</v>
      </c>
      <c r="U493" s="160" t="str">
        <f>IFERROR(VLOOKUP(N493,TD!$B$50:$F$54,2,0)," ")</f>
        <v>O230117</v>
      </c>
      <c r="V493" s="160" t="str">
        <f>IFERROR(VLOOKUP(N493,TD!$B$50:$F$54,3,0)," ")</f>
        <v>4599</v>
      </c>
      <c r="W493" s="160">
        <f>IFERROR(VLOOKUP(N493,TD!$B$50:$F$54,4,0)," ")</f>
        <v>20240207</v>
      </c>
      <c r="X493" s="159" t="s">
        <v>174</v>
      </c>
      <c r="Y493" s="160" t="str">
        <f>IFERROR(VLOOKUP(X493,TD!$J$51:$K$64,2,0)," ")</f>
        <v>Infraestructura física, mantenimiento y dotación (Sedes construidas, mantenidas reforzadas)</v>
      </c>
      <c r="Z493" s="161" t="str">
        <f>CONCATENATE(X493,"-",Y493)</f>
        <v>08-Infraestructura física, mantenimiento y dotación (Sedes construidas, mantenidas reforzadas)</v>
      </c>
      <c r="AA493" s="159" t="s">
        <v>227</v>
      </c>
      <c r="AB493" s="160" t="str">
        <f>IFERROR(VLOOKUP(AA493,TD!$N$51:$O$66,2,0)," ")</f>
        <v>Sedes mantenidas</v>
      </c>
      <c r="AC493" s="161" t="str">
        <f>CONCATENATE(AA493,"_",AB493)</f>
        <v>016_Sedes mantenidas</v>
      </c>
      <c r="AD493" s="161" t="str">
        <f>CONCATENATE(Z493," ",AC493)</f>
        <v>08-Infraestructura física, mantenimiento y dotación (Sedes construidas, mantenidas reforzadas) 016_Sedes mantenidas</v>
      </c>
      <c r="AE493" s="160" t="str">
        <f>CONCATENATE(U493,V493,W493,X493,AA493)</f>
        <v>O23011745992024020708016</v>
      </c>
      <c r="AF493" s="160" t="str">
        <f>IFERROR(VLOOKUP(AD493,TD!$J$66:$K$89,2,0)," ")</f>
        <v>PM/0131/0108/45990160207</v>
      </c>
      <c r="AG493" s="118" t="s">
        <v>385</v>
      </c>
      <c r="AH493" s="159" t="s">
        <v>193</v>
      </c>
      <c r="AI493" s="162" t="str">
        <f>CONCATENATE(PAA[[#This Row],[Id Interno]],"-",PAA[[#This Row],[tipo de Contrato (TH talento humano - B/S bienes y/o servicios)]],"-",S493,"-",T493,"-",PAA[[#This Row],[Objeto de la contratación]])</f>
        <v>20260456-TH-8126-8-Prestación de servicios de apoyo a la gestión, en la Subdirección de Gestión Corporativa en temas de infraestructura para el sostenimiento y mejoramiento de los equipamientos de la Unidad Administrativa Especial Cuerpo Oficial de Bomberos de Bogotá-SGC</v>
      </c>
    </row>
    <row r="494" spans="2:35" ht="56" x14ac:dyDescent="0.35">
      <c r="B494" s="23">
        <v>20260457</v>
      </c>
      <c r="C494" s="99" t="s">
        <v>715</v>
      </c>
      <c r="D494" s="23" t="s">
        <v>105</v>
      </c>
      <c r="E494" s="23" t="s">
        <v>363</v>
      </c>
      <c r="F494" s="156" t="s">
        <v>145</v>
      </c>
      <c r="G494" s="157" t="s">
        <v>373</v>
      </c>
      <c r="H494" s="158">
        <v>11</v>
      </c>
      <c r="I494" s="158">
        <v>0</v>
      </c>
      <c r="J494" s="127">
        <v>36128000</v>
      </c>
      <c r="K494" s="88" t="s">
        <v>398</v>
      </c>
      <c r="L494" s="156" t="s">
        <v>155</v>
      </c>
      <c r="M494" s="159" t="s">
        <v>422</v>
      </c>
      <c r="N494" s="23" t="s">
        <v>197</v>
      </c>
      <c r="O494" s="151" t="s">
        <v>963</v>
      </c>
      <c r="P494" s="156" t="s">
        <v>348</v>
      </c>
      <c r="Q494" s="53" t="s">
        <v>783</v>
      </c>
      <c r="R494" s="159" t="s">
        <v>207</v>
      </c>
      <c r="S494" s="159" t="str">
        <f>MID(PAA[[#This Row],[Meta Proyecto de Inversión]],1,4)</f>
        <v>8126</v>
      </c>
      <c r="T494" s="159" t="str">
        <f>MID(PAA[[#This Row],[Meta Proyecto de Inversión]],6,1)</f>
        <v>8</v>
      </c>
      <c r="U494" s="160" t="str">
        <f>IFERROR(VLOOKUP(N494,TD!$B$50:$F$54,2,0)," ")</f>
        <v>O230117</v>
      </c>
      <c r="V494" s="160" t="str">
        <f>IFERROR(VLOOKUP(N494,TD!$B$50:$F$54,3,0)," ")</f>
        <v>4599</v>
      </c>
      <c r="W494" s="160">
        <f>IFERROR(VLOOKUP(N494,TD!$B$50:$F$54,4,0)," ")</f>
        <v>20240207</v>
      </c>
      <c r="X494" s="159" t="s">
        <v>174</v>
      </c>
      <c r="Y494" s="160" t="str">
        <f>IFERROR(VLOOKUP(X494,TD!$J$51:$K$64,2,0)," ")</f>
        <v>Infraestructura física, mantenimiento y dotación (Sedes construidas, mantenidas reforzadas)</v>
      </c>
      <c r="Z494" s="161" t="str">
        <f>CONCATENATE(X494,"-",Y494)</f>
        <v>08-Infraestructura física, mantenimiento y dotación (Sedes construidas, mantenidas reforzadas)</v>
      </c>
      <c r="AA494" s="159" t="s">
        <v>227</v>
      </c>
      <c r="AB494" s="160" t="str">
        <f>IFERROR(VLOOKUP(AA494,TD!$N$51:$O$66,2,0)," ")</f>
        <v>Sedes mantenidas</v>
      </c>
      <c r="AC494" s="161" t="str">
        <f>CONCATENATE(AA494,"_",AB494)</f>
        <v>016_Sedes mantenidas</v>
      </c>
      <c r="AD494" s="161" t="str">
        <f>CONCATENATE(Z494," ",AC494)</f>
        <v>08-Infraestructura física, mantenimiento y dotación (Sedes construidas, mantenidas reforzadas) 016_Sedes mantenidas</v>
      </c>
      <c r="AE494" s="160" t="str">
        <f>CONCATENATE(U494,V494,W494,X494,AA494)</f>
        <v>O23011745992024020708016</v>
      </c>
      <c r="AF494" s="160" t="str">
        <f>IFERROR(VLOOKUP(AD494,TD!$J$66:$K$89,2,0)," ")</f>
        <v>PM/0131/0108/45990160207</v>
      </c>
      <c r="AG494" s="118" t="s">
        <v>385</v>
      </c>
      <c r="AH494" s="159" t="s">
        <v>193</v>
      </c>
      <c r="AI494" s="162" t="str">
        <f>CONCATENATE(PAA[[#This Row],[Id Interno]],"-",PAA[[#This Row],[tipo de Contrato (TH talento humano - B/S bienes y/o servicios)]],"-",S494,"-",T494,"-",PAA[[#This Row],[Objeto de la contratación]])</f>
        <v>20260457-TH-8126-8-Prestación de servicios de apoyo a la gestión, en la Subdirección de Gestión Corporativa en temas de infraestructura para el sostenimiento y mejoramiento de los equipamientos de la Unidad Administrativa Especial Cuerpo Oficial de Bomberos de Bogotá-SGC</v>
      </c>
    </row>
    <row r="495" spans="2:35" ht="56" x14ac:dyDescent="0.35">
      <c r="B495" s="23">
        <v>20260458</v>
      </c>
      <c r="C495" s="99" t="s">
        <v>722</v>
      </c>
      <c r="D495" s="23" t="s">
        <v>105</v>
      </c>
      <c r="E495" s="23" t="s">
        <v>363</v>
      </c>
      <c r="F495" s="156" t="s">
        <v>144</v>
      </c>
      <c r="G495" s="157" t="s">
        <v>373</v>
      </c>
      <c r="H495" s="158">
        <v>11</v>
      </c>
      <c r="I495" s="158">
        <v>0</v>
      </c>
      <c r="J495" s="127">
        <v>102034000</v>
      </c>
      <c r="K495" s="88" t="s">
        <v>398</v>
      </c>
      <c r="L495" s="156" t="s">
        <v>155</v>
      </c>
      <c r="M495" s="159" t="s">
        <v>422</v>
      </c>
      <c r="N495" s="23" t="s">
        <v>197</v>
      </c>
      <c r="O495" s="151" t="s">
        <v>963</v>
      </c>
      <c r="P495" s="156" t="s">
        <v>348</v>
      </c>
      <c r="Q495" s="53" t="s">
        <v>783</v>
      </c>
      <c r="R495" s="159" t="s">
        <v>208</v>
      </c>
      <c r="S495" s="159" t="str">
        <f>MID(PAA[[#This Row],[Meta Proyecto de Inversión]],1,4)</f>
        <v>8126</v>
      </c>
      <c r="T495" s="159" t="str">
        <f>MID(PAA[[#This Row],[Meta Proyecto de Inversión]],6,1)</f>
        <v>9</v>
      </c>
      <c r="U495" s="160" t="str">
        <f>IFERROR(VLOOKUP(N495,TD!$B$50:$F$54,2,0)," ")</f>
        <v>O230117</v>
      </c>
      <c r="V495" s="160" t="str">
        <f>IFERROR(VLOOKUP(N495,TD!$B$50:$F$54,3,0)," ")</f>
        <v>4599</v>
      </c>
      <c r="W495" s="160">
        <f>IFERROR(VLOOKUP(N495,TD!$B$50:$F$54,4,0)," ")</f>
        <v>20240207</v>
      </c>
      <c r="X495" s="159" t="s">
        <v>174</v>
      </c>
      <c r="Y495" s="160" t="str">
        <f>IFERROR(VLOOKUP(X495,TD!$J$51:$K$64,2,0)," ")</f>
        <v>Infraestructura física, mantenimiento y dotación (Sedes construidas, mantenidas reforzadas)</v>
      </c>
      <c r="Z495" s="161" t="str">
        <f>CONCATENATE(X495,"-",Y495)</f>
        <v>08-Infraestructura física, mantenimiento y dotación (Sedes construidas, mantenidas reforzadas)</v>
      </c>
      <c r="AA495" s="159" t="s">
        <v>227</v>
      </c>
      <c r="AB495" s="160" t="str">
        <f>IFERROR(VLOOKUP(AA495,TD!$N$51:$O$66,2,0)," ")</f>
        <v>Sedes mantenidas</v>
      </c>
      <c r="AC495" s="161" t="str">
        <f>CONCATENATE(AA495,"_",AB495)</f>
        <v>016_Sedes mantenidas</v>
      </c>
      <c r="AD495" s="161" t="str">
        <f>CONCATENATE(Z495," ",AC495)</f>
        <v>08-Infraestructura física, mantenimiento y dotación (Sedes construidas, mantenidas reforzadas) 016_Sedes mantenidas</v>
      </c>
      <c r="AE495" s="160" t="str">
        <f>CONCATENATE(U495,V495,W495,X495,AA495)</f>
        <v>O23011745992024020708016</v>
      </c>
      <c r="AF495" s="160" t="str">
        <f>IFERROR(VLOOKUP(AD495,TD!$J$66:$K$89,2,0)," ")</f>
        <v>PM/0131/0108/45990160207</v>
      </c>
      <c r="AG495" s="118" t="s">
        <v>385</v>
      </c>
      <c r="AH495" s="159" t="s">
        <v>193</v>
      </c>
      <c r="AI495" s="162" t="str">
        <f>CONCATENATE(PAA[[#This Row],[Id Interno]],"-",PAA[[#This Row],[tipo de Contrato (TH talento humano - B/S bienes y/o servicios)]],"-",S495,"-",T495,"-",PAA[[#This Row],[Objeto de la contratación]])</f>
        <v>20260458-TH-8126-9-Prestación de servicios profesionales especializados para articular y revisar los procesos y procedimientos de la gestión administrativa a cargo de la Subdirección de Gestión Corporativa.- SGC</v>
      </c>
    </row>
    <row r="496" spans="2:35" ht="56" x14ac:dyDescent="0.35">
      <c r="B496" s="23">
        <v>20260459</v>
      </c>
      <c r="C496" s="99" t="s">
        <v>723</v>
      </c>
      <c r="D496" s="23" t="s">
        <v>105</v>
      </c>
      <c r="E496" s="23" t="s">
        <v>363</v>
      </c>
      <c r="F496" s="156" t="s">
        <v>144</v>
      </c>
      <c r="G496" s="157" t="s">
        <v>373</v>
      </c>
      <c r="H496" s="158">
        <v>10</v>
      </c>
      <c r="I496" s="158">
        <v>0</v>
      </c>
      <c r="J496" s="127">
        <v>73730000</v>
      </c>
      <c r="K496" s="88" t="s">
        <v>398</v>
      </c>
      <c r="L496" s="156" t="s">
        <v>155</v>
      </c>
      <c r="M496" s="159" t="s">
        <v>422</v>
      </c>
      <c r="N496" s="23" t="s">
        <v>197</v>
      </c>
      <c r="O496" s="151" t="s">
        <v>963</v>
      </c>
      <c r="P496" s="156" t="s">
        <v>348</v>
      </c>
      <c r="Q496" s="53" t="s">
        <v>783</v>
      </c>
      <c r="R496" s="159" t="s">
        <v>208</v>
      </c>
      <c r="S496" s="159" t="str">
        <f>MID(PAA[[#This Row],[Meta Proyecto de Inversión]],1,4)</f>
        <v>8126</v>
      </c>
      <c r="T496" s="159" t="str">
        <f>MID(PAA[[#This Row],[Meta Proyecto de Inversión]],6,1)</f>
        <v>9</v>
      </c>
      <c r="U496" s="160" t="str">
        <f>IFERROR(VLOOKUP(N496,TD!$B$50:$F$54,2,0)," ")</f>
        <v>O230117</v>
      </c>
      <c r="V496" s="160" t="str">
        <f>IFERROR(VLOOKUP(N496,TD!$B$50:$F$54,3,0)," ")</f>
        <v>4599</v>
      </c>
      <c r="W496" s="160">
        <f>IFERROR(VLOOKUP(N496,TD!$B$50:$F$54,4,0)," ")</f>
        <v>20240207</v>
      </c>
      <c r="X496" s="159" t="s">
        <v>174</v>
      </c>
      <c r="Y496" s="160" t="str">
        <f>IFERROR(VLOOKUP(X496,TD!$J$51:$K$64,2,0)," ")</f>
        <v>Infraestructura física, mantenimiento y dotación (Sedes construidas, mantenidas reforzadas)</v>
      </c>
      <c r="Z496" s="161" t="str">
        <f>CONCATENATE(X496,"-",Y496)</f>
        <v>08-Infraestructura física, mantenimiento y dotación (Sedes construidas, mantenidas reforzadas)</v>
      </c>
      <c r="AA496" s="159" t="s">
        <v>227</v>
      </c>
      <c r="AB496" s="160" t="str">
        <f>IFERROR(VLOOKUP(AA496,TD!$N$51:$O$66,2,0)," ")</f>
        <v>Sedes mantenidas</v>
      </c>
      <c r="AC496" s="161" t="str">
        <f>CONCATENATE(AA496,"_",AB496)</f>
        <v>016_Sedes mantenidas</v>
      </c>
      <c r="AD496" s="161" t="str">
        <f>CONCATENATE(Z496," ",AC496)</f>
        <v>08-Infraestructura física, mantenimiento y dotación (Sedes construidas, mantenidas reforzadas) 016_Sedes mantenidas</v>
      </c>
      <c r="AE496" s="160" t="str">
        <f>CONCATENATE(U496,V496,W496,X496,AA496)</f>
        <v>O23011745992024020708016</v>
      </c>
      <c r="AF496" s="160" t="str">
        <f>IFERROR(VLOOKUP(AD496,TD!$J$66:$K$89,2,0)," ")</f>
        <v>PM/0131/0108/45990160207</v>
      </c>
      <c r="AG496" s="118" t="s">
        <v>385</v>
      </c>
      <c r="AH496" s="159" t="s">
        <v>193</v>
      </c>
      <c r="AI496" s="162" t="str">
        <f>CONCATENATE(PAA[[#This Row],[Id Interno]],"-",PAA[[#This Row],[tipo de Contrato (TH talento humano - B/S bienes y/o servicios)]],"-",S496,"-",T496,"-",PAA[[#This Row],[Objeto de la contratación]])</f>
        <v>20260459-TH-8126-9-Prestación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v>
      </c>
    </row>
    <row r="497" spans="2:35" ht="56" x14ac:dyDescent="0.35">
      <c r="B497" s="23">
        <v>20260460</v>
      </c>
      <c r="C497" s="99" t="s">
        <v>724</v>
      </c>
      <c r="D497" s="23" t="s">
        <v>105</v>
      </c>
      <c r="E497" s="23" t="s">
        <v>363</v>
      </c>
      <c r="F497" s="156" t="s">
        <v>144</v>
      </c>
      <c r="G497" s="157" t="s">
        <v>373</v>
      </c>
      <c r="H497" s="158">
        <v>11</v>
      </c>
      <c r="I497" s="158">
        <v>0</v>
      </c>
      <c r="J497" s="127">
        <v>102034000</v>
      </c>
      <c r="K497" s="88" t="s">
        <v>398</v>
      </c>
      <c r="L497" s="156" t="s">
        <v>155</v>
      </c>
      <c r="M497" s="159" t="s">
        <v>422</v>
      </c>
      <c r="N497" s="23" t="s">
        <v>197</v>
      </c>
      <c r="O497" s="151" t="s">
        <v>963</v>
      </c>
      <c r="P497" s="156" t="s">
        <v>348</v>
      </c>
      <c r="Q497" s="53" t="s">
        <v>783</v>
      </c>
      <c r="R497" s="159" t="s">
        <v>208</v>
      </c>
      <c r="S497" s="159" t="str">
        <f>MID(PAA[[#This Row],[Meta Proyecto de Inversión]],1,4)</f>
        <v>8126</v>
      </c>
      <c r="T497" s="159" t="str">
        <f>MID(PAA[[#This Row],[Meta Proyecto de Inversión]],6,1)</f>
        <v>9</v>
      </c>
      <c r="U497" s="160" t="str">
        <f>IFERROR(VLOOKUP(N497,TD!$B$50:$F$54,2,0)," ")</f>
        <v>O230117</v>
      </c>
      <c r="V497" s="160" t="str">
        <f>IFERROR(VLOOKUP(N497,TD!$B$50:$F$54,3,0)," ")</f>
        <v>4599</v>
      </c>
      <c r="W497" s="160">
        <f>IFERROR(VLOOKUP(N497,TD!$B$50:$F$54,4,0)," ")</f>
        <v>20240207</v>
      </c>
      <c r="X497" s="159" t="s">
        <v>174</v>
      </c>
      <c r="Y497" s="160" t="str">
        <f>IFERROR(VLOOKUP(X497,TD!$J$51:$K$64,2,0)," ")</f>
        <v>Infraestructura física, mantenimiento y dotación (Sedes construidas, mantenidas reforzadas)</v>
      </c>
      <c r="Z497" s="161" t="str">
        <f>CONCATENATE(X497,"-",Y497)</f>
        <v>08-Infraestructura física, mantenimiento y dotación (Sedes construidas, mantenidas reforzadas)</v>
      </c>
      <c r="AA497" s="159" t="s">
        <v>227</v>
      </c>
      <c r="AB497" s="160" t="str">
        <f>IFERROR(VLOOKUP(AA497,TD!$N$51:$O$66,2,0)," ")</f>
        <v>Sedes mantenidas</v>
      </c>
      <c r="AC497" s="161" t="str">
        <f>CONCATENATE(AA497,"_",AB497)</f>
        <v>016_Sedes mantenidas</v>
      </c>
      <c r="AD497" s="161" t="str">
        <f>CONCATENATE(Z497," ",AC497)</f>
        <v>08-Infraestructura física, mantenimiento y dotación (Sedes construidas, mantenidas reforzadas) 016_Sedes mantenidas</v>
      </c>
      <c r="AE497" s="160" t="str">
        <f>CONCATENATE(U497,V497,W497,X497,AA497)</f>
        <v>O23011745992024020708016</v>
      </c>
      <c r="AF497" s="160" t="str">
        <f>IFERROR(VLOOKUP(AD497,TD!$J$66:$K$89,2,0)," ")</f>
        <v>PM/0131/0108/45990160207</v>
      </c>
      <c r="AG497" s="118" t="s">
        <v>385</v>
      </c>
      <c r="AH497" s="159" t="s">
        <v>193</v>
      </c>
      <c r="AI497" s="162" t="str">
        <f>CONCATENATE(PAA[[#This Row],[Id Interno]],"-",PAA[[#This Row],[tipo de Contrato (TH talento humano - B/S bienes y/o servicios)]],"-",S497,"-",T497,"-",PAA[[#This Row],[Objeto de la contratación]])</f>
        <v>20260460-TH-8126-9-Prestar los servicios profesionales especializados para acompañar las actividades jurídicas relacionadas con la gestión contractual en las etapas precontractual, contractual y postcontractual del área administrativa de la Subdirección de Gestión Corporativa -SGC</v>
      </c>
    </row>
    <row r="498" spans="2:35" ht="84" x14ac:dyDescent="0.35">
      <c r="B498" s="23">
        <v>20260461</v>
      </c>
      <c r="C498" s="99" t="s">
        <v>725</v>
      </c>
      <c r="D498" s="23" t="s">
        <v>105</v>
      </c>
      <c r="E498" s="23" t="s">
        <v>363</v>
      </c>
      <c r="F498" s="156" t="s">
        <v>145</v>
      </c>
      <c r="G498" s="157" t="s">
        <v>373</v>
      </c>
      <c r="H498" s="158">
        <v>10</v>
      </c>
      <c r="I498" s="158">
        <v>0</v>
      </c>
      <c r="J498" s="127">
        <v>42897000</v>
      </c>
      <c r="K498" s="88" t="s">
        <v>398</v>
      </c>
      <c r="L498" s="156" t="s">
        <v>155</v>
      </c>
      <c r="M498" s="159" t="s">
        <v>422</v>
      </c>
      <c r="N498" s="23" t="s">
        <v>197</v>
      </c>
      <c r="O498" s="151" t="s">
        <v>963</v>
      </c>
      <c r="P498" s="156" t="s">
        <v>348</v>
      </c>
      <c r="Q498" s="53" t="s">
        <v>783</v>
      </c>
      <c r="R498" s="159" t="s">
        <v>208</v>
      </c>
      <c r="S498" s="159" t="str">
        <f>MID(PAA[[#This Row],[Meta Proyecto de Inversión]],1,4)</f>
        <v>8126</v>
      </c>
      <c r="T498" s="159" t="str">
        <f>MID(PAA[[#This Row],[Meta Proyecto de Inversión]],6,1)</f>
        <v>9</v>
      </c>
      <c r="U498" s="160" t="str">
        <f>IFERROR(VLOOKUP(N498,TD!$B$50:$F$54,2,0)," ")</f>
        <v>O230117</v>
      </c>
      <c r="V498" s="160" t="str">
        <f>IFERROR(VLOOKUP(N498,TD!$B$50:$F$54,3,0)," ")</f>
        <v>4599</v>
      </c>
      <c r="W498" s="160">
        <f>IFERROR(VLOOKUP(N498,TD!$B$50:$F$54,4,0)," ")</f>
        <v>20240207</v>
      </c>
      <c r="X498" s="159" t="s">
        <v>174</v>
      </c>
      <c r="Y498" s="160" t="str">
        <f>IFERROR(VLOOKUP(X498,TD!$J$51:$K$64,2,0)," ")</f>
        <v>Infraestructura física, mantenimiento y dotación (Sedes construidas, mantenidas reforzadas)</v>
      </c>
      <c r="Z498" s="161" t="str">
        <f>CONCATENATE(X498,"-",Y498)</f>
        <v>08-Infraestructura física, mantenimiento y dotación (Sedes construidas, mantenidas reforzadas)</v>
      </c>
      <c r="AA498" s="159" t="s">
        <v>227</v>
      </c>
      <c r="AB498" s="160" t="str">
        <f>IFERROR(VLOOKUP(AA498,TD!$N$51:$O$66,2,0)," ")</f>
        <v>Sedes mantenidas</v>
      </c>
      <c r="AC498" s="161" t="str">
        <f>CONCATENATE(AA498,"_",AB498)</f>
        <v>016_Sedes mantenidas</v>
      </c>
      <c r="AD498" s="161" t="str">
        <f>CONCATENATE(Z498," ",AC498)</f>
        <v>08-Infraestructura física, mantenimiento y dotación (Sedes construidas, mantenidas reforzadas) 016_Sedes mantenidas</v>
      </c>
      <c r="AE498" s="160" t="str">
        <f>CONCATENATE(U498,V498,W498,X498,AA498)</f>
        <v>O23011745992024020708016</v>
      </c>
      <c r="AF498" s="160" t="str">
        <f>IFERROR(VLOOKUP(AD498,TD!$J$66:$K$89,2,0)," ")</f>
        <v>PM/0131/0108/45990160207</v>
      </c>
      <c r="AG498" s="118" t="s">
        <v>385</v>
      </c>
      <c r="AH498" s="159" t="s">
        <v>193</v>
      </c>
      <c r="AI498" s="162" t="str">
        <f>CONCATENATE(PAA[[#This Row],[Id Interno]],"-",PAA[[#This Row],[tipo de Contrato (TH talento humano - B/S bienes y/o servicios)]],"-",S498,"-",T498,"-",PAA[[#This Row],[Objeto de la contratación]])</f>
        <v>20260461-TH-8126-9-Prestar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v>
      </c>
    </row>
    <row r="499" spans="2:35" ht="56" x14ac:dyDescent="0.35">
      <c r="B499" s="23">
        <v>20260462</v>
      </c>
      <c r="C499" s="99" t="s">
        <v>726</v>
      </c>
      <c r="D499" s="23" t="s">
        <v>105</v>
      </c>
      <c r="E499" s="23" t="s">
        <v>363</v>
      </c>
      <c r="F499" s="156" t="s">
        <v>144</v>
      </c>
      <c r="G499" s="157" t="s">
        <v>373</v>
      </c>
      <c r="H499" s="158">
        <v>11</v>
      </c>
      <c r="I499" s="158">
        <v>0</v>
      </c>
      <c r="J499" s="127">
        <v>100272000</v>
      </c>
      <c r="K499" s="88" t="s">
        <v>398</v>
      </c>
      <c r="L499" s="156" t="s">
        <v>155</v>
      </c>
      <c r="M499" s="159" t="s">
        <v>422</v>
      </c>
      <c r="N499" s="23" t="s">
        <v>198</v>
      </c>
      <c r="O499" s="151" t="s">
        <v>964</v>
      </c>
      <c r="P499" s="156" t="s">
        <v>348</v>
      </c>
      <c r="Q499" s="53" t="s">
        <v>783</v>
      </c>
      <c r="R499" s="159" t="s">
        <v>217</v>
      </c>
      <c r="S499" s="159" t="str">
        <f>MID(PAA[[#This Row],[Meta Proyecto de Inversión]],1,4)</f>
        <v>8173</v>
      </c>
      <c r="T499" s="159" t="str">
        <f>MID(PAA[[#This Row],[Meta Proyecto de Inversión]],6,1)</f>
        <v>8</v>
      </c>
      <c r="U499" s="160" t="str">
        <f>IFERROR(VLOOKUP(N499,TD!$B$50:$F$54,2,0)," ")</f>
        <v>O230117</v>
      </c>
      <c r="V499" s="160" t="str">
        <f>IFERROR(VLOOKUP(N499,TD!$B$50:$F$54,3,0)," ")</f>
        <v>4503</v>
      </c>
      <c r="W499" s="160">
        <f>IFERROR(VLOOKUP(N499,TD!$B$50:$F$54,4,0)," ")</f>
        <v>20240255</v>
      </c>
      <c r="X499" s="159">
        <v>14</v>
      </c>
      <c r="Y499" s="160" t="str">
        <f>IFERROR(VLOOKUP(X499,TD!$J$51:$K$64,2,0)," ")</f>
        <v xml:space="preserve">Infraestructura física misional construida mantenida y dotada </v>
      </c>
      <c r="Z499" s="161" t="str">
        <f>CONCATENATE(X499,"-",Y499)</f>
        <v xml:space="preserve">14-Infraestructura física misional construida mantenida y dotada </v>
      </c>
      <c r="AA499" s="159" t="s">
        <v>226</v>
      </c>
      <c r="AB499" s="160" t="str">
        <f>IFERROR(VLOOKUP(AA499,TD!$N$51:$O$66,2,0)," ")</f>
        <v>Estaciones de bomberos construidas</v>
      </c>
      <c r="AC499" s="161" t="str">
        <f>CONCATENATE(AA499,"_",AB499)</f>
        <v>015_Estaciones de bomberos construidas</v>
      </c>
      <c r="AD499" s="161" t="str">
        <f>CONCATENATE(Z499," ",AC499)</f>
        <v>14-Infraestructura física misional construida mantenida y dotada  015_Estaciones de bomberos construidas</v>
      </c>
      <c r="AE499" s="160" t="str">
        <f>CONCATENATE(U499,V499,W499,X499,AA499)</f>
        <v>O23011745032024025514015</v>
      </c>
      <c r="AF499" s="160" t="str">
        <f>IFERROR(VLOOKUP(AD499,TD!$J$66:$K$89,2,0)," ")</f>
        <v>PM/0131/0114/45030150255</v>
      </c>
      <c r="AG499" s="118" t="s">
        <v>385</v>
      </c>
      <c r="AH499" s="159" t="s">
        <v>193</v>
      </c>
      <c r="AI499" s="162" t="str">
        <f>CONCATENATE(PAA[[#This Row],[Id Interno]],"-",PAA[[#This Row],[tipo de Contrato (TH talento humano - B/S bienes y/o servicios)]],"-",S499,"-",T499,"-",PAA[[#This Row],[Objeto de la contratación]])</f>
        <v>20260462-TH-8173-8-Prestación de servicios profesionales especializados para apoyar las actividades técnicas y gestión predial del Área de Infraestructura de la Subdirección de Gestión Corporativa-SGC</v>
      </c>
    </row>
    <row r="500" spans="2:35" ht="56" x14ac:dyDescent="0.35">
      <c r="B500" s="23">
        <v>20260463</v>
      </c>
      <c r="C500" s="99" t="s">
        <v>727</v>
      </c>
      <c r="D500" s="23" t="s">
        <v>105</v>
      </c>
      <c r="E500" s="23" t="s">
        <v>363</v>
      </c>
      <c r="F500" s="156" t="s">
        <v>145</v>
      </c>
      <c r="G500" s="157" t="s">
        <v>373</v>
      </c>
      <c r="H500" s="158">
        <v>11</v>
      </c>
      <c r="I500" s="158">
        <v>0</v>
      </c>
      <c r="J500" s="127">
        <v>36128000</v>
      </c>
      <c r="K500" s="88" t="s">
        <v>398</v>
      </c>
      <c r="L500" s="156" t="s">
        <v>155</v>
      </c>
      <c r="M500" s="159" t="s">
        <v>422</v>
      </c>
      <c r="N500" s="23" t="s">
        <v>197</v>
      </c>
      <c r="O500" s="151" t="s">
        <v>963</v>
      </c>
      <c r="P500" s="156" t="s">
        <v>348</v>
      </c>
      <c r="Q500" s="53" t="s">
        <v>783</v>
      </c>
      <c r="R500" s="159" t="s">
        <v>208</v>
      </c>
      <c r="S500" s="159" t="str">
        <f>MID(PAA[[#This Row],[Meta Proyecto de Inversión]],1,4)</f>
        <v>8126</v>
      </c>
      <c r="T500" s="159" t="str">
        <f>MID(PAA[[#This Row],[Meta Proyecto de Inversión]],6,1)</f>
        <v>9</v>
      </c>
      <c r="U500" s="160" t="str">
        <f>IFERROR(VLOOKUP(N500,TD!$B$50:$F$54,2,0)," ")</f>
        <v>O230117</v>
      </c>
      <c r="V500" s="160" t="str">
        <f>IFERROR(VLOOKUP(N500,TD!$B$50:$F$54,3,0)," ")</f>
        <v>4599</v>
      </c>
      <c r="W500" s="160">
        <f>IFERROR(VLOOKUP(N500,TD!$B$50:$F$54,4,0)," ")</f>
        <v>20240207</v>
      </c>
      <c r="X500" s="159" t="s">
        <v>174</v>
      </c>
      <c r="Y500" s="160" t="str">
        <f>IFERROR(VLOOKUP(X500,TD!$J$51:$K$64,2,0)," ")</f>
        <v>Infraestructura física, mantenimiento y dotación (Sedes construidas, mantenidas reforzadas)</v>
      </c>
      <c r="Z500" s="161" t="str">
        <f>CONCATENATE(X500,"-",Y500)</f>
        <v>08-Infraestructura física, mantenimiento y dotación (Sedes construidas, mantenidas reforzadas)</v>
      </c>
      <c r="AA500" s="159" t="s">
        <v>227</v>
      </c>
      <c r="AB500" s="160" t="str">
        <f>IFERROR(VLOOKUP(AA500,TD!$N$51:$O$66,2,0)," ")</f>
        <v>Sedes mantenidas</v>
      </c>
      <c r="AC500" s="161" t="str">
        <f>CONCATENATE(AA500,"_",AB500)</f>
        <v>016_Sedes mantenidas</v>
      </c>
      <c r="AD500" s="161" t="str">
        <f>CONCATENATE(Z500," ",AC500)</f>
        <v>08-Infraestructura física, mantenimiento y dotación (Sedes construidas, mantenidas reforzadas) 016_Sedes mantenidas</v>
      </c>
      <c r="AE500" s="160" t="str">
        <f>CONCATENATE(U500,V500,W500,X500,AA500)</f>
        <v>O23011745992024020708016</v>
      </c>
      <c r="AF500" s="160" t="str">
        <f>IFERROR(VLOOKUP(AD500,TD!$J$66:$K$89,2,0)," ")</f>
        <v>PM/0131/0108/45990160207</v>
      </c>
      <c r="AG500" s="118" t="s">
        <v>385</v>
      </c>
      <c r="AH500" s="159" t="s">
        <v>193</v>
      </c>
      <c r="AI500" s="162" t="str">
        <f>CONCATENATE(PAA[[#This Row],[Id Interno]],"-",PAA[[#This Row],[tipo de Contrato (TH talento humano - B/S bienes y/o servicios)]],"-",S500,"-",T500,"-",PAA[[#This Row],[Objeto de la contratación]])</f>
        <v>20260463-TH-8126-9-Prestación de servicios de apoyo en las actividades asociadas a los procesos de almacén de la Subdirección de Gestión Corporativa SGC</v>
      </c>
    </row>
    <row r="501" spans="2:35" ht="56" x14ac:dyDescent="0.35">
      <c r="B501" s="23">
        <v>20260464</v>
      </c>
      <c r="C501" s="99" t="s">
        <v>728</v>
      </c>
      <c r="D501" s="23" t="s">
        <v>105</v>
      </c>
      <c r="E501" s="23" t="s">
        <v>363</v>
      </c>
      <c r="F501" s="156" t="s">
        <v>144</v>
      </c>
      <c r="G501" s="157" t="s">
        <v>373</v>
      </c>
      <c r="H501" s="158">
        <v>10</v>
      </c>
      <c r="I501" s="158">
        <v>0</v>
      </c>
      <c r="J501" s="127">
        <v>60324000</v>
      </c>
      <c r="K501" s="88" t="s">
        <v>398</v>
      </c>
      <c r="L501" s="156" t="s">
        <v>155</v>
      </c>
      <c r="M501" s="159" t="s">
        <v>422</v>
      </c>
      <c r="N501" s="23" t="s">
        <v>197</v>
      </c>
      <c r="O501" s="151" t="s">
        <v>963</v>
      </c>
      <c r="P501" s="156" t="s">
        <v>348</v>
      </c>
      <c r="Q501" s="53" t="s">
        <v>783</v>
      </c>
      <c r="R501" s="159" t="s">
        <v>208</v>
      </c>
      <c r="S501" s="159" t="str">
        <f>MID(PAA[[#This Row],[Meta Proyecto de Inversión]],1,4)</f>
        <v>8126</v>
      </c>
      <c r="T501" s="159" t="str">
        <f>MID(PAA[[#This Row],[Meta Proyecto de Inversión]],6,1)</f>
        <v>9</v>
      </c>
      <c r="U501" s="160" t="str">
        <f>IFERROR(VLOOKUP(N501,TD!$B$50:$F$54,2,0)," ")</f>
        <v>O230117</v>
      </c>
      <c r="V501" s="160" t="str">
        <f>IFERROR(VLOOKUP(N501,TD!$B$50:$F$54,3,0)," ")</f>
        <v>4599</v>
      </c>
      <c r="W501" s="160">
        <f>IFERROR(VLOOKUP(N501,TD!$B$50:$F$54,4,0)," ")</f>
        <v>20240207</v>
      </c>
      <c r="X501" s="159" t="s">
        <v>174</v>
      </c>
      <c r="Y501" s="160" t="str">
        <f>IFERROR(VLOOKUP(X501,TD!$J$51:$K$64,2,0)," ")</f>
        <v>Infraestructura física, mantenimiento y dotación (Sedes construidas, mantenidas reforzadas)</v>
      </c>
      <c r="Z501" s="161" t="str">
        <f>CONCATENATE(X501,"-",Y501)</f>
        <v>08-Infraestructura física, mantenimiento y dotación (Sedes construidas, mantenidas reforzadas)</v>
      </c>
      <c r="AA501" s="159" t="s">
        <v>227</v>
      </c>
      <c r="AB501" s="160" t="str">
        <f>IFERROR(VLOOKUP(AA501,TD!$N$51:$O$66,2,0)," ")</f>
        <v>Sedes mantenidas</v>
      </c>
      <c r="AC501" s="161" t="str">
        <f>CONCATENATE(AA501,"_",AB501)</f>
        <v>016_Sedes mantenidas</v>
      </c>
      <c r="AD501" s="161" t="str">
        <f>CONCATENATE(Z501," ",AC501)</f>
        <v>08-Infraestructura física, mantenimiento y dotación (Sedes construidas, mantenidas reforzadas) 016_Sedes mantenidas</v>
      </c>
      <c r="AE501" s="160" t="str">
        <f>CONCATENATE(U501,V501,W501,X501,AA501)</f>
        <v>O23011745992024020708016</v>
      </c>
      <c r="AF501" s="160" t="str">
        <f>IFERROR(VLOOKUP(AD501,TD!$J$66:$K$89,2,0)," ")</f>
        <v>PM/0131/0108/45990160207</v>
      </c>
      <c r="AG501" s="118" t="s">
        <v>385</v>
      </c>
      <c r="AH501" s="159" t="s">
        <v>193</v>
      </c>
      <c r="AI501" s="162" t="str">
        <f>CONCATENATE(PAA[[#This Row],[Id Interno]],"-",PAA[[#This Row],[tipo de Contrato (TH talento humano - B/S bienes y/o servicios)]],"-",S501,"-",T501,"-",PAA[[#This Row],[Objeto de la contratación]])</f>
        <v>20260464-TH-8126-9-Prestación de servicios profesionales para atender las actividades financieras, a cargo de la Subdirección de Gestión Corporativa-SGC</v>
      </c>
    </row>
    <row r="502" spans="2:35" ht="56" x14ac:dyDescent="0.35">
      <c r="B502" s="23">
        <v>20260465</v>
      </c>
      <c r="C502" s="99" t="s">
        <v>729</v>
      </c>
      <c r="D502" s="23" t="s">
        <v>105</v>
      </c>
      <c r="E502" s="23" t="s">
        <v>363</v>
      </c>
      <c r="F502" s="156" t="s">
        <v>145</v>
      </c>
      <c r="G502" s="157" t="s">
        <v>373</v>
      </c>
      <c r="H502" s="158">
        <v>11</v>
      </c>
      <c r="I502" s="158">
        <v>0</v>
      </c>
      <c r="J502" s="127">
        <v>47187000</v>
      </c>
      <c r="K502" s="88" t="s">
        <v>398</v>
      </c>
      <c r="L502" s="156" t="s">
        <v>155</v>
      </c>
      <c r="M502" s="159" t="s">
        <v>422</v>
      </c>
      <c r="N502" s="23" t="s">
        <v>197</v>
      </c>
      <c r="O502" s="151" t="s">
        <v>963</v>
      </c>
      <c r="P502" s="156" t="s">
        <v>348</v>
      </c>
      <c r="Q502" s="53" t="s">
        <v>783</v>
      </c>
      <c r="R502" s="159" t="s">
        <v>208</v>
      </c>
      <c r="S502" s="159" t="str">
        <f>MID(PAA[[#This Row],[Meta Proyecto de Inversión]],1,4)</f>
        <v>8126</v>
      </c>
      <c r="T502" s="159" t="str">
        <f>MID(PAA[[#This Row],[Meta Proyecto de Inversión]],6,1)</f>
        <v>9</v>
      </c>
      <c r="U502" s="160" t="str">
        <f>IFERROR(VLOOKUP(N502,TD!$B$50:$F$54,2,0)," ")</f>
        <v>O230117</v>
      </c>
      <c r="V502" s="160" t="str">
        <f>IFERROR(VLOOKUP(N502,TD!$B$50:$F$54,3,0)," ")</f>
        <v>4599</v>
      </c>
      <c r="W502" s="160">
        <f>IFERROR(VLOOKUP(N502,TD!$B$50:$F$54,4,0)," ")</f>
        <v>20240207</v>
      </c>
      <c r="X502" s="159" t="s">
        <v>174</v>
      </c>
      <c r="Y502" s="160" t="str">
        <f>IFERROR(VLOOKUP(X502,TD!$J$51:$K$64,2,0)," ")</f>
        <v>Infraestructura física, mantenimiento y dotación (Sedes construidas, mantenidas reforzadas)</v>
      </c>
      <c r="Z502" s="161" t="str">
        <f>CONCATENATE(X502,"-",Y502)</f>
        <v>08-Infraestructura física, mantenimiento y dotación (Sedes construidas, mantenidas reforzadas)</v>
      </c>
      <c r="AA502" s="159" t="s">
        <v>227</v>
      </c>
      <c r="AB502" s="160" t="str">
        <f>IFERROR(VLOOKUP(AA502,TD!$N$51:$O$66,2,0)," ")</f>
        <v>Sedes mantenidas</v>
      </c>
      <c r="AC502" s="161" t="str">
        <f>CONCATENATE(AA502,"_",AB502)</f>
        <v>016_Sedes mantenidas</v>
      </c>
      <c r="AD502" s="161" t="str">
        <f>CONCATENATE(Z502," ",AC502)</f>
        <v>08-Infraestructura física, mantenimiento y dotación (Sedes construidas, mantenidas reforzadas) 016_Sedes mantenidas</v>
      </c>
      <c r="AE502" s="160" t="str">
        <f>CONCATENATE(U502,V502,W502,X502,AA502)</f>
        <v>O23011745992024020708016</v>
      </c>
      <c r="AF502" s="160" t="str">
        <f>IFERROR(VLOOKUP(AD502,TD!$J$66:$K$89,2,0)," ")</f>
        <v>PM/0131/0108/45990160207</v>
      </c>
      <c r="AG502" s="118" t="s">
        <v>385</v>
      </c>
      <c r="AH502" s="159" t="s">
        <v>193</v>
      </c>
      <c r="AI502" s="162" t="str">
        <f>CONCATENATE(PAA[[#This Row],[Id Interno]],"-",PAA[[#This Row],[tipo de Contrato (TH talento humano - B/S bienes y/o servicios)]],"-",S502,"-",T502,"-",PAA[[#This Row],[Objeto de la contratación]])</f>
        <v>20260465-TH-8126-9-Prestación de servicios de apoyo a la gestión de los procesos contractuales en la plataforma SECOP II a cargo de la Subdirección de Gestión Corporativa-SGC</v>
      </c>
    </row>
    <row r="503" spans="2:35" ht="56" x14ac:dyDescent="0.35">
      <c r="B503" s="23">
        <v>20260466</v>
      </c>
      <c r="C503" s="99" t="s">
        <v>730</v>
      </c>
      <c r="D503" s="23" t="s">
        <v>105</v>
      </c>
      <c r="E503" s="23" t="s">
        <v>363</v>
      </c>
      <c r="F503" s="156" t="s">
        <v>144</v>
      </c>
      <c r="G503" s="157" t="s">
        <v>373</v>
      </c>
      <c r="H503" s="158">
        <v>10</v>
      </c>
      <c r="I503" s="158">
        <v>0</v>
      </c>
      <c r="J503" s="127">
        <v>73730000</v>
      </c>
      <c r="K503" s="88" t="s">
        <v>398</v>
      </c>
      <c r="L503" s="156" t="s">
        <v>155</v>
      </c>
      <c r="M503" s="159" t="s">
        <v>422</v>
      </c>
      <c r="N503" s="23" t="s">
        <v>197</v>
      </c>
      <c r="O503" s="151" t="s">
        <v>963</v>
      </c>
      <c r="P503" s="156" t="s">
        <v>348</v>
      </c>
      <c r="Q503" s="53" t="s">
        <v>783</v>
      </c>
      <c r="R503" s="159" t="s">
        <v>208</v>
      </c>
      <c r="S503" s="159" t="str">
        <f>MID(PAA[[#This Row],[Meta Proyecto de Inversión]],1,4)</f>
        <v>8126</v>
      </c>
      <c r="T503" s="159" t="str">
        <f>MID(PAA[[#This Row],[Meta Proyecto de Inversión]],6,1)</f>
        <v>9</v>
      </c>
      <c r="U503" s="160" t="str">
        <f>IFERROR(VLOOKUP(N503,TD!$B$50:$F$54,2,0)," ")</f>
        <v>O230117</v>
      </c>
      <c r="V503" s="160" t="str">
        <f>IFERROR(VLOOKUP(N503,TD!$B$50:$F$54,3,0)," ")</f>
        <v>4599</v>
      </c>
      <c r="W503" s="160">
        <f>IFERROR(VLOOKUP(N503,TD!$B$50:$F$54,4,0)," ")</f>
        <v>20240207</v>
      </c>
      <c r="X503" s="159" t="s">
        <v>174</v>
      </c>
      <c r="Y503" s="160" t="str">
        <f>IFERROR(VLOOKUP(X503,TD!$J$51:$K$64,2,0)," ")</f>
        <v>Infraestructura física, mantenimiento y dotación (Sedes construidas, mantenidas reforzadas)</v>
      </c>
      <c r="Z503" s="161" t="str">
        <f>CONCATENATE(X503,"-",Y503)</f>
        <v>08-Infraestructura física, mantenimiento y dotación (Sedes construidas, mantenidas reforzadas)</v>
      </c>
      <c r="AA503" s="159" t="s">
        <v>227</v>
      </c>
      <c r="AB503" s="160" t="str">
        <f>IFERROR(VLOOKUP(AA503,TD!$N$51:$O$66,2,0)," ")</f>
        <v>Sedes mantenidas</v>
      </c>
      <c r="AC503" s="161" t="str">
        <f>CONCATENATE(AA503,"_",AB503)</f>
        <v>016_Sedes mantenidas</v>
      </c>
      <c r="AD503" s="161" t="str">
        <f>CONCATENATE(Z503," ",AC503)</f>
        <v>08-Infraestructura física, mantenimiento y dotación (Sedes construidas, mantenidas reforzadas) 016_Sedes mantenidas</v>
      </c>
      <c r="AE503" s="160" t="str">
        <f>CONCATENATE(U503,V503,W503,X503,AA503)</f>
        <v>O23011745992024020708016</v>
      </c>
      <c r="AF503" s="160" t="str">
        <f>IFERROR(VLOOKUP(AD503,TD!$J$66:$K$89,2,0)," ")</f>
        <v>PM/0131/0108/45990160207</v>
      </c>
      <c r="AG503" s="118" t="s">
        <v>385</v>
      </c>
      <c r="AH503" s="159" t="s">
        <v>193</v>
      </c>
      <c r="AI503" s="162" t="str">
        <f>CONCATENATE(PAA[[#This Row],[Id Interno]],"-",PAA[[#This Row],[tipo de Contrato (TH talento humano - B/S bienes y/o servicios)]],"-",S503,"-",T503,"-",PAA[[#This Row],[Objeto de la contratación]])</f>
        <v>20260466-TH-8126-9-Prestación de servicios profesionales en el marco de las actividades administrativas de la Subdirección de Gestión Corporativa--SGC</v>
      </c>
    </row>
    <row r="504" spans="2:35" ht="56" x14ac:dyDescent="0.35">
      <c r="B504" s="23">
        <v>20260467</v>
      </c>
      <c r="C504" s="99" t="s">
        <v>731</v>
      </c>
      <c r="D504" s="23" t="s">
        <v>105</v>
      </c>
      <c r="E504" s="23" t="s">
        <v>363</v>
      </c>
      <c r="F504" s="156" t="s">
        <v>144</v>
      </c>
      <c r="G504" s="157" t="s">
        <v>373</v>
      </c>
      <c r="H504" s="158">
        <v>11</v>
      </c>
      <c r="I504" s="158">
        <v>0</v>
      </c>
      <c r="J504" s="127">
        <v>56772000</v>
      </c>
      <c r="K504" s="88" t="s">
        <v>398</v>
      </c>
      <c r="L504" s="156" t="s">
        <v>155</v>
      </c>
      <c r="M504" s="159" t="s">
        <v>422</v>
      </c>
      <c r="N504" s="23" t="s">
        <v>197</v>
      </c>
      <c r="O504" s="151" t="s">
        <v>963</v>
      </c>
      <c r="P504" s="156" t="s">
        <v>348</v>
      </c>
      <c r="Q504" s="53" t="s">
        <v>783</v>
      </c>
      <c r="R504" s="159" t="s">
        <v>208</v>
      </c>
      <c r="S504" s="159" t="str">
        <f>MID(PAA[[#This Row],[Meta Proyecto de Inversión]],1,4)</f>
        <v>8126</v>
      </c>
      <c r="T504" s="159" t="str">
        <f>MID(PAA[[#This Row],[Meta Proyecto de Inversión]],6,1)</f>
        <v>9</v>
      </c>
      <c r="U504" s="160" t="str">
        <f>IFERROR(VLOOKUP(N504,TD!$B$50:$F$54,2,0)," ")</f>
        <v>O230117</v>
      </c>
      <c r="V504" s="160" t="str">
        <f>IFERROR(VLOOKUP(N504,TD!$B$50:$F$54,3,0)," ")</f>
        <v>4599</v>
      </c>
      <c r="W504" s="160">
        <f>IFERROR(VLOOKUP(N504,TD!$B$50:$F$54,4,0)," ")</f>
        <v>20240207</v>
      </c>
      <c r="X504" s="159" t="s">
        <v>174</v>
      </c>
      <c r="Y504" s="160" t="str">
        <f>IFERROR(VLOOKUP(X504,TD!$J$51:$K$64,2,0)," ")</f>
        <v>Infraestructura física, mantenimiento y dotación (Sedes construidas, mantenidas reforzadas)</v>
      </c>
      <c r="Z504" s="161" t="str">
        <f>CONCATENATE(X504,"-",Y504)</f>
        <v>08-Infraestructura física, mantenimiento y dotación (Sedes construidas, mantenidas reforzadas)</v>
      </c>
      <c r="AA504" s="159" t="s">
        <v>227</v>
      </c>
      <c r="AB504" s="160" t="str">
        <f>IFERROR(VLOOKUP(AA504,TD!$N$51:$O$66,2,0)," ")</f>
        <v>Sedes mantenidas</v>
      </c>
      <c r="AC504" s="161" t="str">
        <f>CONCATENATE(AA504,"_",AB504)</f>
        <v>016_Sedes mantenidas</v>
      </c>
      <c r="AD504" s="161" t="str">
        <f>CONCATENATE(Z504," ",AC504)</f>
        <v>08-Infraestructura física, mantenimiento y dotación (Sedes construidas, mantenidas reforzadas) 016_Sedes mantenidas</v>
      </c>
      <c r="AE504" s="160" t="str">
        <f>CONCATENATE(U504,V504,W504,X504,AA504)</f>
        <v>O23011745992024020708016</v>
      </c>
      <c r="AF504" s="160" t="str">
        <f>IFERROR(VLOOKUP(AD504,TD!$J$66:$K$89,2,0)," ")</f>
        <v>PM/0131/0108/45990160207</v>
      </c>
      <c r="AG504" s="118" t="s">
        <v>385</v>
      </c>
      <c r="AH504" s="159" t="s">
        <v>193</v>
      </c>
      <c r="AI504" s="162" t="str">
        <f>CONCATENATE(PAA[[#This Row],[Id Interno]],"-",PAA[[#This Row],[tipo de Contrato (TH talento humano - B/S bienes y/o servicios)]],"-",S504,"-",T504,"-",PAA[[#This Row],[Objeto de la contratación]])</f>
        <v>20260467-TH-8126-9-Prestar los servicios profesionales de la gestión administrativa, así como la adquisición de bienes y servicios de la Subdirección de Gestión Corporativa  SGC</v>
      </c>
    </row>
    <row r="505" spans="2:35" ht="70" x14ac:dyDescent="0.35">
      <c r="B505" s="23">
        <v>20260468</v>
      </c>
      <c r="C505" s="99" t="s">
        <v>732</v>
      </c>
      <c r="D505" s="23" t="s">
        <v>105</v>
      </c>
      <c r="E505" s="23" t="s">
        <v>363</v>
      </c>
      <c r="F505" s="156" t="s">
        <v>144</v>
      </c>
      <c r="G505" s="157" t="s">
        <v>373</v>
      </c>
      <c r="H505" s="158">
        <v>11</v>
      </c>
      <c r="I505" s="158">
        <v>0</v>
      </c>
      <c r="J505" s="127">
        <v>75204000</v>
      </c>
      <c r="K505" s="88" t="s">
        <v>398</v>
      </c>
      <c r="L505" s="156" t="s">
        <v>155</v>
      </c>
      <c r="M505" s="159" t="s">
        <v>422</v>
      </c>
      <c r="N505" s="23" t="s">
        <v>198</v>
      </c>
      <c r="O505" s="151" t="s">
        <v>964</v>
      </c>
      <c r="P505" s="156" t="s">
        <v>348</v>
      </c>
      <c r="Q505" s="53" t="s">
        <v>783</v>
      </c>
      <c r="R505" s="159" t="s">
        <v>216</v>
      </c>
      <c r="S505" s="159" t="str">
        <f>MID(PAA[[#This Row],[Meta Proyecto de Inversión]],1,4)</f>
        <v>8173</v>
      </c>
      <c r="T505" s="159" t="str">
        <f>MID(PAA[[#This Row],[Meta Proyecto de Inversión]],6,1)</f>
        <v>7</v>
      </c>
      <c r="U505" s="160" t="str">
        <f>IFERROR(VLOOKUP(N505,TD!$B$50:$F$54,2,0)," ")</f>
        <v>O230117</v>
      </c>
      <c r="V505" s="160" t="str">
        <f>IFERROR(VLOOKUP(N505,TD!$B$50:$F$54,3,0)," ")</f>
        <v>4503</v>
      </c>
      <c r="W505" s="160">
        <f>IFERROR(VLOOKUP(N505,TD!$B$50:$F$54,4,0)," ")</f>
        <v>20240255</v>
      </c>
      <c r="X505" s="159">
        <v>14</v>
      </c>
      <c r="Y505" s="160" t="str">
        <f>IFERROR(VLOOKUP(X505,TD!$J$51:$K$64,2,0)," ")</f>
        <v xml:space="preserve">Infraestructura física misional construida mantenida y dotada </v>
      </c>
      <c r="Z505" s="161" t="str">
        <f>CONCATENATE(X505,"-",Y505)</f>
        <v xml:space="preserve">14-Infraestructura física misional construida mantenida y dotada </v>
      </c>
      <c r="AA505" s="159" t="s">
        <v>225</v>
      </c>
      <c r="AB505" s="160" t="str">
        <f>IFERROR(VLOOKUP(AA505,TD!$N$51:$O$66,2,0)," ")</f>
        <v>Estaciones de bomberos adecuadas</v>
      </c>
      <c r="AC505" s="161" t="str">
        <f>CONCATENATE(AA505,"_",AB505)</f>
        <v>014_Estaciones de bomberos adecuadas</v>
      </c>
      <c r="AD505" s="161" t="str">
        <f>CONCATENATE(Z505," ",AC505)</f>
        <v>14-Infraestructura física misional construida mantenida y dotada  014_Estaciones de bomberos adecuadas</v>
      </c>
      <c r="AE505" s="160" t="str">
        <f>CONCATENATE(U505,V505,W505,X505,AA505)</f>
        <v>O23011745032024025514014</v>
      </c>
      <c r="AF505" s="160" t="str">
        <f>IFERROR(VLOOKUP(AD505,TD!$J$66:$K$89,2,0)," ")</f>
        <v>PM/0131/0114/45030140255</v>
      </c>
      <c r="AG505" s="118" t="s">
        <v>385</v>
      </c>
      <c r="AH505" s="159" t="s">
        <v>193</v>
      </c>
      <c r="AI505" s="162" t="str">
        <f>CONCATENATE(PAA[[#This Row],[Id Interno]],"-",PAA[[#This Row],[tipo de Contrato (TH talento humano - B/S bienes y/o servicios)]],"-",S505,"-",T505,"-",PAA[[#This Row],[Objeto de la contratación]])</f>
        <v>20260468-TH-8173-7-Prestar servicios profesionales para realizar acompañamiento en los procesos contractuales adelantados por la Subdirección Gestión Corporativa -SGC</v>
      </c>
    </row>
    <row r="506" spans="2:35" ht="56" x14ac:dyDescent="0.35">
      <c r="B506" s="23">
        <v>20260469</v>
      </c>
      <c r="C506" s="99" t="s">
        <v>733</v>
      </c>
      <c r="D506" s="23" t="s">
        <v>105</v>
      </c>
      <c r="E506" s="23" t="s">
        <v>363</v>
      </c>
      <c r="F506" s="156" t="s">
        <v>144</v>
      </c>
      <c r="G506" s="157" t="s">
        <v>373</v>
      </c>
      <c r="H506" s="158">
        <v>11</v>
      </c>
      <c r="I506" s="158">
        <v>0</v>
      </c>
      <c r="J506" s="127">
        <v>75204000</v>
      </c>
      <c r="K506" s="88" t="s">
        <v>398</v>
      </c>
      <c r="L506" s="156" t="s">
        <v>155</v>
      </c>
      <c r="M506" s="159" t="s">
        <v>422</v>
      </c>
      <c r="N506" s="23" t="s">
        <v>198</v>
      </c>
      <c r="O506" s="151" t="s">
        <v>964</v>
      </c>
      <c r="P506" s="156" t="s">
        <v>348</v>
      </c>
      <c r="Q506" s="53" t="s">
        <v>783</v>
      </c>
      <c r="R506" s="159" t="s">
        <v>217</v>
      </c>
      <c r="S506" s="159" t="str">
        <f>MID(PAA[[#This Row],[Meta Proyecto de Inversión]],1,4)</f>
        <v>8173</v>
      </c>
      <c r="T506" s="159" t="str">
        <f>MID(PAA[[#This Row],[Meta Proyecto de Inversión]],6,1)</f>
        <v>8</v>
      </c>
      <c r="U506" s="160" t="str">
        <f>IFERROR(VLOOKUP(N506,TD!$B$50:$F$54,2,0)," ")</f>
        <v>O230117</v>
      </c>
      <c r="V506" s="160" t="str">
        <f>IFERROR(VLOOKUP(N506,TD!$B$50:$F$54,3,0)," ")</f>
        <v>4503</v>
      </c>
      <c r="W506" s="160">
        <f>IFERROR(VLOOKUP(N506,TD!$B$50:$F$54,4,0)," ")</f>
        <v>20240255</v>
      </c>
      <c r="X506" s="159">
        <v>14</v>
      </c>
      <c r="Y506" s="160" t="str">
        <f>IFERROR(VLOOKUP(X506,TD!$J$51:$K$64,2,0)," ")</f>
        <v xml:space="preserve">Infraestructura física misional construida mantenida y dotada </v>
      </c>
      <c r="Z506" s="161" t="str">
        <f>CONCATENATE(X506,"-",Y506)</f>
        <v xml:space="preserve">14-Infraestructura física misional construida mantenida y dotada </v>
      </c>
      <c r="AA506" s="159" t="s">
        <v>226</v>
      </c>
      <c r="AB506" s="160" t="str">
        <f>IFERROR(VLOOKUP(AA506,TD!$N$51:$O$66,2,0)," ")</f>
        <v>Estaciones de bomberos construidas</v>
      </c>
      <c r="AC506" s="161" t="str">
        <f>CONCATENATE(AA506,"_",AB506)</f>
        <v>015_Estaciones de bomberos construidas</v>
      </c>
      <c r="AD506" s="161" t="str">
        <f>CONCATENATE(Z506," ",AC506)</f>
        <v>14-Infraestructura física misional construida mantenida y dotada  015_Estaciones de bomberos construidas</v>
      </c>
      <c r="AE506" s="160" t="str">
        <f>CONCATENATE(U506,V506,W506,X506,AA506)</f>
        <v>O23011745032024025514015</v>
      </c>
      <c r="AF506" s="160" t="str">
        <f>IFERROR(VLOOKUP(AD506,TD!$J$66:$K$89,2,0)," ")</f>
        <v>PM/0131/0114/45030150255</v>
      </c>
      <c r="AG506" s="118" t="s">
        <v>385</v>
      </c>
      <c r="AH506" s="159" t="s">
        <v>193</v>
      </c>
      <c r="AI506" s="162" t="str">
        <f>CONCATENATE(PAA[[#This Row],[Id Interno]],"-",PAA[[#This Row],[tipo de Contrato (TH talento humano - B/S bienes y/o servicios)]],"-",S506,"-",T506,"-",PAA[[#This Row],[Objeto de la contratación]])</f>
        <v>20260469-TH-8173-8-Prestar los servicios profesionales jurídicos para apoyar las actividades propias, en procesos prediales que contribuyan al desarrollo de la infraestructura requerida por la entidad para la adecuada prestación del servicio-SGC</v>
      </c>
    </row>
    <row r="507" spans="2:35" ht="112" x14ac:dyDescent="0.35">
      <c r="B507" s="23">
        <v>20260470</v>
      </c>
      <c r="C507" s="99" t="s">
        <v>734</v>
      </c>
      <c r="D507" s="23" t="s">
        <v>105</v>
      </c>
      <c r="E507" s="23" t="s">
        <v>363</v>
      </c>
      <c r="F507" s="156" t="s">
        <v>144</v>
      </c>
      <c r="G507" s="157" t="s">
        <v>373</v>
      </c>
      <c r="H507" s="158">
        <v>11</v>
      </c>
      <c r="I507" s="158">
        <v>0</v>
      </c>
      <c r="J507" s="127">
        <v>75204000</v>
      </c>
      <c r="K507" s="88" t="s">
        <v>398</v>
      </c>
      <c r="L507" s="156" t="s">
        <v>155</v>
      </c>
      <c r="M507" s="159" t="s">
        <v>422</v>
      </c>
      <c r="N507" s="23" t="s">
        <v>198</v>
      </c>
      <c r="O507" s="151" t="s">
        <v>964</v>
      </c>
      <c r="P507" s="156" t="s">
        <v>348</v>
      </c>
      <c r="Q507" s="53" t="s">
        <v>783</v>
      </c>
      <c r="R507" s="159" t="s">
        <v>219</v>
      </c>
      <c r="S507" s="159" t="str">
        <f>MID(PAA[[#This Row],[Meta Proyecto de Inversión]],1,4)</f>
        <v>8173</v>
      </c>
      <c r="T507" s="159" t="str">
        <f>MID(PAA[[#This Row],[Meta Proyecto de Inversión]],6,1)</f>
        <v>1</v>
      </c>
      <c r="U507" s="160" t="str">
        <f>IFERROR(VLOOKUP(N507,TD!$B$50:$F$54,2,0)," ")</f>
        <v>O230117</v>
      </c>
      <c r="V507" s="160" t="str">
        <f>IFERROR(VLOOKUP(N507,TD!$B$50:$F$54,3,0)," ")</f>
        <v>4503</v>
      </c>
      <c r="W507" s="160">
        <f>IFERROR(VLOOKUP(N507,TD!$B$50:$F$54,4,0)," ")</f>
        <v>20240255</v>
      </c>
      <c r="X507" s="159" t="s">
        <v>174</v>
      </c>
      <c r="Y507" s="160" t="str">
        <f>IFERROR(VLOOKUP(X507,TD!$J$51:$K$64,2,0)," ")</f>
        <v>Infraestructura física, mantenimiento y dotación (Sedes construidas, mantenidas reforzadas)</v>
      </c>
      <c r="Z507" s="161" t="str">
        <f>CONCATENATE(X507,"-",Y507)</f>
        <v>08-Infraestructura física, mantenimiento y dotación (Sedes construidas, mantenidas reforzadas)</v>
      </c>
      <c r="AA507" s="159" t="s">
        <v>282</v>
      </c>
      <c r="AB507" s="160" t="str">
        <f>IFERROR(VLOOKUP(AA507,TD!$N$51:$O$66,2,0)," ")</f>
        <v>Documentos de lineamientos técnicos</v>
      </c>
      <c r="AC507" s="161" t="str">
        <f>CONCATENATE(AA507,"_",AB507)</f>
        <v>031__Documentos de lineamientos técnicos</v>
      </c>
      <c r="AD507" s="161" t="str">
        <f>CONCATENATE(Z507," ",AC507)</f>
        <v>08-Infraestructura física, mantenimiento y dotación (Sedes construidas, mantenidas reforzadas) 031__Documentos de lineamientos técnicos</v>
      </c>
      <c r="AE507" s="160" t="str">
        <f>CONCATENATE(U507,V507,W507,X507,AA507)</f>
        <v>O23011745032024025508031_</v>
      </c>
      <c r="AF507" s="160" t="str">
        <f>IFERROR(VLOOKUP(AD507,TD!$J$66:$K$89,2,0)," ")</f>
        <v>PM/0131/0108/45030310255</v>
      </c>
      <c r="AG507" s="118" t="s">
        <v>385</v>
      </c>
      <c r="AH507" s="159" t="s">
        <v>193</v>
      </c>
      <c r="AI507" s="162" t="str">
        <f>CONCATENATE(PAA[[#This Row],[Id Interno]],"-",PAA[[#This Row],[tipo de Contrato (TH talento humano - B/S bienes y/o servicios)]],"-",S507,"-",T507,"-",PAA[[#This Row],[Objeto de la contratación]])</f>
        <v>20260470-TH-8173-1-Prestar los servicios profesionales técnicos para apoyar las actividades propias que contribuyan al desarrollo de la infraestructura requerida por la entidad para la adecuada prestación del servicio-SGC</v>
      </c>
    </row>
    <row r="508" spans="2:35" ht="56" x14ac:dyDescent="0.35">
      <c r="B508" s="23">
        <v>20260471</v>
      </c>
      <c r="C508" s="99" t="s">
        <v>735</v>
      </c>
      <c r="D508" s="23" t="s">
        <v>105</v>
      </c>
      <c r="E508" s="23" t="s">
        <v>363</v>
      </c>
      <c r="F508" s="156" t="s">
        <v>144</v>
      </c>
      <c r="G508" s="157" t="s">
        <v>373</v>
      </c>
      <c r="H508" s="158">
        <v>11</v>
      </c>
      <c r="I508" s="158">
        <v>0</v>
      </c>
      <c r="J508" s="127">
        <v>66357000</v>
      </c>
      <c r="K508" s="88" t="s">
        <v>398</v>
      </c>
      <c r="L508" s="156" t="s">
        <v>155</v>
      </c>
      <c r="M508" s="159" t="s">
        <v>422</v>
      </c>
      <c r="N508" s="23" t="s">
        <v>198</v>
      </c>
      <c r="O508" s="151" t="s">
        <v>964</v>
      </c>
      <c r="P508" s="156" t="s">
        <v>348</v>
      </c>
      <c r="Q508" s="53" t="s">
        <v>783</v>
      </c>
      <c r="R508" s="159" t="s">
        <v>216</v>
      </c>
      <c r="S508" s="159" t="str">
        <f>MID(PAA[[#This Row],[Meta Proyecto de Inversión]],1,4)</f>
        <v>8173</v>
      </c>
      <c r="T508" s="159" t="str">
        <f>MID(PAA[[#This Row],[Meta Proyecto de Inversión]],6,1)</f>
        <v>7</v>
      </c>
      <c r="U508" s="160" t="str">
        <f>IFERROR(VLOOKUP(N508,TD!$B$50:$F$54,2,0)," ")</f>
        <v>O230117</v>
      </c>
      <c r="V508" s="160" t="str">
        <f>IFERROR(VLOOKUP(N508,TD!$B$50:$F$54,3,0)," ")</f>
        <v>4503</v>
      </c>
      <c r="W508" s="160">
        <f>IFERROR(VLOOKUP(N508,TD!$B$50:$F$54,4,0)," ")</f>
        <v>20240255</v>
      </c>
      <c r="X508" s="159">
        <v>14</v>
      </c>
      <c r="Y508" s="160" t="str">
        <f>IFERROR(VLOOKUP(X508,TD!$J$51:$K$64,2,0)," ")</f>
        <v xml:space="preserve">Infraestructura física misional construida mantenida y dotada </v>
      </c>
      <c r="Z508" s="161" t="str">
        <f>CONCATENATE(X508,"-",Y508)</f>
        <v xml:space="preserve">14-Infraestructura física misional construida mantenida y dotada </v>
      </c>
      <c r="AA508" s="159" t="s">
        <v>225</v>
      </c>
      <c r="AB508" s="160" t="str">
        <f>IFERROR(VLOOKUP(AA508,TD!$N$51:$O$66,2,0)," ")</f>
        <v>Estaciones de bomberos adecuadas</v>
      </c>
      <c r="AC508" s="161" t="str">
        <f>CONCATENATE(AA508,"_",AB508)</f>
        <v>014_Estaciones de bomberos adecuadas</v>
      </c>
      <c r="AD508" s="161" t="str">
        <f>CONCATENATE(Z508," ",AC508)</f>
        <v>14-Infraestructura física misional construida mantenida y dotada  014_Estaciones de bomberos adecuadas</v>
      </c>
      <c r="AE508" s="160" t="str">
        <f>CONCATENATE(U508,V508,W508,X508,AA508)</f>
        <v>O23011745032024025514014</v>
      </c>
      <c r="AF508" s="160" t="str">
        <f>IFERROR(VLOOKUP(AD508,TD!$J$66:$K$89,2,0)," ")</f>
        <v>PM/0131/0114/45030140255</v>
      </c>
      <c r="AG508" s="118" t="s">
        <v>385</v>
      </c>
      <c r="AH508" s="159" t="s">
        <v>193</v>
      </c>
      <c r="AI508" s="162" t="str">
        <f>CONCATENATE(PAA[[#This Row],[Id Interno]],"-",PAA[[#This Row],[tipo de Contrato (TH talento humano - B/S bienes y/o servicios)]],"-",S508,"-",T508,"-",PAA[[#This Row],[Objeto de la contratación]])</f>
        <v>20260471-TH-8173-7-Prestar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09" spans="2:35" ht="56" x14ac:dyDescent="0.35">
      <c r="B509" s="23">
        <v>20260472</v>
      </c>
      <c r="C509" s="99" t="s">
        <v>736</v>
      </c>
      <c r="D509" s="23" t="s">
        <v>105</v>
      </c>
      <c r="E509" s="23" t="s">
        <v>363</v>
      </c>
      <c r="F509" s="156" t="s">
        <v>144</v>
      </c>
      <c r="G509" s="157" t="s">
        <v>373</v>
      </c>
      <c r="H509" s="158">
        <v>11</v>
      </c>
      <c r="I509" s="158">
        <v>0</v>
      </c>
      <c r="J509" s="127">
        <v>82500000</v>
      </c>
      <c r="K509" s="88" t="s">
        <v>398</v>
      </c>
      <c r="L509" s="156" t="s">
        <v>155</v>
      </c>
      <c r="M509" s="159" t="s">
        <v>422</v>
      </c>
      <c r="N509" s="23" t="s">
        <v>198</v>
      </c>
      <c r="O509" s="151" t="s">
        <v>964</v>
      </c>
      <c r="P509" s="156" t="s">
        <v>348</v>
      </c>
      <c r="Q509" s="53" t="s">
        <v>783</v>
      </c>
      <c r="R509" s="159" t="s">
        <v>216</v>
      </c>
      <c r="S509" s="159" t="str">
        <f>MID(PAA[[#This Row],[Meta Proyecto de Inversión]],1,4)</f>
        <v>8173</v>
      </c>
      <c r="T509" s="159" t="str">
        <f>MID(PAA[[#This Row],[Meta Proyecto de Inversión]],6,1)</f>
        <v>7</v>
      </c>
      <c r="U509" s="160" t="str">
        <f>IFERROR(VLOOKUP(N509,TD!$B$50:$F$54,2,0)," ")</f>
        <v>O230117</v>
      </c>
      <c r="V509" s="160" t="str">
        <f>IFERROR(VLOOKUP(N509,TD!$B$50:$F$54,3,0)," ")</f>
        <v>4503</v>
      </c>
      <c r="W509" s="160">
        <f>IFERROR(VLOOKUP(N509,TD!$B$50:$F$54,4,0)," ")</f>
        <v>20240255</v>
      </c>
      <c r="X509" s="159">
        <v>14</v>
      </c>
      <c r="Y509" s="160" t="str">
        <f>IFERROR(VLOOKUP(X509,TD!$J$51:$K$64,2,0)," ")</f>
        <v xml:space="preserve">Infraestructura física misional construida mantenida y dotada </v>
      </c>
      <c r="Z509" s="161" t="str">
        <f>CONCATENATE(X509,"-",Y509)</f>
        <v xml:space="preserve">14-Infraestructura física misional construida mantenida y dotada </v>
      </c>
      <c r="AA509" s="159" t="s">
        <v>225</v>
      </c>
      <c r="AB509" s="160" t="str">
        <f>IFERROR(VLOOKUP(AA509,TD!$N$51:$O$66,2,0)," ")</f>
        <v>Estaciones de bomberos adecuadas</v>
      </c>
      <c r="AC509" s="161" t="str">
        <f>CONCATENATE(AA509,"_",AB509)</f>
        <v>014_Estaciones de bomberos adecuadas</v>
      </c>
      <c r="AD509" s="161" t="str">
        <f>CONCATENATE(Z509," ",AC509)</f>
        <v>14-Infraestructura física misional construida mantenida y dotada  014_Estaciones de bomberos adecuadas</v>
      </c>
      <c r="AE509" s="160" t="str">
        <f>CONCATENATE(U509,V509,W509,X509,AA509)</f>
        <v>O23011745032024025514014</v>
      </c>
      <c r="AF509" s="160" t="str">
        <f>IFERROR(VLOOKUP(AD509,TD!$J$66:$K$89,2,0)," ")</f>
        <v>PM/0131/0114/45030140255</v>
      </c>
      <c r="AG509" s="118" t="s">
        <v>385</v>
      </c>
      <c r="AH509" s="159" t="s">
        <v>193</v>
      </c>
      <c r="AI509" s="162" t="str">
        <f>CONCATENATE(PAA[[#This Row],[Id Interno]],"-",PAA[[#This Row],[tipo de Contrato (TH talento humano - B/S bienes y/o servicios)]],"-",S509,"-",T509,"-",PAA[[#This Row],[Objeto de la contratación]])</f>
        <v>20260472-TH-8173-7-Prestar servicios profesionales como ingeniero mecanico para apoyar las actividades propias que contribuyan al desarrollo de la infraestructura requerida por la entidad para la adecuada prestación del servicio-SGC</v>
      </c>
    </row>
    <row r="510" spans="2:35" ht="84" x14ac:dyDescent="0.35">
      <c r="B510" s="23">
        <v>20260473</v>
      </c>
      <c r="C510" s="99" t="s">
        <v>696</v>
      </c>
      <c r="D510" s="23" t="s">
        <v>105</v>
      </c>
      <c r="E510" s="23" t="s">
        <v>363</v>
      </c>
      <c r="F510" s="156" t="s">
        <v>145</v>
      </c>
      <c r="G510" s="157" t="s">
        <v>373</v>
      </c>
      <c r="H510" s="158">
        <v>11</v>
      </c>
      <c r="I510" s="158">
        <v>0</v>
      </c>
      <c r="J510" s="127">
        <v>30966000</v>
      </c>
      <c r="K510" s="88" t="s">
        <v>398</v>
      </c>
      <c r="L510" s="156" t="s">
        <v>155</v>
      </c>
      <c r="M510" s="159" t="s">
        <v>422</v>
      </c>
      <c r="N510" s="23" t="s">
        <v>197</v>
      </c>
      <c r="O510" s="151" t="s">
        <v>963</v>
      </c>
      <c r="P510" s="156" t="s">
        <v>348</v>
      </c>
      <c r="Q510" s="53" t="s">
        <v>783</v>
      </c>
      <c r="R510" s="159" t="s">
        <v>208</v>
      </c>
      <c r="S510" s="159" t="str">
        <f>MID(PAA[[#This Row],[Meta Proyecto de Inversión]],1,4)</f>
        <v>8126</v>
      </c>
      <c r="T510" s="159" t="str">
        <f>MID(PAA[[#This Row],[Meta Proyecto de Inversión]],6,1)</f>
        <v>9</v>
      </c>
      <c r="U510" s="160" t="str">
        <f>IFERROR(VLOOKUP(N510,TD!$B$50:$F$54,2,0)," ")</f>
        <v>O230117</v>
      </c>
      <c r="V510" s="160" t="str">
        <f>IFERROR(VLOOKUP(N510,TD!$B$50:$F$54,3,0)," ")</f>
        <v>4599</v>
      </c>
      <c r="W510" s="160">
        <f>IFERROR(VLOOKUP(N510,TD!$B$50:$F$54,4,0)," ")</f>
        <v>20240207</v>
      </c>
      <c r="X510" s="159" t="s">
        <v>174</v>
      </c>
      <c r="Y510" s="160" t="str">
        <f>IFERROR(VLOOKUP(X510,TD!$J$51:$K$64,2,0)," ")</f>
        <v>Infraestructura física, mantenimiento y dotación (Sedes construidas, mantenidas reforzadas)</v>
      </c>
      <c r="Z510" s="161" t="str">
        <f>CONCATENATE(X510,"-",Y510)</f>
        <v>08-Infraestructura física, mantenimiento y dotación (Sedes construidas, mantenidas reforzadas)</v>
      </c>
      <c r="AA510" s="159" t="s">
        <v>227</v>
      </c>
      <c r="AB510" s="160" t="str">
        <f>IFERROR(VLOOKUP(AA510,TD!$N$51:$O$66,2,0)," ")</f>
        <v>Sedes mantenidas</v>
      </c>
      <c r="AC510" s="161" t="str">
        <f>CONCATENATE(AA510,"_",AB510)</f>
        <v>016_Sedes mantenidas</v>
      </c>
      <c r="AD510" s="161" t="str">
        <f>CONCATENATE(Z510," ",AC510)</f>
        <v>08-Infraestructura física, mantenimiento y dotación (Sedes construidas, mantenidas reforzadas) 016_Sedes mantenidas</v>
      </c>
      <c r="AE510" s="160" t="str">
        <f>CONCATENATE(U510,V510,W510,X510,AA510)</f>
        <v>O23011745992024020708016</v>
      </c>
      <c r="AF510" s="160" t="str">
        <f>IFERROR(VLOOKUP(AD510,TD!$J$66:$K$89,2,0)," ")</f>
        <v>PM/0131/0108/45990160207</v>
      </c>
      <c r="AG510" s="118" t="s">
        <v>385</v>
      </c>
      <c r="AH510" s="159" t="s">
        <v>193</v>
      </c>
      <c r="AI510" s="162" t="str">
        <f>CONCATENATE(PAA[[#This Row],[Id Interno]],"-",PAA[[#This Row],[tipo de Contrato (TH talento humano - B/S bienes y/o servicios)]],"-",S510,"-",T510,"-",PAA[[#This Row],[Objeto de la contratación]])</f>
        <v>20260473-TH-8126-9-Prestación de servicios de apoyo a la gestión del proceso de inventarios de la Subdirección de Gestión Corporativa.-SGC</v>
      </c>
    </row>
    <row r="511" spans="2:35" ht="70" x14ac:dyDescent="0.35">
      <c r="B511" s="23">
        <v>20260474</v>
      </c>
      <c r="C511" s="99" t="s">
        <v>696</v>
      </c>
      <c r="D511" s="23" t="s">
        <v>105</v>
      </c>
      <c r="E511" s="23" t="s">
        <v>363</v>
      </c>
      <c r="F511" s="156" t="s">
        <v>145</v>
      </c>
      <c r="G511" s="157" t="s">
        <v>373</v>
      </c>
      <c r="H511" s="158">
        <v>10</v>
      </c>
      <c r="I511" s="158">
        <v>0</v>
      </c>
      <c r="J511" s="127">
        <v>28151000</v>
      </c>
      <c r="K511" s="88" t="s">
        <v>398</v>
      </c>
      <c r="L511" s="156" t="s">
        <v>155</v>
      </c>
      <c r="M511" s="159" t="s">
        <v>422</v>
      </c>
      <c r="N511" s="23" t="s">
        <v>197</v>
      </c>
      <c r="O511" s="151" t="s">
        <v>963</v>
      </c>
      <c r="P511" s="156" t="s">
        <v>348</v>
      </c>
      <c r="Q511" s="53" t="s">
        <v>783</v>
      </c>
      <c r="R511" s="159" t="s">
        <v>208</v>
      </c>
      <c r="S511" s="159" t="str">
        <f>MID(PAA[[#This Row],[Meta Proyecto de Inversión]],1,4)</f>
        <v>8126</v>
      </c>
      <c r="T511" s="159" t="str">
        <f>MID(PAA[[#This Row],[Meta Proyecto de Inversión]],6,1)</f>
        <v>9</v>
      </c>
      <c r="U511" s="160" t="str">
        <f>IFERROR(VLOOKUP(N511,TD!$B$50:$F$54,2,0)," ")</f>
        <v>O230117</v>
      </c>
      <c r="V511" s="160" t="str">
        <f>IFERROR(VLOOKUP(N511,TD!$B$50:$F$54,3,0)," ")</f>
        <v>4599</v>
      </c>
      <c r="W511" s="160">
        <f>IFERROR(VLOOKUP(N511,TD!$B$50:$F$54,4,0)," ")</f>
        <v>20240207</v>
      </c>
      <c r="X511" s="159" t="s">
        <v>174</v>
      </c>
      <c r="Y511" s="160" t="str">
        <f>IFERROR(VLOOKUP(X511,TD!$J$51:$K$64,2,0)," ")</f>
        <v>Infraestructura física, mantenimiento y dotación (Sedes construidas, mantenidas reforzadas)</v>
      </c>
      <c r="Z511" s="161" t="str">
        <f>CONCATENATE(X511,"-",Y511)</f>
        <v>08-Infraestructura física, mantenimiento y dotación (Sedes construidas, mantenidas reforzadas)</v>
      </c>
      <c r="AA511" s="159" t="s">
        <v>227</v>
      </c>
      <c r="AB511" s="160" t="str">
        <f>IFERROR(VLOOKUP(AA511,TD!$N$51:$O$66,2,0)," ")</f>
        <v>Sedes mantenidas</v>
      </c>
      <c r="AC511" s="161" t="str">
        <f>CONCATENATE(AA511,"_",AB511)</f>
        <v>016_Sedes mantenidas</v>
      </c>
      <c r="AD511" s="161" t="str">
        <f>CONCATENATE(Z511," ",AC511)</f>
        <v>08-Infraestructura física, mantenimiento y dotación (Sedes construidas, mantenidas reforzadas) 016_Sedes mantenidas</v>
      </c>
      <c r="AE511" s="160" t="str">
        <f>CONCATENATE(U511,V511,W511,X511,AA511)</f>
        <v>O23011745992024020708016</v>
      </c>
      <c r="AF511" s="160" t="str">
        <f>IFERROR(VLOOKUP(AD511,TD!$J$66:$K$89,2,0)," ")</f>
        <v>PM/0131/0108/45990160207</v>
      </c>
      <c r="AG511" s="118" t="s">
        <v>385</v>
      </c>
      <c r="AH511" s="159" t="s">
        <v>193</v>
      </c>
      <c r="AI511" s="162" t="str">
        <f>CONCATENATE(PAA[[#This Row],[Id Interno]],"-",PAA[[#This Row],[tipo de Contrato (TH talento humano - B/S bienes y/o servicios)]],"-",S511,"-",T511,"-",PAA[[#This Row],[Objeto de la contratación]])</f>
        <v>20260474-TH-8126-9-Prestación de servicios de apoyo a la gestión del proceso de inventarios de la Subdirección de Gestión Corporativa.-SGC</v>
      </c>
    </row>
    <row r="512" spans="2:35" ht="95" customHeight="1" x14ac:dyDescent="0.35">
      <c r="B512" s="23">
        <v>20260475</v>
      </c>
      <c r="C512" s="99" t="s">
        <v>701</v>
      </c>
      <c r="D512" s="23" t="s">
        <v>105</v>
      </c>
      <c r="E512" s="23" t="s">
        <v>363</v>
      </c>
      <c r="F512" s="156" t="s">
        <v>145</v>
      </c>
      <c r="G512" s="157" t="s">
        <v>373</v>
      </c>
      <c r="H512" s="158">
        <v>11</v>
      </c>
      <c r="I512" s="158">
        <v>0</v>
      </c>
      <c r="J512" s="127">
        <v>30966000</v>
      </c>
      <c r="K512" s="88" t="s">
        <v>398</v>
      </c>
      <c r="L512" s="156" t="s">
        <v>155</v>
      </c>
      <c r="M512" s="159" t="s">
        <v>422</v>
      </c>
      <c r="N512" s="23" t="s">
        <v>197</v>
      </c>
      <c r="O512" s="151" t="s">
        <v>963</v>
      </c>
      <c r="P512" s="156" t="s">
        <v>348</v>
      </c>
      <c r="Q512" s="53" t="s">
        <v>783</v>
      </c>
      <c r="R512" s="159" t="s">
        <v>208</v>
      </c>
      <c r="S512" s="159" t="str">
        <f>MID(PAA[[#This Row],[Meta Proyecto de Inversión]],1,4)</f>
        <v>8126</v>
      </c>
      <c r="T512" s="159" t="str">
        <f>MID(PAA[[#This Row],[Meta Proyecto de Inversión]],6,1)</f>
        <v>9</v>
      </c>
      <c r="U512" s="160" t="str">
        <f>IFERROR(VLOOKUP(N512,TD!$B$50:$F$54,2,0)," ")</f>
        <v>O230117</v>
      </c>
      <c r="V512" s="160" t="str">
        <f>IFERROR(VLOOKUP(N512,TD!$B$50:$F$54,3,0)," ")</f>
        <v>4599</v>
      </c>
      <c r="W512" s="160">
        <f>IFERROR(VLOOKUP(N512,TD!$B$50:$F$54,4,0)," ")</f>
        <v>20240207</v>
      </c>
      <c r="X512" s="159" t="s">
        <v>174</v>
      </c>
      <c r="Y512" s="160" t="str">
        <f>IFERROR(VLOOKUP(X512,TD!$J$51:$K$64,2,0)," ")</f>
        <v>Infraestructura física, mantenimiento y dotación (Sedes construidas, mantenidas reforzadas)</v>
      </c>
      <c r="Z512" s="161" t="str">
        <f>CONCATENATE(X512,"-",Y512)</f>
        <v>08-Infraestructura física, mantenimiento y dotación (Sedes construidas, mantenidas reforzadas)</v>
      </c>
      <c r="AA512" s="159" t="s">
        <v>227</v>
      </c>
      <c r="AB512" s="160" t="str">
        <f>IFERROR(VLOOKUP(AA512,TD!$N$51:$O$66,2,0)," ")</f>
        <v>Sedes mantenidas</v>
      </c>
      <c r="AC512" s="161" t="str">
        <f>CONCATENATE(AA512,"_",AB512)</f>
        <v>016_Sedes mantenidas</v>
      </c>
      <c r="AD512" s="161" t="str">
        <f>CONCATENATE(Z512," ",AC512)</f>
        <v>08-Infraestructura física, mantenimiento y dotación (Sedes construidas, mantenidas reforzadas) 016_Sedes mantenidas</v>
      </c>
      <c r="AE512" s="160" t="str">
        <f>CONCATENATE(U512,V512,W512,X512,AA512)</f>
        <v>O23011745992024020708016</v>
      </c>
      <c r="AF512" s="160" t="str">
        <f>IFERROR(VLOOKUP(AD512,TD!$J$66:$K$89,2,0)," ")</f>
        <v>PM/0131/0108/45990160207</v>
      </c>
      <c r="AG512" s="118" t="s">
        <v>385</v>
      </c>
      <c r="AH512" s="159" t="s">
        <v>193</v>
      </c>
      <c r="AI512" s="162" t="str">
        <f>CONCATENATE(PAA[[#This Row],[Id Interno]],"-",PAA[[#This Row],[tipo de Contrato (TH talento humano - B/S bienes y/o servicios)]],"-",S512,"-",T512,"-",PAA[[#This Row],[Objeto de la contratación]])</f>
        <v>20260475-TH-8126-9-Prestación de servicios de apoyo a la gestión documental de la Subdirección de Gestión Corporativa de la Unidad.-SGC</v>
      </c>
    </row>
    <row r="513" spans="2:35" ht="56" x14ac:dyDescent="0.35">
      <c r="B513" s="23">
        <v>20260476</v>
      </c>
      <c r="C513" s="99" t="s">
        <v>701</v>
      </c>
      <c r="D513" s="23" t="s">
        <v>105</v>
      </c>
      <c r="E513" s="23" t="s">
        <v>363</v>
      </c>
      <c r="F513" s="156" t="s">
        <v>145</v>
      </c>
      <c r="G513" s="157" t="s">
        <v>373</v>
      </c>
      <c r="H513" s="158">
        <v>11</v>
      </c>
      <c r="I513" s="158">
        <v>0</v>
      </c>
      <c r="J513" s="127">
        <v>42026000</v>
      </c>
      <c r="K513" s="88" t="s">
        <v>398</v>
      </c>
      <c r="L513" s="156" t="s">
        <v>155</v>
      </c>
      <c r="M513" s="159" t="s">
        <v>422</v>
      </c>
      <c r="N513" s="23" t="s">
        <v>197</v>
      </c>
      <c r="O513" s="151" t="s">
        <v>963</v>
      </c>
      <c r="P513" s="156" t="s">
        <v>348</v>
      </c>
      <c r="Q513" s="53" t="s">
        <v>783</v>
      </c>
      <c r="R513" s="159" t="s">
        <v>208</v>
      </c>
      <c r="S513" s="159" t="str">
        <f>MID(PAA[[#This Row],[Meta Proyecto de Inversión]],1,4)</f>
        <v>8126</v>
      </c>
      <c r="T513" s="159" t="str">
        <f>MID(PAA[[#This Row],[Meta Proyecto de Inversión]],6,1)</f>
        <v>9</v>
      </c>
      <c r="U513" s="160" t="str">
        <f>IFERROR(VLOOKUP(N513,TD!$B$50:$F$54,2,0)," ")</f>
        <v>O230117</v>
      </c>
      <c r="V513" s="160" t="str">
        <f>IFERROR(VLOOKUP(N513,TD!$B$50:$F$54,3,0)," ")</f>
        <v>4599</v>
      </c>
      <c r="W513" s="160">
        <f>IFERROR(VLOOKUP(N513,TD!$B$50:$F$54,4,0)," ")</f>
        <v>20240207</v>
      </c>
      <c r="X513" s="159" t="s">
        <v>174</v>
      </c>
      <c r="Y513" s="160" t="str">
        <f>IFERROR(VLOOKUP(X513,TD!$J$51:$K$64,2,0)," ")</f>
        <v>Infraestructura física, mantenimiento y dotación (Sedes construidas, mantenidas reforzadas)</v>
      </c>
      <c r="Z513" s="161" t="str">
        <f>CONCATENATE(X513,"-",Y513)</f>
        <v>08-Infraestructura física, mantenimiento y dotación (Sedes construidas, mantenidas reforzadas)</v>
      </c>
      <c r="AA513" s="159" t="s">
        <v>227</v>
      </c>
      <c r="AB513" s="160" t="str">
        <f>IFERROR(VLOOKUP(AA513,TD!$N$51:$O$66,2,0)," ")</f>
        <v>Sedes mantenidas</v>
      </c>
      <c r="AC513" s="161" t="str">
        <f>CONCATENATE(AA513,"_",AB513)</f>
        <v>016_Sedes mantenidas</v>
      </c>
      <c r="AD513" s="161" t="str">
        <f>CONCATENATE(Z513," ",AC513)</f>
        <v>08-Infraestructura física, mantenimiento y dotación (Sedes construidas, mantenidas reforzadas) 016_Sedes mantenidas</v>
      </c>
      <c r="AE513" s="160" t="str">
        <f>CONCATENATE(U513,V513,W513,X513,AA513)</f>
        <v>O23011745992024020708016</v>
      </c>
      <c r="AF513" s="160" t="str">
        <f>IFERROR(VLOOKUP(AD513,TD!$J$66:$K$89,2,0)," ")</f>
        <v>PM/0131/0108/45990160207</v>
      </c>
      <c r="AG513" s="118" t="s">
        <v>385</v>
      </c>
      <c r="AH513" s="159" t="s">
        <v>193</v>
      </c>
      <c r="AI513" s="162" t="str">
        <f>CONCATENATE(PAA[[#This Row],[Id Interno]],"-",PAA[[#This Row],[tipo de Contrato (TH talento humano - B/S bienes y/o servicios)]],"-",S513,"-",T513,"-",PAA[[#This Row],[Objeto de la contratación]])</f>
        <v>20260476-TH-8126-9-Prestación de servicios de apoyo a la gestión documental de la Subdirección de Gestión Corporativa de la Unidad.-SGC</v>
      </c>
    </row>
    <row r="514" spans="2:35" ht="70" x14ac:dyDescent="0.35">
      <c r="B514" s="23">
        <v>20260477</v>
      </c>
      <c r="C514" s="99" t="s">
        <v>737</v>
      </c>
      <c r="D514" s="23" t="s">
        <v>105</v>
      </c>
      <c r="E514" s="23" t="s">
        <v>363</v>
      </c>
      <c r="F514" s="156" t="s">
        <v>145</v>
      </c>
      <c r="G514" s="157" t="s">
        <v>373</v>
      </c>
      <c r="H514" s="158">
        <v>11</v>
      </c>
      <c r="I514" s="158">
        <v>0</v>
      </c>
      <c r="J514" s="127">
        <v>30967000</v>
      </c>
      <c r="K514" s="88" t="s">
        <v>398</v>
      </c>
      <c r="L514" s="156" t="s">
        <v>155</v>
      </c>
      <c r="M514" s="159" t="s">
        <v>422</v>
      </c>
      <c r="N514" s="23" t="s">
        <v>197</v>
      </c>
      <c r="O514" s="151" t="s">
        <v>963</v>
      </c>
      <c r="P514" s="156" t="s">
        <v>348</v>
      </c>
      <c r="Q514" s="53" t="s">
        <v>783</v>
      </c>
      <c r="R514" s="159" t="s">
        <v>208</v>
      </c>
      <c r="S514" s="159" t="str">
        <f>MID(PAA[[#This Row],[Meta Proyecto de Inversión]],1,4)</f>
        <v>8126</v>
      </c>
      <c r="T514" s="159" t="str">
        <f>MID(PAA[[#This Row],[Meta Proyecto de Inversión]],6,1)</f>
        <v>9</v>
      </c>
      <c r="U514" s="160" t="str">
        <f>IFERROR(VLOOKUP(N514,TD!$B$50:$F$54,2,0)," ")</f>
        <v>O230117</v>
      </c>
      <c r="V514" s="160" t="str">
        <f>IFERROR(VLOOKUP(N514,TD!$B$50:$F$54,3,0)," ")</f>
        <v>4599</v>
      </c>
      <c r="W514" s="160">
        <f>IFERROR(VLOOKUP(N514,TD!$B$50:$F$54,4,0)," ")</f>
        <v>20240207</v>
      </c>
      <c r="X514" s="159" t="s">
        <v>174</v>
      </c>
      <c r="Y514" s="160" t="str">
        <f>IFERROR(VLOOKUP(X514,TD!$J$51:$K$64,2,0)," ")</f>
        <v>Infraestructura física, mantenimiento y dotación (Sedes construidas, mantenidas reforzadas)</v>
      </c>
      <c r="Z514" s="161" t="str">
        <f>CONCATENATE(X514,"-",Y514)</f>
        <v>08-Infraestructura física, mantenimiento y dotación (Sedes construidas, mantenidas reforzadas)</v>
      </c>
      <c r="AA514" s="159" t="s">
        <v>227</v>
      </c>
      <c r="AB514" s="160" t="str">
        <f>IFERROR(VLOOKUP(AA514,TD!$N$51:$O$66,2,0)," ")</f>
        <v>Sedes mantenidas</v>
      </c>
      <c r="AC514" s="161" t="str">
        <f>CONCATENATE(AA514,"_",AB514)</f>
        <v>016_Sedes mantenidas</v>
      </c>
      <c r="AD514" s="161" t="str">
        <f>CONCATENATE(Z514," ",AC514)</f>
        <v>08-Infraestructura física, mantenimiento y dotación (Sedes construidas, mantenidas reforzadas) 016_Sedes mantenidas</v>
      </c>
      <c r="AE514" s="160" t="str">
        <f>CONCATENATE(U514,V514,W514,X514,AA514)</f>
        <v>O23011745992024020708016</v>
      </c>
      <c r="AF514" s="160" t="str">
        <f>IFERROR(VLOOKUP(AD514,TD!$J$66:$K$89,2,0)," ")</f>
        <v>PM/0131/0108/45990160207</v>
      </c>
      <c r="AG514" s="118" t="s">
        <v>385</v>
      </c>
      <c r="AH514" s="168" t="s">
        <v>193</v>
      </c>
      <c r="AI514" s="162" t="str">
        <f>CONCATENATE(PAA[[#This Row],[Id Interno]],"-",PAA[[#This Row],[tipo de Contrato (TH talento humano - B/S bienes y/o servicios)]],"-",S514,"-",T514,"-",PAA[[#This Row],[Objeto de la contratación]])</f>
        <v>20260477-TH-8126-9-Prestación de servicios de apoyo en las actividades asociadas a los procesos de gestión de inventarios de la Subdirección de Gestión Corporativa.-SGC</v>
      </c>
    </row>
    <row r="515" spans="2:35" ht="56" x14ac:dyDescent="0.35">
      <c r="B515" s="23">
        <v>20260478</v>
      </c>
      <c r="C515" s="99" t="s">
        <v>738</v>
      </c>
      <c r="D515" s="23" t="s">
        <v>105</v>
      </c>
      <c r="E515" s="23" t="s">
        <v>363</v>
      </c>
      <c r="F515" s="156" t="s">
        <v>145</v>
      </c>
      <c r="G515" s="157" t="s">
        <v>373</v>
      </c>
      <c r="H515" s="158">
        <v>11</v>
      </c>
      <c r="I515" s="158">
        <v>0</v>
      </c>
      <c r="J515" s="127">
        <v>47187000</v>
      </c>
      <c r="K515" s="88" t="s">
        <v>398</v>
      </c>
      <c r="L515" s="156" t="s">
        <v>155</v>
      </c>
      <c r="M515" s="159" t="s">
        <v>422</v>
      </c>
      <c r="N515" s="23" t="s">
        <v>197</v>
      </c>
      <c r="O515" s="151" t="s">
        <v>963</v>
      </c>
      <c r="P515" s="156" t="s">
        <v>348</v>
      </c>
      <c r="Q515" s="53" t="s">
        <v>783</v>
      </c>
      <c r="R515" s="159" t="s">
        <v>208</v>
      </c>
      <c r="S515" s="159" t="str">
        <f>MID(PAA[[#This Row],[Meta Proyecto de Inversión]],1,4)</f>
        <v>8126</v>
      </c>
      <c r="T515" s="159" t="str">
        <f>MID(PAA[[#This Row],[Meta Proyecto de Inversión]],6,1)</f>
        <v>9</v>
      </c>
      <c r="U515" s="160" t="str">
        <f>IFERROR(VLOOKUP(N515,TD!$B$50:$F$54,2,0)," ")</f>
        <v>O230117</v>
      </c>
      <c r="V515" s="160" t="str">
        <f>IFERROR(VLOOKUP(N515,TD!$B$50:$F$54,3,0)," ")</f>
        <v>4599</v>
      </c>
      <c r="W515" s="160">
        <f>IFERROR(VLOOKUP(N515,TD!$B$50:$F$54,4,0)," ")</f>
        <v>20240207</v>
      </c>
      <c r="X515" s="159" t="s">
        <v>174</v>
      </c>
      <c r="Y515" s="160" t="str">
        <f>IFERROR(VLOOKUP(X515,TD!$J$51:$K$64,2,0)," ")</f>
        <v>Infraestructura física, mantenimiento y dotación (Sedes construidas, mantenidas reforzadas)</v>
      </c>
      <c r="Z515" s="161" t="str">
        <f>CONCATENATE(X515,"-",Y515)</f>
        <v>08-Infraestructura física, mantenimiento y dotación (Sedes construidas, mantenidas reforzadas)</v>
      </c>
      <c r="AA515" s="159" t="s">
        <v>227</v>
      </c>
      <c r="AB515" s="160" t="str">
        <f>IFERROR(VLOOKUP(AA515,TD!$N$51:$O$66,2,0)," ")</f>
        <v>Sedes mantenidas</v>
      </c>
      <c r="AC515" s="161" t="str">
        <f>CONCATENATE(AA515,"_",AB515)</f>
        <v>016_Sedes mantenidas</v>
      </c>
      <c r="AD515" s="161" t="str">
        <f>CONCATENATE(Z515," ",AC515)</f>
        <v>08-Infraestructura física, mantenimiento y dotación (Sedes construidas, mantenidas reforzadas) 016_Sedes mantenidas</v>
      </c>
      <c r="AE515" s="160" t="str">
        <f>CONCATENATE(U515,V515,W515,X515,AA515)</f>
        <v>O23011745992024020708016</v>
      </c>
      <c r="AF515" s="160" t="str">
        <f>IFERROR(VLOOKUP(AD515,TD!$J$66:$K$89,2,0)," ")</f>
        <v>PM/0131/0108/45990160207</v>
      </c>
      <c r="AG515" s="118" t="s">
        <v>385</v>
      </c>
      <c r="AH515" s="168" t="s">
        <v>193</v>
      </c>
      <c r="AI515" s="162" t="str">
        <f>CONCATENATE(PAA[[#This Row],[Id Interno]],"-",PAA[[#This Row],[tipo de Contrato (TH talento humano - B/S bienes y/o servicios)]],"-",S515,"-",T515,"-",PAA[[#This Row],[Objeto de la contratación]])</f>
        <v>20260478-TH-8126-9-Prestación de servicios de apoyo técnico en la gestión documental de la Subdirección de Gestión Corporativa de la Unidad-SGC</v>
      </c>
    </row>
    <row r="516" spans="2:35" ht="56" x14ac:dyDescent="0.35">
      <c r="B516" s="23">
        <v>20260479</v>
      </c>
      <c r="C516" s="121" t="s">
        <v>688</v>
      </c>
      <c r="D516" s="130" t="s">
        <v>105</v>
      </c>
      <c r="E516" s="130" t="s">
        <v>363</v>
      </c>
      <c r="F516" s="173" t="s">
        <v>145</v>
      </c>
      <c r="G516" s="169" t="s">
        <v>373</v>
      </c>
      <c r="H516" s="239">
        <v>11</v>
      </c>
      <c r="I516" s="158">
        <v>0</v>
      </c>
      <c r="J516" s="132">
        <v>36128000</v>
      </c>
      <c r="K516" s="133" t="s">
        <v>398</v>
      </c>
      <c r="L516" s="173" t="s">
        <v>155</v>
      </c>
      <c r="M516" s="171" t="s">
        <v>422</v>
      </c>
      <c r="N516" s="130" t="s">
        <v>197</v>
      </c>
      <c r="O516" s="151" t="s">
        <v>963</v>
      </c>
      <c r="P516" s="173" t="s">
        <v>348</v>
      </c>
      <c r="Q516" s="134" t="s">
        <v>783</v>
      </c>
      <c r="R516" s="171" t="s">
        <v>208</v>
      </c>
      <c r="S516" s="171" t="str">
        <f>MID(PAA[[#This Row],[Meta Proyecto de Inversión]],1,4)</f>
        <v>8126</v>
      </c>
      <c r="T516" s="171" t="str">
        <f>MID(PAA[[#This Row],[Meta Proyecto de Inversión]],6,1)</f>
        <v>9</v>
      </c>
      <c r="U516" s="174" t="str">
        <f>IFERROR(VLOOKUP(N516,TD!$B$50:$F$54,2,0)," ")</f>
        <v>O230117</v>
      </c>
      <c r="V516" s="174" t="str">
        <f>IFERROR(VLOOKUP(N516,TD!$B$50:$F$54,3,0)," ")</f>
        <v>4599</v>
      </c>
      <c r="W516" s="174">
        <f>IFERROR(VLOOKUP(N516,TD!$B$50:$F$54,4,0)," ")</f>
        <v>20240207</v>
      </c>
      <c r="X516" s="171" t="s">
        <v>174</v>
      </c>
      <c r="Y516" s="160" t="str">
        <f>IFERROR(VLOOKUP(X516,TD!$J$51:$K$64,2,0)," ")</f>
        <v>Infraestructura física, mantenimiento y dotación (Sedes construidas, mantenidas reforzadas)</v>
      </c>
      <c r="Z516" s="172" t="str">
        <f>CONCATENATE(X516,"-",Y516)</f>
        <v>08-Infraestructura física, mantenimiento y dotación (Sedes construidas, mantenidas reforzadas)</v>
      </c>
      <c r="AA516" s="171" t="s">
        <v>227</v>
      </c>
      <c r="AB516" s="160" t="str">
        <f>IFERROR(VLOOKUP(AA516,TD!$N$51:$O$66,2,0)," ")</f>
        <v>Sedes mantenidas</v>
      </c>
      <c r="AC516" s="172" t="str">
        <f>CONCATENATE(AA516,"_",AB516)</f>
        <v>016_Sedes mantenidas</v>
      </c>
      <c r="AD516" s="172" t="str">
        <f>CONCATENATE(Z516," ",AC516)</f>
        <v>08-Infraestructura física, mantenimiento y dotación (Sedes construidas, mantenidas reforzadas) 016_Sedes mantenidas</v>
      </c>
      <c r="AE516" s="174" t="str">
        <f>CONCATENATE(U516,V516,W516,X516,AA516)</f>
        <v>O23011745992024020708016</v>
      </c>
      <c r="AF516" s="160" t="str">
        <f>IFERROR(VLOOKUP(AD516,TD!$J$66:$K$89,2,0)," ")</f>
        <v>PM/0131/0108/45990160207</v>
      </c>
      <c r="AG516" s="135" t="s">
        <v>385</v>
      </c>
      <c r="AH516" s="176" t="s">
        <v>193</v>
      </c>
      <c r="AI516" s="162" t="str">
        <f>CONCATENATE(PAA[[#This Row],[Id Interno]],"-",PAA[[#This Row],[tipo de Contrato (TH talento humano - B/S bienes y/o servicios)]],"-",S516,"-",T516,"-",PAA[[#This Row],[Objeto de la contratación]])</f>
        <v>20260479-TH-8126-9-Prestación de servicios de apoyo a la gestión en la ejecución de los planes y programas de servicio al ciudadano a cargo de la Subdirección de Gestión Corporativa.-SGC</v>
      </c>
    </row>
    <row r="517" spans="2:35" ht="70" x14ac:dyDescent="0.35">
      <c r="B517" s="23">
        <v>20260480</v>
      </c>
      <c r="C517" s="121" t="s">
        <v>688</v>
      </c>
      <c r="D517" s="130" t="s">
        <v>105</v>
      </c>
      <c r="E517" s="130" t="s">
        <v>363</v>
      </c>
      <c r="F517" s="173" t="s">
        <v>145</v>
      </c>
      <c r="G517" s="169" t="s">
        <v>373</v>
      </c>
      <c r="H517" s="239">
        <v>11</v>
      </c>
      <c r="I517" s="158">
        <v>0</v>
      </c>
      <c r="J517" s="132">
        <v>36128000</v>
      </c>
      <c r="K517" s="133" t="s">
        <v>398</v>
      </c>
      <c r="L517" s="173" t="s">
        <v>155</v>
      </c>
      <c r="M517" s="171" t="s">
        <v>422</v>
      </c>
      <c r="N517" s="130" t="s">
        <v>197</v>
      </c>
      <c r="O517" s="151" t="s">
        <v>963</v>
      </c>
      <c r="P517" s="173" t="s">
        <v>348</v>
      </c>
      <c r="Q517" s="134" t="s">
        <v>783</v>
      </c>
      <c r="R517" s="171" t="s">
        <v>208</v>
      </c>
      <c r="S517" s="171" t="str">
        <f>MID(PAA[[#This Row],[Meta Proyecto de Inversión]],1,4)</f>
        <v>8126</v>
      </c>
      <c r="T517" s="171" t="str">
        <f>MID(PAA[[#This Row],[Meta Proyecto de Inversión]],6,1)</f>
        <v>9</v>
      </c>
      <c r="U517" s="174" t="str">
        <f>IFERROR(VLOOKUP(N517,TD!$B$50:$F$54,2,0)," ")</f>
        <v>O230117</v>
      </c>
      <c r="V517" s="174" t="str">
        <f>IFERROR(VLOOKUP(N517,TD!$B$50:$F$54,3,0)," ")</f>
        <v>4599</v>
      </c>
      <c r="W517" s="174">
        <f>IFERROR(VLOOKUP(N517,TD!$B$50:$F$54,4,0)," ")</f>
        <v>20240207</v>
      </c>
      <c r="X517" s="171" t="s">
        <v>174</v>
      </c>
      <c r="Y517" s="160" t="str">
        <f>IFERROR(VLOOKUP(X517,TD!$J$51:$K$64,2,0)," ")</f>
        <v>Infraestructura física, mantenimiento y dotación (Sedes construidas, mantenidas reforzadas)</v>
      </c>
      <c r="Z517" s="172" t="str">
        <f>CONCATENATE(X517,"-",Y517)</f>
        <v>08-Infraestructura física, mantenimiento y dotación (Sedes construidas, mantenidas reforzadas)</v>
      </c>
      <c r="AA517" s="171" t="s">
        <v>227</v>
      </c>
      <c r="AB517" s="160" t="str">
        <f>IFERROR(VLOOKUP(AA517,TD!$N$51:$O$66,2,0)," ")</f>
        <v>Sedes mantenidas</v>
      </c>
      <c r="AC517" s="172" t="str">
        <f>CONCATENATE(AA517,"_",AB517)</f>
        <v>016_Sedes mantenidas</v>
      </c>
      <c r="AD517" s="172" t="str">
        <f>CONCATENATE(Z517," ",AC517)</f>
        <v>08-Infraestructura física, mantenimiento y dotación (Sedes construidas, mantenidas reforzadas) 016_Sedes mantenidas</v>
      </c>
      <c r="AE517" s="174" t="str">
        <f>CONCATENATE(U517,V517,W517,X517,AA517)</f>
        <v>O23011745992024020708016</v>
      </c>
      <c r="AF517" s="160" t="str">
        <f>IFERROR(VLOOKUP(AD517,TD!$J$66:$K$89,2,0)," ")</f>
        <v>PM/0131/0108/45990160207</v>
      </c>
      <c r="AG517" s="135" t="s">
        <v>385</v>
      </c>
      <c r="AH517" s="159" t="s">
        <v>193</v>
      </c>
      <c r="AI517" s="162" t="str">
        <f>CONCATENATE(PAA[[#This Row],[Id Interno]],"-",PAA[[#This Row],[tipo de Contrato (TH talento humano - B/S bienes y/o servicios)]],"-",S517,"-",T517,"-",PAA[[#This Row],[Objeto de la contratación]])</f>
        <v>20260480-TH-8126-9-Prestación de servicios de apoyo a la gestión en la ejecución de los planes y programas de servicio al ciudadano a cargo de la Subdirección de Gestión Corporativa.-SGC</v>
      </c>
    </row>
    <row r="518" spans="2:35" ht="56" x14ac:dyDescent="0.35">
      <c r="B518" s="23">
        <v>20260481</v>
      </c>
      <c r="C518" s="99" t="s">
        <v>688</v>
      </c>
      <c r="D518" s="23" t="s">
        <v>105</v>
      </c>
      <c r="E518" s="23" t="s">
        <v>363</v>
      </c>
      <c r="F518" s="156" t="s">
        <v>145</v>
      </c>
      <c r="G518" s="157" t="s">
        <v>373</v>
      </c>
      <c r="H518" s="158">
        <v>11</v>
      </c>
      <c r="I518" s="158">
        <v>0</v>
      </c>
      <c r="J518" s="127">
        <v>36128000</v>
      </c>
      <c r="K518" s="88" t="s">
        <v>398</v>
      </c>
      <c r="L518" s="156" t="s">
        <v>155</v>
      </c>
      <c r="M518" s="159" t="s">
        <v>422</v>
      </c>
      <c r="N518" s="23" t="s">
        <v>197</v>
      </c>
      <c r="O518" s="151" t="s">
        <v>963</v>
      </c>
      <c r="P518" s="157" t="s">
        <v>348</v>
      </c>
      <c r="Q518" s="53" t="s">
        <v>783</v>
      </c>
      <c r="R518" s="159" t="s">
        <v>208</v>
      </c>
      <c r="S518" s="159" t="str">
        <f>MID(PAA[[#This Row],[Meta Proyecto de Inversión]],1,4)</f>
        <v>8126</v>
      </c>
      <c r="T518" s="159" t="str">
        <f>MID(PAA[[#This Row],[Meta Proyecto de Inversión]],6,1)</f>
        <v>9</v>
      </c>
      <c r="U518" s="160" t="str">
        <f>IFERROR(VLOOKUP(N518,TD!$B$50:$F$54,2,0)," ")</f>
        <v>O230117</v>
      </c>
      <c r="V518" s="160" t="str">
        <f>IFERROR(VLOOKUP(N518,TD!$B$50:$F$54,3,0)," ")</f>
        <v>4599</v>
      </c>
      <c r="W518" s="160">
        <f>IFERROR(VLOOKUP(N518,TD!$B$50:$F$54,4,0)," ")</f>
        <v>20240207</v>
      </c>
      <c r="X518" s="159" t="s">
        <v>174</v>
      </c>
      <c r="Y518" s="160" t="str">
        <f>IFERROR(VLOOKUP(X518,TD!$J$51:$K$64,2,0)," ")</f>
        <v>Infraestructura física, mantenimiento y dotación (Sedes construidas, mantenidas reforzadas)</v>
      </c>
      <c r="Z518" s="161" t="str">
        <f>CONCATENATE(X518,"-",Y518)</f>
        <v>08-Infraestructura física, mantenimiento y dotación (Sedes construidas, mantenidas reforzadas)</v>
      </c>
      <c r="AA518" s="159" t="s">
        <v>227</v>
      </c>
      <c r="AB518" s="160" t="str">
        <f>IFERROR(VLOOKUP(AA518,TD!$N$51:$O$66,2,0)," ")</f>
        <v>Sedes mantenidas</v>
      </c>
      <c r="AC518" s="161" t="str">
        <f>CONCATENATE(AA518,"_",AB518)</f>
        <v>016_Sedes mantenidas</v>
      </c>
      <c r="AD518" s="161" t="str">
        <f>CONCATENATE(Z518," ",AC518)</f>
        <v>08-Infraestructura física, mantenimiento y dotación (Sedes construidas, mantenidas reforzadas) 016_Sedes mantenidas</v>
      </c>
      <c r="AE518" s="160" t="str">
        <f>CONCATENATE(U518,V518,W518,X518,AA518)</f>
        <v>O23011745992024020708016</v>
      </c>
      <c r="AF518" s="160" t="str">
        <f>IFERROR(VLOOKUP(AD518,TD!$J$66:$K$89,2,0)," ")</f>
        <v>PM/0131/0108/45990160207</v>
      </c>
      <c r="AG518" s="118" t="s">
        <v>385</v>
      </c>
      <c r="AH518" s="168" t="s">
        <v>193</v>
      </c>
      <c r="AI518" s="162" t="str">
        <f>CONCATENATE(PAA[[#This Row],[Id Interno]],"-",PAA[[#This Row],[tipo de Contrato (TH talento humano - B/S bienes y/o servicios)]],"-",S518,"-",T518,"-",PAA[[#This Row],[Objeto de la contratación]])</f>
        <v>20260481-TH-8126-9-Prestación de servicios de apoyo a la gestión en la ejecución de los planes y programas de servicio al ciudadano a cargo de la Subdirección de Gestión Corporativa.-SGC</v>
      </c>
    </row>
    <row r="519" spans="2:35" ht="42" x14ac:dyDescent="0.35">
      <c r="B519" s="23">
        <v>20260482</v>
      </c>
      <c r="C519" s="99" t="s">
        <v>688</v>
      </c>
      <c r="D519" s="23" t="s">
        <v>105</v>
      </c>
      <c r="E519" s="23" t="s">
        <v>363</v>
      </c>
      <c r="F519" s="156" t="s">
        <v>145</v>
      </c>
      <c r="G519" s="157" t="s">
        <v>373</v>
      </c>
      <c r="H519" s="158">
        <v>11</v>
      </c>
      <c r="I519" s="158">
        <v>0</v>
      </c>
      <c r="J519" s="127">
        <v>36128000</v>
      </c>
      <c r="K519" s="88" t="s">
        <v>398</v>
      </c>
      <c r="L519" s="156" t="s">
        <v>155</v>
      </c>
      <c r="M519" s="159" t="s">
        <v>422</v>
      </c>
      <c r="N519" s="23" t="s">
        <v>197</v>
      </c>
      <c r="O519" s="151" t="s">
        <v>963</v>
      </c>
      <c r="P519" s="156" t="s">
        <v>348</v>
      </c>
      <c r="Q519" s="53" t="s">
        <v>783</v>
      </c>
      <c r="R519" s="159" t="s">
        <v>208</v>
      </c>
      <c r="S519" s="159" t="str">
        <f>MID(PAA[[#This Row],[Meta Proyecto de Inversión]],1,4)</f>
        <v>8126</v>
      </c>
      <c r="T519" s="159" t="str">
        <f>MID(PAA[[#This Row],[Meta Proyecto de Inversión]],6,1)</f>
        <v>9</v>
      </c>
      <c r="U519" s="160" t="str">
        <f>IFERROR(VLOOKUP(N519,TD!$B$50:$F$54,2,0)," ")</f>
        <v>O230117</v>
      </c>
      <c r="V519" s="160" t="str">
        <f>IFERROR(VLOOKUP(N519,TD!$B$50:$F$54,3,0)," ")</f>
        <v>4599</v>
      </c>
      <c r="W519" s="160">
        <f>IFERROR(VLOOKUP(N519,TD!$B$50:$F$54,4,0)," ")</f>
        <v>20240207</v>
      </c>
      <c r="X519" s="159" t="s">
        <v>174</v>
      </c>
      <c r="Y519" s="160" t="str">
        <f>IFERROR(VLOOKUP(X519,TD!$J$51:$K$64,2,0)," ")</f>
        <v>Infraestructura física, mantenimiento y dotación (Sedes construidas, mantenidas reforzadas)</v>
      </c>
      <c r="Z519" s="161" t="str">
        <f>CONCATENATE(X519,"-",Y519)</f>
        <v>08-Infraestructura física, mantenimiento y dotación (Sedes construidas, mantenidas reforzadas)</v>
      </c>
      <c r="AA519" s="159" t="s">
        <v>227</v>
      </c>
      <c r="AB519" s="160" t="str">
        <f>IFERROR(VLOOKUP(AA519,TD!$N$51:$O$66,2,0)," ")</f>
        <v>Sedes mantenidas</v>
      </c>
      <c r="AC519" s="161" t="str">
        <f>CONCATENATE(AA519,"_",AB519)</f>
        <v>016_Sedes mantenidas</v>
      </c>
      <c r="AD519" s="161" t="str">
        <f>CONCATENATE(Z519," ",AC519)</f>
        <v>08-Infraestructura física, mantenimiento y dotación (Sedes construidas, mantenidas reforzadas) 016_Sedes mantenidas</v>
      </c>
      <c r="AE519" s="160" t="str">
        <f>CONCATENATE(U519,V519,W519,X519,AA519)</f>
        <v>O23011745992024020708016</v>
      </c>
      <c r="AF519" s="160" t="str">
        <f>IFERROR(VLOOKUP(AD519,TD!$J$66:$K$89,2,0)," ")</f>
        <v>PM/0131/0108/45990160207</v>
      </c>
      <c r="AG519" s="118" t="s">
        <v>385</v>
      </c>
      <c r="AH519" s="168" t="s">
        <v>193</v>
      </c>
      <c r="AI519" s="162" t="str">
        <f>CONCATENATE(PAA[[#This Row],[Id Interno]],"-",PAA[[#This Row],[tipo de Contrato (TH talento humano - B/S bienes y/o servicios)]],"-",S519,"-",T519,"-",PAA[[#This Row],[Objeto de la contratación]])</f>
        <v>20260482-TH-8126-9-Prestación de servicios de apoyo a la gestión en la ejecución de los planes y programas de servicio al ciudadano a cargo de la Subdirección de Gestión Corporativa.-SGC</v>
      </c>
    </row>
    <row r="520" spans="2:35" ht="42" x14ac:dyDescent="0.35">
      <c r="B520" s="23">
        <v>20260483</v>
      </c>
      <c r="C520" s="99" t="s">
        <v>715</v>
      </c>
      <c r="D520" s="23" t="s">
        <v>105</v>
      </c>
      <c r="E520" s="23" t="s">
        <v>363</v>
      </c>
      <c r="F520" s="156" t="s">
        <v>145</v>
      </c>
      <c r="G520" s="157" t="s">
        <v>373</v>
      </c>
      <c r="H520" s="158">
        <v>11</v>
      </c>
      <c r="I520" s="158">
        <v>0</v>
      </c>
      <c r="J520" s="127">
        <v>36128000</v>
      </c>
      <c r="K520" s="88" t="s">
        <v>398</v>
      </c>
      <c r="L520" s="156" t="s">
        <v>155</v>
      </c>
      <c r="M520" s="159" t="s">
        <v>422</v>
      </c>
      <c r="N520" s="23" t="s">
        <v>197</v>
      </c>
      <c r="O520" s="151" t="s">
        <v>963</v>
      </c>
      <c r="P520" s="156" t="s">
        <v>348</v>
      </c>
      <c r="Q520" s="100" t="s">
        <v>783</v>
      </c>
      <c r="R520" s="159" t="s">
        <v>207</v>
      </c>
      <c r="S520" s="159" t="str">
        <f>MID(PAA[[#This Row],[Meta Proyecto de Inversión]],1,4)</f>
        <v>8126</v>
      </c>
      <c r="T520" s="159" t="str">
        <f>MID(PAA[[#This Row],[Meta Proyecto de Inversión]],6,1)</f>
        <v>8</v>
      </c>
      <c r="U520" s="160" t="str">
        <f>IFERROR(VLOOKUP(N520,TD!$B$50:$F$54,2,0)," ")</f>
        <v>O230117</v>
      </c>
      <c r="V520" s="160" t="str">
        <f>IFERROR(VLOOKUP(N520,TD!$B$50:$F$54,3,0)," ")</f>
        <v>4599</v>
      </c>
      <c r="W520" s="160">
        <f>IFERROR(VLOOKUP(N520,TD!$B$50:$F$54,4,0)," ")</f>
        <v>20240207</v>
      </c>
      <c r="X520" s="159" t="s">
        <v>174</v>
      </c>
      <c r="Y520" s="160" t="str">
        <f>IFERROR(VLOOKUP(X520,TD!$J$51:$K$64,2,0)," ")</f>
        <v>Infraestructura física, mantenimiento y dotación (Sedes construidas, mantenidas reforzadas)</v>
      </c>
      <c r="Z520" s="161" t="str">
        <f>CONCATENATE(X520,"-",Y520)</f>
        <v>08-Infraestructura física, mantenimiento y dotación (Sedes construidas, mantenidas reforzadas)</v>
      </c>
      <c r="AA520" s="159" t="s">
        <v>227</v>
      </c>
      <c r="AB520" s="160" t="str">
        <f>IFERROR(VLOOKUP(AA520,TD!$N$51:$O$66,2,0)," ")</f>
        <v>Sedes mantenidas</v>
      </c>
      <c r="AC520" s="161" t="str">
        <f>CONCATENATE(AA520,"_",AB520)</f>
        <v>016_Sedes mantenidas</v>
      </c>
      <c r="AD520" s="161" t="str">
        <f>CONCATENATE(Z520," ",AC520)</f>
        <v>08-Infraestructura física, mantenimiento y dotación (Sedes construidas, mantenidas reforzadas) 016_Sedes mantenidas</v>
      </c>
      <c r="AE520" s="160" t="str">
        <f>CONCATENATE(U520,V520,W520,X520,AA520)</f>
        <v>O23011745992024020708016</v>
      </c>
      <c r="AF520" s="160" t="str">
        <f>IFERROR(VLOOKUP(AD520,TD!$J$66:$K$89,2,0)," ")</f>
        <v>PM/0131/0108/45990160207</v>
      </c>
      <c r="AG520" s="118" t="s">
        <v>385</v>
      </c>
      <c r="AH520" s="168" t="s">
        <v>193</v>
      </c>
      <c r="AI520" s="162" t="str">
        <f>CONCATENATE(PAA[[#This Row],[Id Interno]],"-",PAA[[#This Row],[tipo de Contrato (TH talento humano - B/S bienes y/o servicios)]],"-",S520,"-",T520,"-",PAA[[#This Row],[Objeto de la contratación]])</f>
        <v>20260483-TH-8126-8-Prestación de servicios de apoyo a la gestión, en la Subdirección de Gestión Corporativa en temas de infraestructura para el sostenimiento y mejoramiento de los equipamientos de la Unidad Administrativa Especial Cuerpo Oficial de Bomberos de Bogotá-SGC</v>
      </c>
    </row>
    <row r="521" spans="2:35" ht="56" x14ac:dyDescent="0.35">
      <c r="B521" s="23">
        <v>20260484</v>
      </c>
      <c r="C521" s="99" t="s">
        <v>715</v>
      </c>
      <c r="D521" s="23" t="s">
        <v>105</v>
      </c>
      <c r="E521" s="23" t="s">
        <v>363</v>
      </c>
      <c r="F521" s="156" t="s">
        <v>145</v>
      </c>
      <c r="G521" s="157" t="s">
        <v>373</v>
      </c>
      <c r="H521" s="158">
        <v>11</v>
      </c>
      <c r="I521" s="158">
        <v>0</v>
      </c>
      <c r="J521" s="127">
        <v>36128000</v>
      </c>
      <c r="K521" s="88" t="s">
        <v>398</v>
      </c>
      <c r="L521" s="156" t="s">
        <v>155</v>
      </c>
      <c r="M521" s="159" t="s">
        <v>422</v>
      </c>
      <c r="N521" s="23" t="s">
        <v>197</v>
      </c>
      <c r="O521" s="151" t="s">
        <v>963</v>
      </c>
      <c r="P521" s="156" t="s">
        <v>348</v>
      </c>
      <c r="Q521" s="53" t="s">
        <v>783</v>
      </c>
      <c r="R521" s="159" t="s">
        <v>207</v>
      </c>
      <c r="S521" s="159" t="str">
        <f>MID(PAA[[#This Row],[Meta Proyecto de Inversión]],1,4)</f>
        <v>8126</v>
      </c>
      <c r="T521" s="159" t="str">
        <f>MID(PAA[[#This Row],[Meta Proyecto de Inversión]],6,1)</f>
        <v>8</v>
      </c>
      <c r="U521" s="160" t="str">
        <f>IFERROR(VLOOKUP(N521,TD!$B$50:$F$54,2,0)," ")</f>
        <v>O230117</v>
      </c>
      <c r="V521" s="160" t="str">
        <f>IFERROR(VLOOKUP(N521,TD!$B$50:$F$54,3,0)," ")</f>
        <v>4599</v>
      </c>
      <c r="W521" s="160">
        <f>IFERROR(VLOOKUP(N521,TD!$B$50:$F$54,4,0)," ")</f>
        <v>20240207</v>
      </c>
      <c r="X521" s="159" t="s">
        <v>174</v>
      </c>
      <c r="Y521" s="160" t="str">
        <f>IFERROR(VLOOKUP(X521,TD!$J$51:$K$64,2,0)," ")</f>
        <v>Infraestructura física, mantenimiento y dotación (Sedes construidas, mantenidas reforzadas)</v>
      </c>
      <c r="Z521" s="161" t="str">
        <f>CONCATENATE(X521,"-",Y521)</f>
        <v>08-Infraestructura física, mantenimiento y dotación (Sedes construidas, mantenidas reforzadas)</v>
      </c>
      <c r="AA521" s="159" t="s">
        <v>227</v>
      </c>
      <c r="AB521" s="160" t="str">
        <f>IFERROR(VLOOKUP(AA521,TD!$N$51:$O$66,2,0)," ")</f>
        <v>Sedes mantenidas</v>
      </c>
      <c r="AC521" s="161" t="str">
        <f>CONCATENATE(AA521,"_",AB521)</f>
        <v>016_Sedes mantenidas</v>
      </c>
      <c r="AD521" s="161" t="str">
        <f>CONCATENATE(Z521," ",AC521)</f>
        <v>08-Infraestructura física, mantenimiento y dotación (Sedes construidas, mantenidas reforzadas) 016_Sedes mantenidas</v>
      </c>
      <c r="AE521" s="160" t="str">
        <f>CONCATENATE(U521,V521,W521,X521,AA521)</f>
        <v>O23011745992024020708016</v>
      </c>
      <c r="AF521" s="160" t="str">
        <f>IFERROR(VLOOKUP(AD521,TD!$J$66:$K$89,2,0)," ")</f>
        <v>PM/0131/0108/45990160207</v>
      </c>
      <c r="AG521" s="118" t="s">
        <v>385</v>
      </c>
      <c r="AH521" s="168" t="s">
        <v>193</v>
      </c>
      <c r="AI521" s="162" t="str">
        <f>CONCATENATE(PAA[[#This Row],[Id Interno]],"-",PAA[[#This Row],[tipo de Contrato (TH talento humano - B/S bienes y/o servicios)]],"-",S521,"-",T521,"-",PAA[[#This Row],[Objeto de la contratación]])</f>
        <v>20260484-TH-8126-8-Prestación de servicios de apoyo a la gestión, en la Subdirección de Gestión Corporativa en temas de infraestructura para el sostenimiento y mejoramiento de los equipamientos de la Unidad Administrativa Especial Cuerpo Oficial de Bomberos de Bogotá-SGC</v>
      </c>
    </row>
    <row r="522" spans="2:35" ht="42" x14ac:dyDescent="0.35">
      <c r="B522" s="23">
        <v>20260485</v>
      </c>
      <c r="C522" s="99" t="s">
        <v>715</v>
      </c>
      <c r="D522" s="23" t="s">
        <v>105</v>
      </c>
      <c r="E522" s="23" t="s">
        <v>363</v>
      </c>
      <c r="F522" s="156" t="s">
        <v>145</v>
      </c>
      <c r="G522" s="157" t="s">
        <v>373</v>
      </c>
      <c r="H522" s="158">
        <v>11</v>
      </c>
      <c r="I522" s="158">
        <v>0</v>
      </c>
      <c r="J522" s="127">
        <v>36128000</v>
      </c>
      <c r="K522" s="88" t="s">
        <v>398</v>
      </c>
      <c r="L522" s="156" t="s">
        <v>155</v>
      </c>
      <c r="M522" s="159" t="s">
        <v>422</v>
      </c>
      <c r="N522" s="23" t="s">
        <v>197</v>
      </c>
      <c r="O522" s="151" t="s">
        <v>963</v>
      </c>
      <c r="P522" s="156" t="s">
        <v>348</v>
      </c>
      <c r="Q522" s="53" t="s">
        <v>783</v>
      </c>
      <c r="R522" s="159" t="s">
        <v>207</v>
      </c>
      <c r="S522" s="159" t="str">
        <f>MID(PAA[[#This Row],[Meta Proyecto de Inversión]],1,4)</f>
        <v>8126</v>
      </c>
      <c r="T522" s="159" t="str">
        <f>MID(PAA[[#This Row],[Meta Proyecto de Inversión]],6,1)</f>
        <v>8</v>
      </c>
      <c r="U522" s="160" t="str">
        <f>IFERROR(VLOOKUP(N522,TD!$B$50:$F$54,2,0)," ")</f>
        <v>O230117</v>
      </c>
      <c r="V522" s="160" t="str">
        <f>IFERROR(VLOOKUP(N522,TD!$B$50:$F$54,3,0)," ")</f>
        <v>4599</v>
      </c>
      <c r="W522" s="160">
        <f>IFERROR(VLOOKUP(N522,TD!$B$50:$F$54,4,0)," ")</f>
        <v>20240207</v>
      </c>
      <c r="X522" s="159" t="s">
        <v>174</v>
      </c>
      <c r="Y522" s="160" t="str">
        <f>IFERROR(VLOOKUP(X522,TD!$J$51:$K$64,2,0)," ")</f>
        <v>Infraestructura física, mantenimiento y dotación (Sedes construidas, mantenidas reforzadas)</v>
      </c>
      <c r="Z522" s="161" t="str">
        <f>CONCATENATE(X522,"-",Y522)</f>
        <v>08-Infraestructura física, mantenimiento y dotación (Sedes construidas, mantenidas reforzadas)</v>
      </c>
      <c r="AA522" s="159" t="s">
        <v>227</v>
      </c>
      <c r="AB522" s="160" t="str">
        <f>IFERROR(VLOOKUP(AA522,TD!$N$51:$O$66,2,0)," ")</f>
        <v>Sedes mantenidas</v>
      </c>
      <c r="AC522" s="161" t="str">
        <f>CONCATENATE(AA522,"_",AB522)</f>
        <v>016_Sedes mantenidas</v>
      </c>
      <c r="AD522" s="161" t="str">
        <f>CONCATENATE(Z522," ",AC522)</f>
        <v>08-Infraestructura física, mantenimiento y dotación (Sedes construidas, mantenidas reforzadas) 016_Sedes mantenidas</v>
      </c>
      <c r="AE522" s="160" t="str">
        <f>CONCATENATE(U522,V522,W522,X522,AA522)</f>
        <v>O23011745992024020708016</v>
      </c>
      <c r="AF522" s="160" t="str">
        <f>IFERROR(VLOOKUP(AD522,TD!$J$66:$K$89,2,0)," ")</f>
        <v>PM/0131/0108/45990160207</v>
      </c>
      <c r="AG522" s="118" t="s">
        <v>385</v>
      </c>
      <c r="AH522" s="168" t="s">
        <v>193</v>
      </c>
      <c r="AI522" s="162" t="str">
        <f>CONCATENATE(PAA[[#This Row],[Id Interno]],"-",PAA[[#This Row],[tipo de Contrato (TH talento humano - B/S bienes y/o servicios)]],"-",S522,"-",T522,"-",PAA[[#This Row],[Objeto de la contratación]])</f>
        <v>20260485-TH-8126-8-Prestación de servicios de apoyo a la gestión, en la Subdirección de Gestión Corporativa en temas de infraestructura para el sostenimiento y mejoramiento de los equipamientos de la Unidad Administrativa Especial Cuerpo Oficial de Bomberos de Bogotá-SGC</v>
      </c>
    </row>
    <row r="523" spans="2:35" ht="56" x14ac:dyDescent="0.35">
      <c r="B523" s="23">
        <v>20260486</v>
      </c>
      <c r="C523" s="99" t="s">
        <v>739</v>
      </c>
      <c r="D523" s="23" t="s">
        <v>105</v>
      </c>
      <c r="E523" s="23" t="s">
        <v>363</v>
      </c>
      <c r="F523" s="156" t="s">
        <v>144</v>
      </c>
      <c r="G523" s="157" t="s">
        <v>373</v>
      </c>
      <c r="H523" s="158">
        <v>11</v>
      </c>
      <c r="I523" s="158">
        <v>0</v>
      </c>
      <c r="J523" s="127">
        <v>100273000</v>
      </c>
      <c r="K523" s="88" t="s">
        <v>398</v>
      </c>
      <c r="L523" s="156" t="s">
        <v>155</v>
      </c>
      <c r="M523" s="159" t="s">
        <v>422</v>
      </c>
      <c r="N523" s="23" t="s">
        <v>197</v>
      </c>
      <c r="O523" s="151" t="s">
        <v>963</v>
      </c>
      <c r="P523" s="156" t="s">
        <v>348</v>
      </c>
      <c r="Q523" s="53" t="s">
        <v>783</v>
      </c>
      <c r="R523" s="159" t="s">
        <v>208</v>
      </c>
      <c r="S523" s="159" t="str">
        <f>MID(PAA[[#This Row],[Meta Proyecto de Inversión]],1,4)</f>
        <v>8126</v>
      </c>
      <c r="T523" s="159" t="str">
        <f>MID(PAA[[#This Row],[Meta Proyecto de Inversión]],6,1)</f>
        <v>9</v>
      </c>
      <c r="U523" s="160" t="str">
        <f>IFERROR(VLOOKUP(N523,TD!$B$50:$F$54,2,0)," ")</f>
        <v>O230117</v>
      </c>
      <c r="V523" s="160" t="str">
        <f>IFERROR(VLOOKUP(N523,TD!$B$50:$F$54,3,0)," ")</f>
        <v>4599</v>
      </c>
      <c r="W523" s="160">
        <f>IFERROR(VLOOKUP(N523,TD!$B$50:$F$54,4,0)," ")</f>
        <v>20240207</v>
      </c>
      <c r="X523" s="159" t="s">
        <v>174</v>
      </c>
      <c r="Y523" s="160" t="str">
        <f>IFERROR(VLOOKUP(X523,TD!$J$51:$K$64,2,0)," ")</f>
        <v>Infraestructura física, mantenimiento y dotación (Sedes construidas, mantenidas reforzadas)</v>
      </c>
      <c r="Z523" s="161" t="str">
        <f>CONCATENATE(X523,"-",Y523)</f>
        <v>08-Infraestructura física, mantenimiento y dotación (Sedes construidas, mantenidas reforzadas)</v>
      </c>
      <c r="AA523" s="159" t="s">
        <v>227</v>
      </c>
      <c r="AB523" s="160" t="str">
        <f>IFERROR(VLOOKUP(AA523,TD!$N$51:$O$66,2,0)," ")</f>
        <v>Sedes mantenidas</v>
      </c>
      <c r="AC523" s="161" t="str">
        <f>CONCATENATE(AA523,"_",AB523)</f>
        <v>016_Sedes mantenidas</v>
      </c>
      <c r="AD523" s="161" t="str">
        <f>CONCATENATE(Z523," ",AC523)</f>
        <v>08-Infraestructura física, mantenimiento y dotación (Sedes construidas, mantenidas reforzadas) 016_Sedes mantenidas</v>
      </c>
      <c r="AE523" s="160" t="str">
        <f>CONCATENATE(U523,V523,W523,X523,AA523)</f>
        <v>O23011745992024020708016</v>
      </c>
      <c r="AF523" s="160" t="str">
        <f>IFERROR(VLOOKUP(AD523,TD!$J$66:$K$89,2,0)," ")</f>
        <v>PM/0131/0108/45990160207</v>
      </c>
      <c r="AG523" s="118" t="s">
        <v>385</v>
      </c>
      <c r="AH523" s="168" t="s">
        <v>193</v>
      </c>
      <c r="AI523" s="162" t="str">
        <f>CONCATENATE(PAA[[#This Row],[Id Interno]],"-",PAA[[#This Row],[tipo de Contrato (TH talento humano - B/S bienes y/o servicios)]],"-",S523,"-",T523,"-",PAA[[#This Row],[Objeto de la contratación]])</f>
        <v>20260486-TH-8126-9-Prestar los servicios profesionales para el acompañamiento y seguimiento de los planes y proyectos del area de inventarios de la Subdireccion de Gestión Corporativa-SGC</v>
      </c>
    </row>
    <row r="524" spans="2:35" ht="42" x14ac:dyDescent="0.35">
      <c r="B524" s="23">
        <v>20260487</v>
      </c>
      <c r="C524" s="99" t="s">
        <v>740</v>
      </c>
      <c r="D524" s="23" t="s">
        <v>105</v>
      </c>
      <c r="E524" s="23" t="s">
        <v>363</v>
      </c>
      <c r="F524" s="156" t="s">
        <v>144</v>
      </c>
      <c r="G524" s="157" t="s">
        <v>373</v>
      </c>
      <c r="H524" s="158">
        <v>11</v>
      </c>
      <c r="I524" s="158">
        <v>0</v>
      </c>
      <c r="J524" s="127">
        <v>56772000</v>
      </c>
      <c r="K524" s="88" t="s">
        <v>398</v>
      </c>
      <c r="L524" s="156" t="s">
        <v>155</v>
      </c>
      <c r="M524" s="159" t="s">
        <v>422</v>
      </c>
      <c r="N524" s="23" t="s">
        <v>197</v>
      </c>
      <c r="O524" s="151" t="s">
        <v>963</v>
      </c>
      <c r="P524" s="156" t="s">
        <v>348</v>
      </c>
      <c r="Q524" s="53" t="s">
        <v>783</v>
      </c>
      <c r="R524" s="159" t="s">
        <v>208</v>
      </c>
      <c r="S524" s="159" t="str">
        <f>MID(PAA[[#This Row],[Meta Proyecto de Inversión]],1,4)</f>
        <v>8126</v>
      </c>
      <c r="T524" s="159" t="str">
        <f>MID(PAA[[#This Row],[Meta Proyecto de Inversión]],6,1)</f>
        <v>9</v>
      </c>
      <c r="U524" s="160" t="str">
        <f>IFERROR(VLOOKUP(N524,TD!$B$50:$F$54,2,0)," ")</f>
        <v>O230117</v>
      </c>
      <c r="V524" s="160" t="str">
        <f>IFERROR(VLOOKUP(N524,TD!$B$50:$F$54,3,0)," ")</f>
        <v>4599</v>
      </c>
      <c r="W524" s="160">
        <f>IFERROR(VLOOKUP(N524,TD!$B$50:$F$54,4,0)," ")</f>
        <v>20240207</v>
      </c>
      <c r="X524" s="159" t="s">
        <v>174</v>
      </c>
      <c r="Y524" s="160" t="str">
        <f>IFERROR(VLOOKUP(X524,TD!$J$51:$K$64,2,0)," ")</f>
        <v>Infraestructura física, mantenimiento y dotación (Sedes construidas, mantenidas reforzadas)</v>
      </c>
      <c r="Z524" s="161" t="str">
        <f>CONCATENATE(X524,"-",Y524)</f>
        <v>08-Infraestructura física, mantenimiento y dotación (Sedes construidas, mantenidas reforzadas)</v>
      </c>
      <c r="AA524" s="159" t="s">
        <v>227</v>
      </c>
      <c r="AB524" s="160" t="str">
        <f>IFERROR(VLOOKUP(AA524,TD!$N$51:$O$66,2,0)," ")</f>
        <v>Sedes mantenidas</v>
      </c>
      <c r="AC524" s="161" t="str">
        <f>CONCATENATE(AA524,"_",AB524)</f>
        <v>016_Sedes mantenidas</v>
      </c>
      <c r="AD524" s="161" t="str">
        <f>CONCATENATE(Z524," ",AC524)</f>
        <v>08-Infraestructura física, mantenimiento y dotación (Sedes construidas, mantenidas reforzadas) 016_Sedes mantenidas</v>
      </c>
      <c r="AE524" s="160" t="str">
        <f>CONCATENATE(U524,V524,W524,X524,AA524)</f>
        <v>O23011745992024020708016</v>
      </c>
      <c r="AF524" s="160" t="str">
        <f>IFERROR(VLOOKUP(AD524,TD!$J$66:$K$89,2,0)," ")</f>
        <v>PM/0131/0108/45990160207</v>
      </c>
      <c r="AG524" s="118" t="s">
        <v>385</v>
      </c>
      <c r="AH524" s="168" t="s">
        <v>193</v>
      </c>
      <c r="AI524" s="162" t="str">
        <f>CONCATENATE(PAA[[#This Row],[Id Interno]],"-",PAA[[#This Row],[tipo de Contrato (TH talento humano - B/S bienes y/o servicios)]],"-",S524,"-",T524,"-",PAA[[#This Row],[Objeto de la contratación]])</f>
        <v>20260487-TH-8126-9-Prestar los servicios profesionales en el area de inventarios de la Subdireccion de Gestión Corporativa-SGC</v>
      </c>
    </row>
    <row r="525" spans="2:35" ht="56" x14ac:dyDescent="0.35">
      <c r="B525" s="23">
        <v>20260488</v>
      </c>
      <c r="C525" s="99" t="s">
        <v>741</v>
      </c>
      <c r="D525" s="23" t="s">
        <v>105</v>
      </c>
      <c r="E525" s="23" t="s">
        <v>363</v>
      </c>
      <c r="F525" s="156" t="s">
        <v>145</v>
      </c>
      <c r="G525" s="157" t="s">
        <v>373</v>
      </c>
      <c r="H525" s="158">
        <v>10</v>
      </c>
      <c r="I525" s="158">
        <v>0</v>
      </c>
      <c r="J525" s="127">
        <v>38205000</v>
      </c>
      <c r="K525" s="88" t="s">
        <v>398</v>
      </c>
      <c r="L525" s="156" t="s">
        <v>155</v>
      </c>
      <c r="M525" s="159" t="s">
        <v>422</v>
      </c>
      <c r="N525" s="23" t="s">
        <v>197</v>
      </c>
      <c r="O525" s="151" t="s">
        <v>963</v>
      </c>
      <c r="P525" s="156" t="s">
        <v>348</v>
      </c>
      <c r="Q525" s="53" t="s">
        <v>783</v>
      </c>
      <c r="R525" s="159" t="s">
        <v>208</v>
      </c>
      <c r="S525" s="171" t="str">
        <f>MID(PAA[[#This Row],[Meta Proyecto de Inversión]],1,4)</f>
        <v>8126</v>
      </c>
      <c r="T525" s="171" t="str">
        <f>MID(PAA[[#This Row],[Meta Proyecto de Inversión]],6,1)</f>
        <v>9</v>
      </c>
      <c r="U525" s="160" t="str">
        <f>IFERROR(VLOOKUP(N525,TD!$B$50:$F$54,2,0)," ")</f>
        <v>O230117</v>
      </c>
      <c r="V525" s="160" t="str">
        <f>IFERROR(VLOOKUP(N525,TD!$B$50:$F$54,3,0)," ")</f>
        <v>4599</v>
      </c>
      <c r="W525" s="160">
        <f>IFERROR(VLOOKUP(N525,TD!$B$50:$F$54,4,0)," ")</f>
        <v>20240207</v>
      </c>
      <c r="X525" s="159" t="s">
        <v>174</v>
      </c>
      <c r="Y525" s="160" t="str">
        <f>IFERROR(VLOOKUP(X525,TD!$J$51:$K$64,2,0)," ")</f>
        <v>Infraestructura física, mantenimiento y dotación (Sedes construidas, mantenidas reforzadas)</v>
      </c>
      <c r="Z525" s="172" t="str">
        <f>CONCATENATE(X525,"-",Y525)</f>
        <v>08-Infraestructura física, mantenimiento y dotación (Sedes construidas, mantenidas reforzadas)</v>
      </c>
      <c r="AA525" s="159" t="s">
        <v>227</v>
      </c>
      <c r="AB525" s="160" t="str">
        <f>IFERROR(VLOOKUP(AA525,TD!$N$51:$O$66,2,0)," ")</f>
        <v>Sedes mantenidas</v>
      </c>
      <c r="AC525" s="172" t="str">
        <f>CONCATENATE(AA525,"_",AB525)</f>
        <v>016_Sedes mantenidas</v>
      </c>
      <c r="AD525" s="172" t="str">
        <f>CONCATENATE(Z525," ",AC525)</f>
        <v>08-Infraestructura física, mantenimiento y dotación (Sedes construidas, mantenidas reforzadas) 016_Sedes mantenidas</v>
      </c>
      <c r="AE525" s="160" t="str">
        <f>CONCATENATE(U525,V525,W525,X525,AA525)</f>
        <v>O23011745992024020708016</v>
      </c>
      <c r="AF525" s="160" t="str">
        <f>IFERROR(VLOOKUP(AD525,TD!$J$66:$K$89,2,0)," ")</f>
        <v>PM/0131/0108/45990160207</v>
      </c>
      <c r="AG525" s="118" t="s">
        <v>385</v>
      </c>
      <c r="AH525" s="159" t="s">
        <v>193</v>
      </c>
      <c r="AI525" s="162" t="str">
        <f>CONCATENATE(PAA[[#This Row],[Id Interno]],"-",PAA[[#This Row],[tipo de Contrato (TH talento humano - B/S bienes y/o servicios)]],"-",S525,"-",T525,"-",PAA[[#This Row],[Objeto de la contratación]])</f>
        <v>20260488-TH-8126-9-Prestación de servicios de apoyo en las actividades asociadas a los procesos administrativo de la Subdirección de Gestión Corporativa- SGC</v>
      </c>
    </row>
    <row r="526" spans="2:35" ht="126" x14ac:dyDescent="0.35">
      <c r="B526" s="23">
        <v>20260489</v>
      </c>
      <c r="C526" s="99" t="s">
        <v>742</v>
      </c>
      <c r="D526" s="23" t="s">
        <v>105</v>
      </c>
      <c r="E526" s="23" t="s">
        <v>363</v>
      </c>
      <c r="F526" s="156" t="s">
        <v>144</v>
      </c>
      <c r="G526" s="157" t="s">
        <v>373</v>
      </c>
      <c r="H526" s="158">
        <v>11</v>
      </c>
      <c r="I526" s="158">
        <v>0</v>
      </c>
      <c r="J526" s="127">
        <v>77000000</v>
      </c>
      <c r="K526" s="88" t="s">
        <v>398</v>
      </c>
      <c r="L526" s="156" t="s">
        <v>155</v>
      </c>
      <c r="M526" s="159" t="s">
        <v>422</v>
      </c>
      <c r="N526" s="23" t="s">
        <v>197</v>
      </c>
      <c r="O526" s="151" t="s">
        <v>963</v>
      </c>
      <c r="P526" s="156" t="s">
        <v>348</v>
      </c>
      <c r="Q526" s="53" t="s">
        <v>783</v>
      </c>
      <c r="R526" s="159" t="s">
        <v>208</v>
      </c>
      <c r="S526" s="159" t="str">
        <f>MID(PAA[[#This Row],[Meta Proyecto de Inversión]],1,4)</f>
        <v>8126</v>
      </c>
      <c r="T526" s="159" t="str">
        <f>MID(PAA[[#This Row],[Meta Proyecto de Inversión]],6,1)</f>
        <v>9</v>
      </c>
      <c r="U526" s="160" t="str">
        <f>IFERROR(VLOOKUP(N526,TD!$B$50:$F$54,2,0)," ")</f>
        <v>O230117</v>
      </c>
      <c r="V526" s="160" t="str">
        <f>IFERROR(VLOOKUP(N526,TD!$B$50:$F$54,3,0)," ")</f>
        <v>4599</v>
      </c>
      <c r="W526" s="160">
        <f>IFERROR(VLOOKUP(N526,TD!$B$50:$F$54,4,0)," ")</f>
        <v>20240207</v>
      </c>
      <c r="X526" s="159" t="s">
        <v>174</v>
      </c>
      <c r="Y526" s="160" t="str">
        <f>IFERROR(VLOOKUP(X526,TD!$J$51:$K$64,2,0)," ")</f>
        <v>Infraestructura física, mantenimiento y dotación (Sedes construidas, mantenidas reforzadas)</v>
      </c>
      <c r="Z526" s="161" t="str">
        <f>CONCATENATE(X526,"-",Y526)</f>
        <v>08-Infraestructura física, mantenimiento y dotación (Sedes construidas, mantenidas reforzadas)</v>
      </c>
      <c r="AA526" s="159" t="s">
        <v>227</v>
      </c>
      <c r="AB526" s="160" t="str">
        <f>IFERROR(VLOOKUP(AA526,TD!$N$51:$O$66,2,0)," ")</f>
        <v>Sedes mantenidas</v>
      </c>
      <c r="AC526" s="161" t="str">
        <f>CONCATENATE(AA526,"_",AB526)</f>
        <v>016_Sedes mantenidas</v>
      </c>
      <c r="AD526" s="161" t="str">
        <f>CONCATENATE(Z526," ",AC526)</f>
        <v>08-Infraestructura física, mantenimiento y dotación (Sedes construidas, mantenidas reforzadas) 016_Sedes mantenidas</v>
      </c>
      <c r="AE526" s="160" t="str">
        <f>CONCATENATE(U526,V526,W526,X526,AA526)</f>
        <v>O23011745992024020708016</v>
      </c>
      <c r="AF526" s="160" t="str">
        <f>IFERROR(VLOOKUP(AD526,TD!$J$66:$K$89,2,0)," ")</f>
        <v>PM/0131/0108/45990160207</v>
      </c>
      <c r="AG526" s="118" t="s">
        <v>385</v>
      </c>
      <c r="AH526" s="168" t="s">
        <v>193</v>
      </c>
      <c r="AI526" s="162" t="str">
        <f>CONCATENATE(PAA[[#This Row],[Id Interno]],"-",PAA[[#This Row],[tipo de Contrato (TH talento humano - B/S bienes y/o servicios)]],"-",S526,"-",T526,"-",PAA[[#This Row],[Objeto de la contratación]])</f>
        <v>20260489-TH-8126-9-Prestar los servicios profesionales para el acompañamiento y seguimiento de los planes y proyectos del grupo del almacén de la Subdireccion de Gestión Corporativa-SGC</v>
      </c>
    </row>
    <row r="527" spans="2:35" ht="56" x14ac:dyDescent="0.35">
      <c r="B527" s="23">
        <v>20260490</v>
      </c>
      <c r="C527" s="99" t="s">
        <v>735</v>
      </c>
      <c r="D527" s="23" t="s">
        <v>105</v>
      </c>
      <c r="E527" s="23" t="s">
        <v>363</v>
      </c>
      <c r="F527" s="156" t="s">
        <v>144</v>
      </c>
      <c r="G527" s="157" t="s">
        <v>373</v>
      </c>
      <c r="H527" s="158">
        <v>11</v>
      </c>
      <c r="I527" s="158">
        <v>0</v>
      </c>
      <c r="J527" s="127">
        <v>56772000</v>
      </c>
      <c r="K527" s="88" t="s">
        <v>398</v>
      </c>
      <c r="L527" s="156" t="s">
        <v>155</v>
      </c>
      <c r="M527" s="159" t="s">
        <v>422</v>
      </c>
      <c r="N527" s="23" t="s">
        <v>197</v>
      </c>
      <c r="O527" s="151" t="s">
        <v>963</v>
      </c>
      <c r="P527" s="156" t="s">
        <v>348</v>
      </c>
      <c r="Q527" s="53" t="s">
        <v>783</v>
      </c>
      <c r="R527" s="159" t="s">
        <v>207</v>
      </c>
      <c r="S527" s="159" t="str">
        <f>MID(PAA[[#This Row],[Meta Proyecto de Inversión]],1,4)</f>
        <v>8126</v>
      </c>
      <c r="T527" s="159" t="str">
        <f>MID(PAA[[#This Row],[Meta Proyecto de Inversión]],6,1)</f>
        <v>8</v>
      </c>
      <c r="U527" s="160" t="str">
        <f>IFERROR(VLOOKUP(N527,TD!$B$50:$F$54,2,0)," ")</f>
        <v>O230117</v>
      </c>
      <c r="V527" s="160" t="str">
        <f>IFERROR(VLOOKUP(N527,TD!$B$50:$F$54,3,0)," ")</f>
        <v>4599</v>
      </c>
      <c r="W527" s="160">
        <f>IFERROR(VLOOKUP(N527,TD!$B$50:$F$54,4,0)," ")</f>
        <v>20240207</v>
      </c>
      <c r="X527" s="159" t="s">
        <v>174</v>
      </c>
      <c r="Y527" s="160" t="str">
        <f>IFERROR(VLOOKUP(X527,TD!$J$51:$K$64,2,0)," ")</f>
        <v>Infraestructura física, mantenimiento y dotación (Sedes construidas, mantenidas reforzadas)</v>
      </c>
      <c r="Z527" s="161" t="str">
        <f>CONCATENATE(X527,"-",Y527)</f>
        <v>08-Infraestructura física, mantenimiento y dotación (Sedes construidas, mantenidas reforzadas)</v>
      </c>
      <c r="AA527" s="159" t="s">
        <v>227</v>
      </c>
      <c r="AB527" s="160" t="str">
        <f>IFERROR(VLOOKUP(AA527,TD!$N$51:$O$66,2,0)," ")</f>
        <v>Sedes mantenidas</v>
      </c>
      <c r="AC527" s="161" t="str">
        <f>CONCATENATE(AA527,"_",AB527)</f>
        <v>016_Sedes mantenidas</v>
      </c>
      <c r="AD527" s="161" t="str">
        <f>CONCATENATE(Z527," ",AC527)</f>
        <v>08-Infraestructura física, mantenimiento y dotación (Sedes construidas, mantenidas reforzadas) 016_Sedes mantenidas</v>
      </c>
      <c r="AE527" s="160" t="str">
        <f>CONCATENATE(U527,V527,W527,X527,AA527)</f>
        <v>O23011745992024020708016</v>
      </c>
      <c r="AF527" s="160" t="str">
        <f>IFERROR(VLOOKUP(AD527,TD!$J$66:$K$89,2,0)," ")</f>
        <v>PM/0131/0108/45990160207</v>
      </c>
      <c r="AG527" s="118" t="s">
        <v>385</v>
      </c>
      <c r="AH527" s="168" t="s">
        <v>193</v>
      </c>
      <c r="AI527" s="162" t="str">
        <f>CONCATENATE(PAA[[#This Row],[Id Interno]],"-",PAA[[#This Row],[tipo de Contrato (TH talento humano - B/S bienes y/o servicios)]],"-",S527,"-",T527,"-",PAA[[#This Row],[Objeto de la contratación]])</f>
        <v>20260490-TH-8126-8-Prestar los servicios profesionales para apoyar las actividades de bienestar, orientación y acompañamiento dirigidas al personal bomberil y/o cuando haya lugar o se requiera, a la comunidad adyacente a las estaciones, contribuyendo al fortalecimiento del equipo de infraestructura de la entidad para la adecuada prestación del servicio - SGC.</v>
      </c>
    </row>
    <row r="528" spans="2:35" ht="98" x14ac:dyDescent="0.35">
      <c r="B528" s="23">
        <v>20260491</v>
      </c>
      <c r="C528" s="99" t="s">
        <v>743</v>
      </c>
      <c r="D528" s="23" t="s">
        <v>105</v>
      </c>
      <c r="E528" s="23" t="s">
        <v>363</v>
      </c>
      <c r="F528" s="156" t="s">
        <v>144</v>
      </c>
      <c r="G528" s="157" t="s">
        <v>373</v>
      </c>
      <c r="H528" s="158">
        <v>6</v>
      </c>
      <c r="I528" s="158">
        <v>0</v>
      </c>
      <c r="J528" s="127">
        <v>42000000</v>
      </c>
      <c r="K528" s="88" t="s">
        <v>398</v>
      </c>
      <c r="L528" s="156" t="s">
        <v>155</v>
      </c>
      <c r="M528" s="159" t="s">
        <v>422</v>
      </c>
      <c r="N528" s="23" t="s">
        <v>197</v>
      </c>
      <c r="O528" s="151" t="s">
        <v>963</v>
      </c>
      <c r="P528" s="156" t="s">
        <v>348</v>
      </c>
      <c r="Q528" s="53" t="s">
        <v>783</v>
      </c>
      <c r="R528" s="159" t="s">
        <v>208</v>
      </c>
      <c r="S528" s="159" t="str">
        <f>MID(PAA[[#This Row],[Meta Proyecto de Inversión]],1,4)</f>
        <v>8126</v>
      </c>
      <c r="T528" s="159" t="str">
        <f>MID(PAA[[#This Row],[Meta Proyecto de Inversión]],6,1)</f>
        <v>9</v>
      </c>
      <c r="U528" s="160" t="str">
        <f>IFERROR(VLOOKUP(N528,TD!$B$50:$F$54,2,0)," ")</f>
        <v>O230117</v>
      </c>
      <c r="V528" s="160" t="str">
        <f>IFERROR(VLOOKUP(N528,TD!$B$50:$F$54,3,0)," ")</f>
        <v>4599</v>
      </c>
      <c r="W528" s="160">
        <f>IFERROR(VLOOKUP(N528,TD!$B$50:$F$54,4,0)," ")</f>
        <v>20240207</v>
      </c>
      <c r="X528" s="159" t="s">
        <v>174</v>
      </c>
      <c r="Y528" s="160" t="str">
        <f>IFERROR(VLOOKUP(X528,TD!$J$51:$K$64,2,0)," ")</f>
        <v>Infraestructura física, mantenimiento y dotación (Sedes construidas, mantenidas reforzadas)</v>
      </c>
      <c r="Z528" s="161" t="str">
        <f>CONCATENATE(X528,"-",Y528)</f>
        <v>08-Infraestructura física, mantenimiento y dotación (Sedes construidas, mantenidas reforzadas)</v>
      </c>
      <c r="AA528" s="159" t="s">
        <v>227</v>
      </c>
      <c r="AB528" s="160" t="str">
        <f>IFERROR(VLOOKUP(AA528,TD!$N$51:$O$66,2,0)," ")</f>
        <v>Sedes mantenidas</v>
      </c>
      <c r="AC528" s="161" t="str">
        <f>CONCATENATE(AA528,"_",AB528)</f>
        <v>016_Sedes mantenidas</v>
      </c>
      <c r="AD528" s="161" t="str">
        <f>CONCATENATE(Z528," ",AC528)</f>
        <v>08-Infraestructura física, mantenimiento y dotación (Sedes construidas, mantenidas reforzadas) 016_Sedes mantenidas</v>
      </c>
      <c r="AE528" s="160" t="str">
        <f>CONCATENATE(U528,V528,W528,X528,AA528)</f>
        <v>O23011745992024020708016</v>
      </c>
      <c r="AF528" s="160" t="str">
        <f>IFERROR(VLOOKUP(AD528,TD!$J$66:$K$89,2,0)," ")</f>
        <v>PM/0131/0108/45990160207</v>
      </c>
      <c r="AG528" s="118" t="s">
        <v>385</v>
      </c>
      <c r="AH528" s="168" t="s">
        <v>193</v>
      </c>
      <c r="AI528" s="162" t="str">
        <f>CONCATENATE(PAA[[#This Row],[Id Interno]],"-",PAA[[#This Row],[tipo de Contrato (TH talento humano - B/S bienes y/o servicios)]],"-",S528,"-",T528,"-",PAA[[#This Row],[Objeto de la contratación]])</f>
        <v>20260491-TH-8126-9-Prestación de servicios profesionales en el acompañamiento y asistencia al proceso de gestión documental de la UAE Cuerpo oficial de Bomberos. -SGC</v>
      </c>
    </row>
    <row r="529" spans="2:35" ht="140" x14ac:dyDescent="0.35">
      <c r="B529" s="23">
        <v>20260492</v>
      </c>
      <c r="C529" s="99" t="s">
        <v>744</v>
      </c>
      <c r="D529" s="23" t="s">
        <v>105</v>
      </c>
      <c r="E529" s="23" t="s">
        <v>363</v>
      </c>
      <c r="F529" s="156" t="s">
        <v>144</v>
      </c>
      <c r="G529" s="157" t="s">
        <v>373</v>
      </c>
      <c r="H529" s="158">
        <v>11</v>
      </c>
      <c r="I529" s="158">
        <v>0</v>
      </c>
      <c r="J529" s="127">
        <v>77000000</v>
      </c>
      <c r="K529" s="88" t="s">
        <v>398</v>
      </c>
      <c r="L529" s="156" t="s">
        <v>155</v>
      </c>
      <c r="M529" s="159" t="s">
        <v>422</v>
      </c>
      <c r="N529" s="23" t="s">
        <v>197</v>
      </c>
      <c r="O529" s="151" t="s">
        <v>963</v>
      </c>
      <c r="P529" s="156" t="s">
        <v>348</v>
      </c>
      <c r="Q529" s="53" t="s">
        <v>783</v>
      </c>
      <c r="R529" s="159" t="s">
        <v>207</v>
      </c>
      <c r="S529" s="159" t="str">
        <f>MID(PAA[[#This Row],[Meta Proyecto de Inversión]],1,4)</f>
        <v>8126</v>
      </c>
      <c r="T529" s="159" t="str">
        <f>MID(PAA[[#This Row],[Meta Proyecto de Inversión]],6,1)</f>
        <v>8</v>
      </c>
      <c r="U529" s="160" t="str">
        <f>IFERROR(VLOOKUP(N529,TD!$B$50:$F$54,2,0)," ")</f>
        <v>O230117</v>
      </c>
      <c r="V529" s="160" t="str">
        <f>IFERROR(VLOOKUP(N529,TD!$B$50:$F$54,3,0)," ")</f>
        <v>4599</v>
      </c>
      <c r="W529" s="160">
        <f>IFERROR(VLOOKUP(N529,TD!$B$50:$F$54,4,0)," ")</f>
        <v>20240207</v>
      </c>
      <c r="X529" s="159" t="s">
        <v>174</v>
      </c>
      <c r="Y529" s="160" t="str">
        <f>IFERROR(VLOOKUP(X529,TD!$J$51:$K$64,2,0)," ")</f>
        <v>Infraestructura física, mantenimiento y dotación (Sedes construidas, mantenidas reforzadas)</v>
      </c>
      <c r="Z529" s="161" t="str">
        <f>CONCATENATE(X529,"-",Y529)</f>
        <v>08-Infraestructura física, mantenimiento y dotación (Sedes construidas, mantenidas reforzadas)</v>
      </c>
      <c r="AA529" s="159" t="s">
        <v>227</v>
      </c>
      <c r="AB529" s="160" t="str">
        <f>IFERROR(VLOOKUP(AA529,TD!$N$51:$O$66,2,0)," ")</f>
        <v>Sedes mantenidas</v>
      </c>
      <c r="AC529" s="161" t="str">
        <f>CONCATENATE(AA529,"_",AB529)</f>
        <v>016_Sedes mantenidas</v>
      </c>
      <c r="AD529" s="161" t="str">
        <f>CONCATENATE(Z529," ",AC529)</f>
        <v>08-Infraestructura física, mantenimiento y dotación (Sedes construidas, mantenidas reforzadas) 016_Sedes mantenidas</v>
      </c>
      <c r="AE529" s="160" t="str">
        <f>CONCATENATE(U529,V529,W529,X529,AA529)</f>
        <v>O23011745992024020708016</v>
      </c>
      <c r="AF529" s="160" t="str">
        <f>IFERROR(VLOOKUP(AD529,TD!$J$66:$K$89,2,0)," ")</f>
        <v>PM/0131/0108/45990160207</v>
      </c>
      <c r="AG529" s="118" t="s">
        <v>385</v>
      </c>
      <c r="AH529" s="159" t="s">
        <v>193</v>
      </c>
      <c r="AI529" s="162" t="str">
        <f>CONCATENATE(PAA[[#This Row],[Id Interno]],"-",PAA[[#This Row],[tipo de Contrato (TH talento humano - B/S bienes y/o servicios)]],"-",S529,"-",T529,"-",PAA[[#This Row],[Objeto de la contratación]])</f>
        <v>20260492-TH-8126-8-Prestación de servicios profesionales especializados para desarrollar las actividades técnicas y administrativas del Área de Infraestructura de la Subdirección de Gestión Corporativa-SGC.</v>
      </c>
    </row>
    <row r="530" spans="2:35" ht="126" x14ac:dyDescent="0.35">
      <c r="B530" s="23">
        <v>20260493</v>
      </c>
      <c r="C530" s="99" t="s">
        <v>745</v>
      </c>
      <c r="D530" s="23" t="s">
        <v>105</v>
      </c>
      <c r="E530" s="23" t="s">
        <v>363</v>
      </c>
      <c r="F530" s="156" t="s">
        <v>144</v>
      </c>
      <c r="G530" s="157" t="s">
        <v>373</v>
      </c>
      <c r="H530" s="158">
        <v>11</v>
      </c>
      <c r="I530" s="158">
        <v>0</v>
      </c>
      <c r="J530" s="127">
        <v>77000000</v>
      </c>
      <c r="K530" s="88" t="s">
        <v>398</v>
      </c>
      <c r="L530" s="156" t="s">
        <v>155</v>
      </c>
      <c r="M530" s="159" t="s">
        <v>422</v>
      </c>
      <c r="N530" s="23" t="s">
        <v>197</v>
      </c>
      <c r="O530" s="151" t="s">
        <v>963</v>
      </c>
      <c r="P530" s="156" t="s">
        <v>348</v>
      </c>
      <c r="Q530" s="53" t="s">
        <v>783</v>
      </c>
      <c r="R530" s="159" t="s">
        <v>207</v>
      </c>
      <c r="S530" s="159" t="str">
        <f>MID(PAA[[#This Row],[Meta Proyecto de Inversión]],1,4)</f>
        <v>8126</v>
      </c>
      <c r="T530" s="159" t="str">
        <f>MID(PAA[[#This Row],[Meta Proyecto de Inversión]],6,1)</f>
        <v>8</v>
      </c>
      <c r="U530" s="160" t="str">
        <f>IFERROR(VLOOKUP(N530,TD!$B$50:$F$54,2,0)," ")</f>
        <v>O230117</v>
      </c>
      <c r="V530" s="160" t="str">
        <f>IFERROR(VLOOKUP(N530,TD!$B$50:$F$54,3,0)," ")</f>
        <v>4599</v>
      </c>
      <c r="W530" s="160">
        <f>IFERROR(VLOOKUP(N530,TD!$B$50:$F$54,4,0)," ")</f>
        <v>20240207</v>
      </c>
      <c r="X530" s="159" t="s">
        <v>174</v>
      </c>
      <c r="Y530" s="160" t="str">
        <f>IFERROR(VLOOKUP(X530,TD!$J$51:$K$64,2,0)," ")</f>
        <v>Infraestructura física, mantenimiento y dotación (Sedes construidas, mantenidas reforzadas)</v>
      </c>
      <c r="Z530" s="161" t="str">
        <f>CONCATENATE(X530,"-",Y530)</f>
        <v>08-Infraestructura física, mantenimiento y dotación (Sedes construidas, mantenidas reforzadas)</v>
      </c>
      <c r="AA530" s="159" t="s">
        <v>227</v>
      </c>
      <c r="AB530" s="160" t="str">
        <f>IFERROR(VLOOKUP(AA530,TD!$N$51:$O$66,2,0)," ")</f>
        <v>Sedes mantenidas</v>
      </c>
      <c r="AC530" s="161" t="str">
        <f>CONCATENATE(AA530,"_",AB530)</f>
        <v>016_Sedes mantenidas</v>
      </c>
      <c r="AD530" s="161" t="str">
        <f>CONCATENATE(Z530," ",AC530)</f>
        <v>08-Infraestructura física, mantenimiento y dotación (Sedes construidas, mantenidas reforzadas) 016_Sedes mantenidas</v>
      </c>
      <c r="AE530" s="160" t="str">
        <f>CONCATENATE(U530,V530,W530,X530,AA530)</f>
        <v>O23011745992024020708016</v>
      </c>
      <c r="AF530" s="160" t="str">
        <f>IFERROR(VLOOKUP(AD530,TD!$J$66:$K$89,2,0)," ")</f>
        <v>PM/0131/0108/45990160207</v>
      </c>
      <c r="AG530" s="118" t="s">
        <v>385</v>
      </c>
      <c r="AH530" s="168" t="s">
        <v>193</v>
      </c>
      <c r="AI530" s="162" t="str">
        <f>CONCATENATE(PAA[[#This Row],[Id Interno]],"-",PAA[[#This Row],[tipo de Contrato (TH talento humano - B/S bienes y/o servicios)]],"-",S530,"-",T530,"-",PAA[[#This Row],[Objeto de la contratación]])</f>
        <v>20260493-TH-8126-8-Prestación de servicios profesionales especializados para desarrollar las actividades técnicas y administrativas del Área de Infraestructura de la Subdirección de Gestión Corporativa-SGC</v>
      </c>
    </row>
    <row r="531" spans="2:35" ht="56" x14ac:dyDescent="0.35">
      <c r="B531" s="23">
        <v>20260494</v>
      </c>
      <c r="C531" s="99" t="s">
        <v>746</v>
      </c>
      <c r="D531" s="23" t="s">
        <v>105</v>
      </c>
      <c r="E531" s="23" t="s">
        <v>363</v>
      </c>
      <c r="F531" s="156" t="s">
        <v>144</v>
      </c>
      <c r="G531" s="157" t="s">
        <v>373</v>
      </c>
      <c r="H531" s="158">
        <v>6</v>
      </c>
      <c r="I531" s="158">
        <v>0</v>
      </c>
      <c r="J531" s="127">
        <v>42000000</v>
      </c>
      <c r="K531" s="88" t="s">
        <v>398</v>
      </c>
      <c r="L531" s="156" t="s">
        <v>155</v>
      </c>
      <c r="M531" s="159" t="s">
        <v>422</v>
      </c>
      <c r="N531" s="23" t="s">
        <v>197</v>
      </c>
      <c r="O531" s="151" t="s">
        <v>963</v>
      </c>
      <c r="P531" s="167" t="s">
        <v>348</v>
      </c>
      <c r="Q531" s="53" t="s">
        <v>783</v>
      </c>
      <c r="R531" s="159" t="s">
        <v>207</v>
      </c>
      <c r="S531" s="159" t="str">
        <f>MID(PAA[[#This Row],[Meta Proyecto de Inversión]],1,4)</f>
        <v>8126</v>
      </c>
      <c r="T531" s="159" t="str">
        <f>MID(PAA[[#This Row],[Meta Proyecto de Inversión]],6,1)</f>
        <v>8</v>
      </c>
      <c r="U531" s="160" t="str">
        <f>IFERROR(VLOOKUP(N531,TD!$B$50:$F$54,2,0)," ")</f>
        <v>O230117</v>
      </c>
      <c r="V531" s="160" t="str">
        <f>IFERROR(VLOOKUP(N531,TD!$B$50:$F$54,3,0)," ")</f>
        <v>4599</v>
      </c>
      <c r="W531" s="160">
        <f>IFERROR(VLOOKUP(N531,TD!$B$50:$F$54,4,0)," ")</f>
        <v>20240207</v>
      </c>
      <c r="X531" s="159" t="s">
        <v>174</v>
      </c>
      <c r="Y531" s="160" t="str">
        <f>IFERROR(VLOOKUP(X531,TD!$J$51:$K$64,2,0)," ")</f>
        <v>Infraestructura física, mantenimiento y dotación (Sedes construidas, mantenidas reforzadas)</v>
      </c>
      <c r="Z531" s="161" t="str">
        <f>CONCATENATE(X531,"-",Y531)</f>
        <v>08-Infraestructura física, mantenimiento y dotación (Sedes construidas, mantenidas reforzadas)</v>
      </c>
      <c r="AA531" s="159" t="s">
        <v>227</v>
      </c>
      <c r="AB531" s="160" t="str">
        <f>IFERROR(VLOOKUP(AA531,TD!$N$51:$O$66,2,0)," ")</f>
        <v>Sedes mantenidas</v>
      </c>
      <c r="AC531" s="161" t="str">
        <f>CONCATENATE(AA531,"_",AB531)</f>
        <v>016_Sedes mantenidas</v>
      </c>
      <c r="AD531" s="161" t="str">
        <f>CONCATENATE(Z531," ",AC531)</f>
        <v>08-Infraestructura física, mantenimiento y dotación (Sedes construidas, mantenidas reforzadas) 016_Sedes mantenidas</v>
      </c>
      <c r="AE531" s="160" t="str">
        <f>CONCATENATE(U531,V531,W531,X531,AA531)</f>
        <v>O23011745992024020708016</v>
      </c>
      <c r="AF531" s="160" t="str">
        <f>IFERROR(VLOOKUP(AD531,TD!$J$66:$K$89,2,0)," ")</f>
        <v>PM/0131/0108/45990160207</v>
      </c>
      <c r="AG531" s="118" t="s">
        <v>385</v>
      </c>
      <c r="AH531" s="168" t="s">
        <v>193</v>
      </c>
      <c r="AI531" s="162" t="str">
        <f>CONCATENATE(PAA[[#This Row],[Id Interno]],"-",PAA[[#This Row],[tipo de Contrato (TH talento humano - B/S bienes y/o servicios)]],"-",S531,"-",T531,"-",PAA[[#This Row],[Objeto de la contratación]])</f>
        <v>20260494-TH-8126-8-Prestar servicios profesionales especializados como ingeniero electrónico para apoyar las actividades propias que contribuyan al desarrollo de la infraestructura requerida por la entidad para la adecuada prestación del servicio-SGC</v>
      </c>
    </row>
    <row r="532" spans="2:35" ht="56" x14ac:dyDescent="0.35">
      <c r="B532" s="23">
        <v>20260495</v>
      </c>
      <c r="C532" s="99" t="s">
        <v>747</v>
      </c>
      <c r="D532" s="23" t="s">
        <v>114</v>
      </c>
      <c r="E532" s="23" t="s">
        <v>402</v>
      </c>
      <c r="F532" s="156" t="s">
        <v>89</v>
      </c>
      <c r="G532" s="157" t="s">
        <v>374</v>
      </c>
      <c r="H532" s="158">
        <v>12</v>
      </c>
      <c r="I532" s="158">
        <v>0</v>
      </c>
      <c r="J532" s="127">
        <v>355000000</v>
      </c>
      <c r="K532" s="88" t="s">
        <v>398</v>
      </c>
      <c r="L532" s="156" t="s">
        <v>155</v>
      </c>
      <c r="M532" s="159" t="s">
        <v>422</v>
      </c>
      <c r="N532" s="23" t="s">
        <v>197</v>
      </c>
      <c r="O532" s="151" t="s">
        <v>963</v>
      </c>
      <c r="P532" s="156" t="s">
        <v>348</v>
      </c>
      <c r="Q532" s="53" t="s">
        <v>784</v>
      </c>
      <c r="R532" s="159" t="s">
        <v>207</v>
      </c>
      <c r="S532" s="159" t="str">
        <f>MID(PAA[[#This Row],[Meta Proyecto de Inversión]],1,4)</f>
        <v>8126</v>
      </c>
      <c r="T532" s="159" t="str">
        <f>MID(PAA[[#This Row],[Meta Proyecto de Inversión]],6,1)</f>
        <v>8</v>
      </c>
      <c r="U532" s="160" t="str">
        <f>IFERROR(VLOOKUP(N532,TD!$B$50:$F$54,2,0)," ")</f>
        <v>O230117</v>
      </c>
      <c r="V532" s="160" t="str">
        <f>IFERROR(VLOOKUP(N532,TD!$B$50:$F$54,3,0)," ")</f>
        <v>4599</v>
      </c>
      <c r="W532" s="160">
        <f>IFERROR(VLOOKUP(N532,TD!$B$50:$F$54,4,0)," ")</f>
        <v>20240207</v>
      </c>
      <c r="X532" s="159" t="s">
        <v>174</v>
      </c>
      <c r="Y532" s="160" t="str">
        <f>IFERROR(VLOOKUP(X532,TD!$J$51:$K$64,2,0)," ")</f>
        <v>Infraestructura física, mantenimiento y dotación (Sedes construidas, mantenidas reforzadas)</v>
      </c>
      <c r="Z532" s="161" t="str">
        <f>CONCATENATE(X532,"-",Y532)</f>
        <v>08-Infraestructura física, mantenimiento y dotación (Sedes construidas, mantenidas reforzadas)</v>
      </c>
      <c r="AA532" s="159" t="s">
        <v>227</v>
      </c>
      <c r="AB532" s="160" t="str">
        <f>IFERROR(VLOOKUP(AA532,TD!$N$51:$O$66,2,0)," ")</f>
        <v>Sedes mantenidas</v>
      </c>
      <c r="AC532" s="161" t="str">
        <f>CONCATENATE(AA532,"_",AB532)</f>
        <v>016_Sedes mantenidas</v>
      </c>
      <c r="AD532" s="161" t="str">
        <f>CONCATENATE(Z532," ",AC532)</f>
        <v>08-Infraestructura física, mantenimiento y dotación (Sedes construidas, mantenidas reforzadas) 016_Sedes mantenidas</v>
      </c>
      <c r="AE532" s="160" t="str">
        <f>CONCATENATE(U532,V532,W532,X532,AA532)</f>
        <v>O23011745992024020708016</v>
      </c>
      <c r="AF532" s="160" t="str">
        <f>IFERROR(VLOOKUP(AD532,TD!$J$66:$K$89,2,0)," ")</f>
        <v>PM/0131/0108/45990160207</v>
      </c>
      <c r="AG532" s="118" t="s">
        <v>134</v>
      </c>
      <c r="AH532" s="168" t="s">
        <v>193</v>
      </c>
      <c r="AI532" s="162" t="str">
        <f>CONCATENATE(PAA[[#This Row],[Id Interno]],"-",PAA[[#This Row],[tipo de Contrato (TH talento humano - B/S bienes y/o servicios)]],"-",S532,"-",T532,"-",PAA[[#This Row],[Objeto de la contratación]])</f>
        <v>20260495-BS-8126-8-Contratar la prestación del servicio de aseo y cafetería incluido insumos para la Unidad Administrativa Especial Cuerpo Oficial de Bomberos Bogotá -SGC</v>
      </c>
    </row>
    <row r="533" spans="2:35" ht="140" x14ac:dyDescent="0.35">
      <c r="B533" s="23">
        <v>20260496</v>
      </c>
      <c r="C533" s="99" t="s">
        <v>748</v>
      </c>
      <c r="D533" s="23" t="s">
        <v>92</v>
      </c>
      <c r="E533" s="23" t="s">
        <v>402</v>
      </c>
      <c r="F533" s="156" t="s">
        <v>111</v>
      </c>
      <c r="G533" s="157" t="s">
        <v>377</v>
      </c>
      <c r="H533" s="158">
        <v>8</v>
      </c>
      <c r="I533" s="158">
        <v>0</v>
      </c>
      <c r="J533" s="127">
        <v>25000000</v>
      </c>
      <c r="K533" s="88" t="s">
        <v>398</v>
      </c>
      <c r="L533" s="156" t="s">
        <v>155</v>
      </c>
      <c r="M533" s="159" t="s">
        <v>422</v>
      </c>
      <c r="N533" s="23" t="s">
        <v>197</v>
      </c>
      <c r="O533" s="151" t="s">
        <v>963</v>
      </c>
      <c r="P533" s="156" t="s">
        <v>348</v>
      </c>
      <c r="Q533" s="53" t="s">
        <v>785</v>
      </c>
      <c r="R533" s="159" t="s">
        <v>207</v>
      </c>
      <c r="S533" s="159" t="str">
        <f>MID(PAA[[#This Row],[Meta Proyecto de Inversión]],1,4)</f>
        <v>8126</v>
      </c>
      <c r="T533" s="159" t="str">
        <f>MID(PAA[[#This Row],[Meta Proyecto de Inversión]],6,1)</f>
        <v>8</v>
      </c>
      <c r="U533" s="160" t="str">
        <f>IFERROR(VLOOKUP(N533,TD!$B$50:$F$54,2,0)," ")</f>
        <v>O230117</v>
      </c>
      <c r="V533" s="160" t="str">
        <f>IFERROR(VLOOKUP(N533,TD!$B$50:$F$54,3,0)," ")</f>
        <v>4599</v>
      </c>
      <c r="W533" s="160">
        <f>IFERROR(VLOOKUP(N533,TD!$B$50:$F$54,4,0)," ")</f>
        <v>20240207</v>
      </c>
      <c r="X533" s="159" t="s">
        <v>174</v>
      </c>
      <c r="Y533" s="160" t="str">
        <f>IFERROR(VLOOKUP(X533,TD!$J$51:$K$64,2,0)," ")</f>
        <v>Infraestructura física, mantenimiento y dotación (Sedes construidas, mantenidas reforzadas)</v>
      </c>
      <c r="Z533" s="161" t="str">
        <f>CONCATENATE(X533,"-",Y533)</f>
        <v>08-Infraestructura física, mantenimiento y dotación (Sedes construidas, mantenidas reforzadas)</v>
      </c>
      <c r="AA533" s="159" t="s">
        <v>227</v>
      </c>
      <c r="AB533" s="160" t="str">
        <f>IFERROR(VLOOKUP(AA533,TD!$N$51:$O$66,2,0)," ")</f>
        <v>Sedes mantenidas</v>
      </c>
      <c r="AC533" s="161" t="str">
        <f>CONCATENATE(AA533,"_",AB533)</f>
        <v>016_Sedes mantenidas</v>
      </c>
      <c r="AD533" s="161" t="str">
        <f>CONCATENATE(Z533," ",AC533)</f>
        <v>08-Infraestructura física, mantenimiento y dotación (Sedes construidas, mantenidas reforzadas) 016_Sedes mantenidas</v>
      </c>
      <c r="AE533" s="160" t="str">
        <f>CONCATENATE(U533,V533,W533,X533,AA533)</f>
        <v>O23011745992024020708016</v>
      </c>
      <c r="AF533" s="160" t="str">
        <f>IFERROR(VLOOKUP(AD533,TD!$J$66:$K$89,2,0)," ")</f>
        <v>PM/0131/0108/45990160207</v>
      </c>
      <c r="AG533" s="118" t="s">
        <v>134</v>
      </c>
      <c r="AH533" s="168" t="s">
        <v>193</v>
      </c>
      <c r="AI533" s="162" t="str">
        <f>CONCATENATE(PAA[[#This Row],[Id Interno]],"-",PAA[[#This Row],[tipo de Contrato (TH talento humano - B/S bienes y/o servicios)]],"-",S533,"-",T533,"-",PAA[[#This Row],[Objeto de la contratación]])</f>
        <v>20260496-BS-8126-8-Suministro y mantenimiento de equipos de higienización, desodorización y aromatización  para la Unidad Administrativa Especial Cuerpo Oficial de Bomberos Bogotá -SGC</v>
      </c>
    </row>
    <row r="534" spans="2:35" ht="112" x14ac:dyDescent="0.35">
      <c r="B534" s="99">
        <v>20260497</v>
      </c>
      <c r="C534" s="99" t="s">
        <v>968</v>
      </c>
      <c r="D534" s="99" t="s">
        <v>83</v>
      </c>
      <c r="E534" s="99" t="s">
        <v>402</v>
      </c>
      <c r="F534" s="157" t="s">
        <v>136</v>
      </c>
      <c r="G534" s="157" t="s">
        <v>377</v>
      </c>
      <c r="H534" s="164">
        <v>8</v>
      </c>
      <c r="I534" s="164">
        <v>0</v>
      </c>
      <c r="J534" s="118">
        <v>50000000</v>
      </c>
      <c r="K534" s="126" t="s">
        <v>398</v>
      </c>
      <c r="L534" s="157" t="s">
        <v>155</v>
      </c>
      <c r="M534" s="163" t="s">
        <v>422</v>
      </c>
      <c r="N534" s="99" t="s">
        <v>197</v>
      </c>
      <c r="O534" s="151" t="s">
        <v>963</v>
      </c>
      <c r="P534" s="157" t="s">
        <v>348</v>
      </c>
      <c r="Q534" s="128" t="s">
        <v>975</v>
      </c>
      <c r="R534" s="163" t="s">
        <v>207</v>
      </c>
      <c r="S534" s="159" t="str">
        <f>MID(PAA[[#This Row],[Meta Proyecto de Inversión]],1,4)</f>
        <v>8126</v>
      </c>
      <c r="T534" s="159" t="str">
        <f>MID(PAA[[#This Row],[Meta Proyecto de Inversión]],6,1)</f>
        <v>8</v>
      </c>
      <c r="U534" s="165" t="str">
        <f>IFERROR(VLOOKUP(N534,TD!$B$50:$F$54,2,0)," ")</f>
        <v>O230117</v>
      </c>
      <c r="V534" s="165" t="str">
        <f>IFERROR(VLOOKUP(N534,TD!$B$50:$F$54,3,0)," ")</f>
        <v>4599</v>
      </c>
      <c r="W534" s="165">
        <f>IFERROR(VLOOKUP(N534,TD!$B$50:$F$54,4,0)," ")</f>
        <v>20240207</v>
      </c>
      <c r="X534" s="163" t="s">
        <v>174</v>
      </c>
      <c r="Y534" s="165" t="str">
        <f>IFERROR(VLOOKUP(X534,TD!$J$51:$K$64,2,0)," ")</f>
        <v>Infraestructura física, mantenimiento y dotación (Sedes construidas, mantenidas reforzadas)</v>
      </c>
      <c r="Z534" s="161" t="str">
        <f>CONCATENATE(X534,"-",Y534)</f>
        <v>08-Infraestructura física, mantenimiento y dotación (Sedes construidas, mantenidas reforzadas)</v>
      </c>
      <c r="AA534" s="163" t="s">
        <v>227</v>
      </c>
      <c r="AB534" s="165" t="str">
        <f>IFERROR(VLOOKUP(AA534,TD!$N$51:$O$66,2,0)," ")</f>
        <v>Sedes mantenidas</v>
      </c>
      <c r="AC534" s="161" t="str">
        <f>CONCATENATE(AA534,"_",AB534)</f>
        <v>016_Sedes mantenidas</v>
      </c>
      <c r="AD534" s="161" t="str">
        <f>CONCATENATE(Z534," ",AC534)</f>
        <v>08-Infraestructura física, mantenimiento y dotación (Sedes construidas, mantenidas reforzadas) 016_Sedes mantenidas</v>
      </c>
      <c r="AE534" s="165" t="str">
        <f>CONCATENATE(U534,V534,W534,X534,AA534)</f>
        <v>O23011745992024020708016</v>
      </c>
      <c r="AF534" s="165" t="str">
        <f>IFERROR(VLOOKUP(AD534,TD!$J$66:$K$89,2,0)," ")</f>
        <v>PM/0131/0108/45990160207</v>
      </c>
      <c r="AG534" s="118" t="s">
        <v>80</v>
      </c>
      <c r="AH534" s="175" t="s">
        <v>193</v>
      </c>
      <c r="AI534" s="166" t="str">
        <f>CONCATENATE(PAA[[#This Row],[Id Interno]],"-",PAA[[#This Row],[tipo de Contrato (TH talento humano - B/S bienes y/o servicios)]],"-",S534,"-",T534,"-",PAA[[#This Row],[Objeto de la contratación]])</f>
        <v>20260497-BS-8126-8-Mantenimiento preventivo y/o correctivo, y suministros de repuestos de los equipos gasodomésticos y solares y adecuaciones de las redes de gas natural para las Estaciones de la Unidad Administrativa Especial Cuerpo Oficial de Bomberos Bogotá -SGC</v>
      </c>
    </row>
    <row r="535" spans="2:35" ht="56" x14ac:dyDescent="0.35">
      <c r="B535" s="99">
        <v>20260498</v>
      </c>
      <c r="C535" s="99" t="s">
        <v>969</v>
      </c>
      <c r="D535" s="99" t="s">
        <v>83</v>
      </c>
      <c r="E535" s="99" t="s">
        <v>402</v>
      </c>
      <c r="F535" s="157" t="s">
        <v>136</v>
      </c>
      <c r="G535" s="157" t="s">
        <v>377</v>
      </c>
      <c r="H535" s="164">
        <v>8</v>
      </c>
      <c r="I535" s="164">
        <v>0</v>
      </c>
      <c r="J535" s="118">
        <v>50000000</v>
      </c>
      <c r="K535" s="126" t="s">
        <v>398</v>
      </c>
      <c r="L535" s="157" t="s">
        <v>155</v>
      </c>
      <c r="M535" s="163" t="s">
        <v>422</v>
      </c>
      <c r="N535" s="99" t="s">
        <v>197</v>
      </c>
      <c r="O535" s="151" t="s">
        <v>963</v>
      </c>
      <c r="P535" s="157" t="s">
        <v>348</v>
      </c>
      <c r="Q535" s="128">
        <v>72151800</v>
      </c>
      <c r="R535" s="163" t="s">
        <v>207</v>
      </c>
      <c r="S535" s="159" t="str">
        <f>MID(PAA[[#This Row],[Meta Proyecto de Inversión]],1,4)</f>
        <v>8126</v>
      </c>
      <c r="T535" s="159" t="str">
        <f>MID(PAA[[#This Row],[Meta Proyecto de Inversión]],6,1)</f>
        <v>8</v>
      </c>
      <c r="U535" s="165" t="str">
        <f>IFERROR(VLOOKUP(N535,TD!$B$50:$F$54,2,0)," ")</f>
        <v>O230117</v>
      </c>
      <c r="V535" s="165" t="str">
        <f>IFERROR(VLOOKUP(N535,TD!$B$50:$F$54,3,0)," ")</f>
        <v>4599</v>
      </c>
      <c r="W535" s="165">
        <f>IFERROR(VLOOKUP(N535,TD!$B$50:$F$54,4,0)," ")</f>
        <v>20240207</v>
      </c>
      <c r="X535" s="163" t="s">
        <v>174</v>
      </c>
      <c r="Y535" s="165" t="str">
        <f>IFERROR(VLOOKUP(X535,TD!$J$51:$K$64,2,0)," ")</f>
        <v>Infraestructura física, mantenimiento y dotación (Sedes construidas, mantenidas reforzadas)</v>
      </c>
      <c r="Z535" s="161" t="str">
        <f>CONCATENATE(X535,"-",Y535)</f>
        <v>08-Infraestructura física, mantenimiento y dotación (Sedes construidas, mantenidas reforzadas)</v>
      </c>
      <c r="AA535" s="163" t="s">
        <v>227</v>
      </c>
      <c r="AB535" s="165" t="str">
        <f>IFERROR(VLOOKUP(AA535,TD!$N$51:$O$66,2,0)," ")</f>
        <v>Sedes mantenidas</v>
      </c>
      <c r="AC535" s="161" t="str">
        <f>CONCATENATE(AA535,"_",AB535)</f>
        <v>016_Sedes mantenidas</v>
      </c>
      <c r="AD535" s="161" t="str">
        <f>CONCATENATE(Z535," ",AC535)</f>
        <v>08-Infraestructura física, mantenimiento y dotación (Sedes construidas, mantenidas reforzadas) 016_Sedes mantenidas</v>
      </c>
      <c r="AE535" s="165" t="str">
        <f>CONCATENATE(U535,V535,W535,X535,AA535)</f>
        <v>O23011745992024020708016</v>
      </c>
      <c r="AF535" s="165" t="str">
        <f>IFERROR(VLOOKUP(AD535,TD!$J$66:$K$89,2,0)," ")</f>
        <v>PM/0131/0108/45990160207</v>
      </c>
      <c r="AG535" s="118" t="s">
        <v>80</v>
      </c>
      <c r="AH535" s="175" t="s">
        <v>193</v>
      </c>
      <c r="AI535" s="166" t="str">
        <f>CONCATENATE(PAA[[#This Row],[Id Interno]],"-",PAA[[#This Row],[tipo de Contrato (TH talento humano - B/S bienes y/o servicios)]],"-",S535,"-",T535,"-",PAA[[#This Row],[Objeto de la contratación]])</f>
        <v>20260498-BS-8126-8-Mantenimiento preventivo y/o correctivo, y suministro de repuestos de los equipos de gimnasio de las diferentes instalaciones a cargo de la Unidad Administrativa Especial Cuerpo Oficial de Bomberos Bogotá -SGC</v>
      </c>
    </row>
    <row r="536" spans="2:35" ht="112" x14ac:dyDescent="0.35">
      <c r="B536" s="99">
        <v>20260499</v>
      </c>
      <c r="C536" s="99" t="s">
        <v>749</v>
      </c>
      <c r="D536" s="99" t="s">
        <v>88</v>
      </c>
      <c r="E536" s="99" t="s">
        <v>402</v>
      </c>
      <c r="F536" s="157" t="s">
        <v>141</v>
      </c>
      <c r="G536" s="157" t="s">
        <v>377</v>
      </c>
      <c r="H536" s="164">
        <v>4</v>
      </c>
      <c r="I536" s="164">
        <v>0</v>
      </c>
      <c r="J536" s="118">
        <v>670000000</v>
      </c>
      <c r="K536" s="126" t="s">
        <v>398</v>
      </c>
      <c r="L536" s="157" t="s">
        <v>155</v>
      </c>
      <c r="M536" s="163" t="s">
        <v>422</v>
      </c>
      <c r="N536" s="99" t="s">
        <v>198</v>
      </c>
      <c r="O536" s="151" t="s">
        <v>964</v>
      </c>
      <c r="P536" s="157" t="s">
        <v>348</v>
      </c>
      <c r="Q536" s="128" t="s">
        <v>787</v>
      </c>
      <c r="R536" s="163" t="s">
        <v>351</v>
      </c>
      <c r="S536" s="159" t="str">
        <f>MID(PAA[[#This Row],[Meta Proyecto de Inversión]],1,4)</f>
        <v>8173</v>
      </c>
      <c r="T536" s="159" t="str">
        <f>MID(PAA[[#This Row],[Meta Proyecto de Inversión]],6,1)</f>
        <v>1</v>
      </c>
      <c r="U536" s="165" t="str">
        <f>IFERROR(VLOOKUP(N536,TD!$B$50:$F$54,2,0)," ")</f>
        <v>O230117</v>
      </c>
      <c r="V536" s="165" t="str">
        <f>IFERROR(VLOOKUP(N536,TD!$B$50:$F$54,3,0)," ")</f>
        <v>4503</v>
      </c>
      <c r="W536" s="165">
        <f>IFERROR(VLOOKUP(N536,TD!$B$50:$F$54,4,0)," ")</f>
        <v>20240255</v>
      </c>
      <c r="X536" s="163">
        <v>14</v>
      </c>
      <c r="Y536" s="165" t="str">
        <f>IFERROR(VLOOKUP(X536,TD!$J$51:$K$64,2,0)," ")</f>
        <v xml:space="preserve">Infraestructura física misional construida mantenida y dotada </v>
      </c>
      <c r="Z536" s="161" t="str">
        <f>CONCATENATE(X536,"-",Y536)</f>
        <v xml:space="preserve">14-Infraestructura física misional construida mantenida y dotada </v>
      </c>
      <c r="AA536" s="163" t="s">
        <v>225</v>
      </c>
      <c r="AB536" s="165" t="str">
        <f>IFERROR(VLOOKUP(AA536,TD!$N$51:$O$66,2,0)," ")</f>
        <v>Estaciones de bomberos adecuadas</v>
      </c>
      <c r="AC536" s="161" t="str">
        <f>CONCATENATE(AA536,"_",AB536)</f>
        <v>014_Estaciones de bomberos adecuadas</v>
      </c>
      <c r="AD536" s="161" t="str">
        <f>CONCATENATE(Z536," ",AC536)</f>
        <v>14-Infraestructura física misional construida mantenida y dotada  014_Estaciones de bomberos adecuadas</v>
      </c>
      <c r="AE536" s="165" t="str">
        <f>CONCATENATE(U536,V536,W536,X536,AA536)</f>
        <v>O23011745032024025514014</v>
      </c>
      <c r="AF536" s="165" t="str">
        <f>IFERROR(VLOOKUP(AD536,TD!$J$66:$K$89,2,0)," ")</f>
        <v>PM/0131/0114/45030140255</v>
      </c>
      <c r="AG536" s="118" t="s">
        <v>355</v>
      </c>
      <c r="AH536" s="175" t="s">
        <v>193</v>
      </c>
      <c r="AI536" s="166" t="str">
        <f>CONCATENATE(PAA[[#This Row],[Id Interno]],"-",PAA[[#This Row],[tipo de Contrato (TH talento humano - B/S bienes y/o servicios)]],"-",S536,"-",T536,"-",PAA[[#This Row],[Objeto de la contratación]])</f>
        <v>20260499-BS-8173-1-Suministro  de muebles, enseres y demàs elementos requeridos para la Unidad Administrativa Especial Cuerpo Oficial de Bomberos Bogotá -SGC</v>
      </c>
    </row>
    <row r="537" spans="2:35" ht="28" x14ac:dyDescent="0.35">
      <c r="B537" s="23">
        <v>20260500</v>
      </c>
      <c r="C537" s="99" t="s">
        <v>750</v>
      </c>
      <c r="D537" s="23" t="s">
        <v>92</v>
      </c>
      <c r="E537" s="23" t="s">
        <v>402</v>
      </c>
      <c r="F537" s="156" t="s">
        <v>136</v>
      </c>
      <c r="G537" s="157" t="s">
        <v>375</v>
      </c>
      <c r="H537" s="158">
        <v>11</v>
      </c>
      <c r="I537" s="158">
        <v>0</v>
      </c>
      <c r="J537" s="127">
        <v>20000000</v>
      </c>
      <c r="K537" s="88" t="s">
        <v>398</v>
      </c>
      <c r="L537" s="156" t="s">
        <v>155</v>
      </c>
      <c r="M537" s="159" t="s">
        <v>422</v>
      </c>
      <c r="N537" s="23" t="s">
        <v>197</v>
      </c>
      <c r="O537" s="151" t="s">
        <v>963</v>
      </c>
      <c r="P537" s="156" t="s">
        <v>348</v>
      </c>
      <c r="Q537" s="53" t="s">
        <v>788</v>
      </c>
      <c r="R537" s="159" t="s">
        <v>207</v>
      </c>
      <c r="S537" s="159" t="str">
        <f>MID(PAA[[#This Row],[Meta Proyecto de Inversión]],1,4)</f>
        <v>8126</v>
      </c>
      <c r="T537" s="159" t="str">
        <f>MID(PAA[[#This Row],[Meta Proyecto de Inversión]],6,1)</f>
        <v>8</v>
      </c>
      <c r="U537" s="160" t="str">
        <f>IFERROR(VLOOKUP(N537,TD!$B$50:$F$54,2,0)," ")</f>
        <v>O230117</v>
      </c>
      <c r="V537" s="160" t="str">
        <f>IFERROR(VLOOKUP(N537,TD!$B$50:$F$54,3,0)," ")</f>
        <v>4599</v>
      </c>
      <c r="W537" s="160">
        <f>IFERROR(VLOOKUP(N537,TD!$B$50:$F$54,4,0)," ")</f>
        <v>20240207</v>
      </c>
      <c r="X537" s="159" t="s">
        <v>174</v>
      </c>
      <c r="Y537" s="160" t="str">
        <f>IFERROR(VLOOKUP(X537,TD!$J$51:$K$64,2,0)," ")</f>
        <v>Infraestructura física, mantenimiento y dotación (Sedes construidas, mantenidas reforzadas)</v>
      </c>
      <c r="Z537" s="161" t="str">
        <f>CONCATENATE(X537,"-",Y537)</f>
        <v>08-Infraestructura física, mantenimiento y dotación (Sedes construidas, mantenidas reforzadas)</v>
      </c>
      <c r="AA537" s="159" t="s">
        <v>227</v>
      </c>
      <c r="AB537" s="160" t="str">
        <f>IFERROR(VLOOKUP(AA537,TD!$N$51:$O$66,2,0)," ")</f>
        <v>Sedes mantenidas</v>
      </c>
      <c r="AC537" s="161" t="str">
        <f>CONCATENATE(AA537,"_",AB537)</f>
        <v>016_Sedes mantenidas</v>
      </c>
      <c r="AD537" s="161" t="str">
        <f>CONCATENATE(Z537," ",AC537)</f>
        <v>08-Infraestructura física, mantenimiento y dotación (Sedes construidas, mantenidas reforzadas) 016_Sedes mantenidas</v>
      </c>
      <c r="AE537" s="160" t="str">
        <f>CONCATENATE(U537,V537,W537,X537,AA537)</f>
        <v>O23011745992024020708016</v>
      </c>
      <c r="AF537" s="160" t="str">
        <f>IFERROR(VLOOKUP(AD537,TD!$J$66:$K$89,2,0)," ")</f>
        <v>PM/0131/0108/45990160207</v>
      </c>
      <c r="AG537" s="118" t="s">
        <v>943</v>
      </c>
      <c r="AH537" s="168" t="s">
        <v>193</v>
      </c>
      <c r="AI537" s="162" t="str">
        <f>CONCATENATE(PAA[[#This Row],[Id Interno]],"-",PAA[[#This Row],[tipo de Contrato (TH talento humano - B/S bienes y/o servicios)]],"-",S537,"-",T537,"-",PAA[[#This Row],[Objeto de la contratación]])</f>
        <v>20260500-BS-8126-8-Mantenimiento preventivo y/o correctivo, suministros y repuestos de los electrodomésticos de las instalaciones a cargo de la UAE Cuerpo Oficial de Bomberos Bogotá-SGC</v>
      </c>
    </row>
    <row r="538" spans="2:35" ht="42" x14ac:dyDescent="0.35">
      <c r="B538" s="23">
        <v>20260501</v>
      </c>
      <c r="C538" s="99" t="s">
        <v>751</v>
      </c>
      <c r="D538" s="23" t="s">
        <v>83</v>
      </c>
      <c r="E538" s="23" t="s">
        <v>402</v>
      </c>
      <c r="F538" s="156" t="s">
        <v>136</v>
      </c>
      <c r="G538" s="157" t="s">
        <v>375</v>
      </c>
      <c r="H538" s="158">
        <v>11</v>
      </c>
      <c r="I538" s="158">
        <v>0</v>
      </c>
      <c r="J538" s="127">
        <v>120000000</v>
      </c>
      <c r="K538" s="88" t="s">
        <v>398</v>
      </c>
      <c r="L538" s="156" t="s">
        <v>155</v>
      </c>
      <c r="M538" s="159" t="s">
        <v>422</v>
      </c>
      <c r="N538" s="23" t="s">
        <v>197</v>
      </c>
      <c r="O538" s="151" t="s">
        <v>963</v>
      </c>
      <c r="P538" s="156" t="s">
        <v>348</v>
      </c>
      <c r="Q538" s="53" t="s">
        <v>789</v>
      </c>
      <c r="R538" s="159" t="s">
        <v>207</v>
      </c>
      <c r="S538" s="159" t="str">
        <f>MID(PAA[[#This Row],[Meta Proyecto de Inversión]],1,4)</f>
        <v>8126</v>
      </c>
      <c r="T538" s="159" t="str">
        <f>MID(PAA[[#This Row],[Meta Proyecto de Inversión]],6,1)</f>
        <v>8</v>
      </c>
      <c r="U538" s="160" t="str">
        <f>IFERROR(VLOOKUP(N538,TD!$B$50:$F$54,2,0)," ")</f>
        <v>O230117</v>
      </c>
      <c r="V538" s="160" t="str">
        <f>IFERROR(VLOOKUP(N538,TD!$B$50:$F$54,3,0)," ")</f>
        <v>4599</v>
      </c>
      <c r="W538" s="160">
        <f>IFERROR(VLOOKUP(N538,TD!$B$50:$F$54,4,0)," ")</f>
        <v>20240207</v>
      </c>
      <c r="X538" s="159" t="s">
        <v>174</v>
      </c>
      <c r="Y538" s="160" t="str">
        <f>IFERROR(VLOOKUP(X538,TD!$J$51:$K$64,2,0)," ")</f>
        <v>Infraestructura física, mantenimiento y dotación (Sedes construidas, mantenidas reforzadas)</v>
      </c>
      <c r="Z538" s="161" t="str">
        <f>CONCATENATE(X538,"-",Y538)</f>
        <v>08-Infraestructura física, mantenimiento y dotación (Sedes construidas, mantenidas reforzadas)</v>
      </c>
      <c r="AA538" s="159" t="s">
        <v>227</v>
      </c>
      <c r="AB538" s="160" t="str">
        <f>IFERROR(VLOOKUP(AA538,TD!$N$51:$O$66,2,0)," ")</f>
        <v>Sedes mantenidas</v>
      </c>
      <c r="AC538" s="161" t="str">
        <f>CONCATENATE(AA538,"_",AB538)</f>
        <v>016_Sedes mantenidas</v>
      </c>
      <c r="AD538" s="161" t="str">
        <f>CONCATENATE(Z538," ",AC538)</f>
        <v>08-Infraestructura física, mantenimiento y dotación (Sedes construidas, mantenidas reforzadas) 016_Sedes mantenidas</v>
      </c>
      <c r="AE538" s="160" t="str">
        <f>CONCATENATE(U538,V538,W538,X538,AA538)</f>
        <v>O23011745992024020708016</v>
      </c>
      <c r="AF538" s="160" t="str">
        <f>IFERROR(VLOOKUP(AD538,TD!$J$66:$K$89,2,0)," ")</f>
        <v>PM/0131/0108/45990160207</v>
      </c>
      <c r="AG538" s="118" t="s">
        <v>945</v>
      </c>
      <c r="AH538" s="159" t="s">
        <v>193</v>
      </c>
      <c r="AI538" s="162" t="str">
        <f>CONCATENATE(PAA[[#This Row],[Id Interno]],"-",PAA[[#This Row],[tipo de Contrato (TH talento humano - B/S bienes y/o servicios)]],"-",S538,"-",T538,"-",PAA[[#This Row],[Objeto de la contratación]])</f>
        <v>20260501-BS-8126-8-Mantenimiento preventivo y correctivo, que incluye el suministro de insumos y repuestos de las plantas eléctricas ubicadas en los diferentes edificios de la Unidad Administrativa Especial Cuerpo Oficial de Bomberos Bogotá -SGC</v>
      </c>
    </row>
    <row r="539" spans="2:35" ht="42" x14ac:dyDescent="0.35">
      <c r="B539" s="23">
        <v>20260502</v>
      </c>
      <c r="C539" s="99" t="s">
        <v>752</v>
      </c>
      <c r="D539" s="23" t="s">
        <v>83</v>
      </c>
      <c r="E539" s="23" t="s">
        <v>402</v>
      </c>
      <c r="F539" s="156" t="s">
        <v>136</v>
      </c>
      <c r="G539" s="157" t="s">
        <v>375</v>
      </c>
      <c r="H539" s="158">
        <v>10</v>
      </c>
      <c r="I539" s="158">
        <v>0</v>
      </c>
      <c r="J539" s="127">
        <v>180000000</v>
      </c>
      <c r="K539" s="88" t="s">
        <v>398</v>
      </c>
      <c r="L539" s="156" t="s">
        <v>155</v>
      </c>
      <c r="M539" s="159" t="s">
        <v>422</v>
      </c>
      <c r="N539" s="23" t="s">
        <v>197</v>
      </c>
      <c r="O539" s="151" t="s">
        <v>963</v>
      </c>
      <c r="P539" s="156" t="s">
        <v>348</v>
      </c>
      <c r="Q539" s="53" t="s">
        <v>790</v>
      </c>
      <c r="R539" s="159" t="s">
        <v>207</v>
      </c>
      <c r="S539" s="159" t="str">
        <f>MID(PAA[[#This Row],[Meta Proyecto de Inversión]],1,4)</f>
        <v>8126</v>
      </c>
      <c r="T539" s="159" t="str">
        <f>MID(PAA[[#This Row],[Meta Proyecto de Inversión]],6,1)</f>
        <v>8</v>
      </c>
      <c r="U539" s="160" t="str">
        <f>IFERROR(VLOOKUP(N539,TD!$B$50:$F$54,2,0)," ")</f>
        <v>O230117</v>
      </c>
      <c r="V539" s="160" t="str">
        <f>IFERROR(VLOOKUP(N539,TD!$B$50:$F$54,3,0)," ")</f>
        <v>4599</v>
      </c>
      <c r="W539" s="160">
        <f>IFERROR(VLOOKUP(N539,TD!$B$50:$F$54,4,0)," ")</f>
        <v>20240207</v>
      </c>
      <c r="X539" s="159" t="s">
        <v>174</v>
      </c>
      <c r="Y539" s="160" t="str">
        <f>IFERROR(VLOOKUP(X539,TD!$J$51:$K$64,2,0)," ")</f>
        <v>Infraestructura física, mantenimiento y dotación (Sedes construidas, mantenidas reforzadas)</v>
      </c>
      <c r="Z539" s="161" t="str">
        <f>CONCATENATE(X539,"-",Y539)</f>
        <v>08-Infraestructura física, mantenimiento y dotación (Sedes construidas, mantenidas reforzadas)</v>
      </c>
      <c r="AA539" s="159" t="s">
        <v>227</v>
      </c>
      <c r="AB539" s="160" t="str">
        <f>IFERROR(VLOOKUP(AA539,TD!$N$51:$O$66,2,0)," ")</f>
        <v>Sedes mantenidas</v>
      </c>
      <c r="AC539" s="161" t="str">
        <f>CONCATENATE(AA539,"_",AB539)</f>
        <v>016_Sedes mantenidas</v>
      </c>
      <c r="AD539" s="161" t="str">
        <f>CONCATENATE(Z539," ",AC539)</f>
        <v>08-Infraestructura física, mantenimiento y dotación (Sedes construidas, mantenidas reforzadas) 016_Sedes mantenidas</v>
      </c>
      <c r="AE539" s="160" t="str">
        <f>CONCATENATE(U539,V539,W539,X539,AA539)</f>
        <v>O23011745992024020708016</v>
      </c>
      <c r="AF539" s="160" t="str">
        <f>IFERROR(VLOOKUP(AD539,TD!$J$66:$K$89,2,0)," ")</f>
        <v>PM/0131/0108/45990160207</v>
      </c>
      <c r="AG539" s="118" t="s">
        <v>587</v>
      </c>
      <c r="AH539" s="168" t="s">
        <v>193</v>
      </c>
      <c r="AI539" s="162" t="str">
        <f>CONCATENATE(PAA[[#This Row],[Id Interno]],"-",PAA[[#This Row],[tipo de Contrato (TH talento humano - B/S bienes y/o servicios)]],"-",S539,"-",T539,"-",PAA[[#This Row],[Objeto de la contratación]])</f>
        <v>20260502-BS-8126-8-Mantenimiento correctivo y/o preventivo, adquisición de repuestos y el suministro e instalación de los equipos hidroneumáticos, motobombas eléctricas, bombas sumergibles, tableros de control y fuerza y demás equipos de bombeo de las instalaciones para la Unidad Administrativa Especial Cuerpo Oficial de Bomberos Bogotá -SGC</v>
      </c>
    </row>
    <row r="540" spans="2:35" ht="56" x14ac:dyDescent="0.35">
      <c r="B540" s="23">
        <v>20260503</v>
      </c>
      <c r="C540" s="99" t="s">
        <v>753</v>
      </c>
      <c r="D540" s="23" t="s">
        <v>83</v>
      </c>
      <c r="E540" s="23" t="s">
        <v>402</v>
      </c>
      <c r="F540" s="156" t="s">
        <v>136</v>
      </c>
      <c r="G540" s="157" t="s">
        <v>375</v>
      </c>
      <c r="H540" s="158">
        <v>10</v>
      </c>
      <c r="I540" s="158">
        <v>0</v>
      </c>
      <c r="J540" s="127">
        <v>180000000</v>
      </c>
      <c r="K540" s="88" t="s">
        <v>398</v>
      </c>
      <c r="L540" s="156" t="s">
        <v>155</v>
      </c>
      <c r="M540" s="159" t="s">
        <v>422</v>
      </c>
      <c r="N540" s="23" t="s">
        <v>197</v>
      </c>
      <c r="O540" s="151" t="s">
        <v>963</v>
      </c>
      <c r="P540" s="156" t="s">
        <v>348</v>
      </c>
      <c r="Q540" s="53" t="s">
        <v>791</v>
      </c>
      <c r="R540" s="159" t="s">
        <v>207</v>
      </c>
      <c r="S540" s="159" t="str">
        <f>MID(PAA[[#This Row],[Meta Proyecto de Inversión]],1,4)</f>
        <v>8126</v>
      </c>
      <c r="T540" s="159" t="str">
        <f>MID(PAA[[#This Row],[Meta Proyecto de Inversión]],6,1)</f>
        <v>8</v>
      </c>
      <c r="U540" s="160" t="str">
        <f>IFERROR(VLOOKUP(N540,TD!$B$50:$F$54,2,0)," ")</f>
        <v>O230117</v>
      </c>
      <c r="V540" s="160" t="str">
        <f>IFERROR(VLOOKUP(N540,TD!$B$50:$F$54,3,0)," ")</f>
        <v>4599</v>
      </c>
      <c r="W540" s="160">
        <f>IFERROR(VLOOKUP(N540,TD!$B$50:$F$54,4,0)," ")</f>
        <v>20240207</v>
      </c>
      <c r="X540" s="159" t="s">
        <v>174</v>
      </c>
      <c r="Y540" s="160" t="str">
        <f>IFERROR(VLOOKUP(X540,TD!$J$51:$K$64,2,0)," ")</f>
        <v>Infraestructura física, mantenimiento y dotación (Sedes construidas, mantenidas reforzadas)</v>
      </c>
      <c r="Z540" s="161" t="str">
        <f>CONCATENATE(X540,"-",Y540)</f>
        <v>08-Infraestructura física, mantenimiento y dotación (Sedes construidas, mantenidas reforzadas)</v>
      </c>
      <c r="AA540" s="159" t="s">
        <v>227</v>
      </c>
      <c r="AB540" s="160" t="str">
        <f>IFERROR(VLOOKUP(AA540,TD!$N$51:$O$66,2,0)," ")</f>
        <v>Sedes mantenidas</v>
      </c>
      <c r="AC540" s="161" t="str">
        <f>CONCATENATE(AA540,"_",AB540)</f>
        <v>016_Sedes mantenidas</v>
      </c>
      <c r="AD540" s="161" t="str">
        <f>CONCATENATE(Z540," ",AC540)</f>
        <v>08-Infraestructura física, mantenimiento y dotación (Sedes construidas, mantenidas reforzadas) 016_Sedes mantenidas</v>
      </c>
      <c r="AE540" s="160" t="str">
        <f>CONCATENATE(U540,V540,W540,X540,AA540)</f>
        <v>O23011745992024020708016</v>
      </c>
      <c r="AF540" s="160" t="str">
        <f>IFERROR(VLOOKUP(AD540,TD!$J$66:$K$89,2,0)," ")</f>
        <v>PM/0131/0108/45990160207</v>
      </c>
      <c r="AG540" s="118" t="s">
        <v>944</v>
      </c>
      <c r="AH540" s="159" t="s">
        <v>193</v>
      </c>
      <c r="AI540" s="162" t="str">
        <f>CONCATENATE(PAA[[#This Row],[Id Interno]],"-",PAA[[#This Row],[tipo de Contrato (TH talento humano - B/S bienes y/o servicios)]],"-",S540,"-",T540,"-",PAA[[#This Row],[Objeto de la contratación]])</f>
        <v>20260503-BS-8126-8-Mantenimiento preventivo y correctivo de la red contraincendios  y sistemas de detención de alarmas contra incendios de las estaciones de bomberos de la  Unidad Administrativa Especial Cuerpo Oficial de Bomberos Bogotá -SGC</v>
      </c>
    </row>
    <row r="541" spans="2:35" ht="28" x14ac:dyDescent="0.35">
      <c r="B541" s="23">
        <v>20260504</v>
      </c>
      <c r="C541" s="99" t="s">
        <v>754</v>
      </c>
      <c r="D541" s="23" t="s">
        <v>114</v>
      </c>
      <c r="E541" s="23" t="s">
        <v>402</v>
      </c>
      <c r="F541" s="156" t="s">
        <v>111</v>
      </c>
      <c r="G541" s="157" t="s">
        <v>375</v>
      </c>
      <c r="H541" s="158">
        <v>10</v>
      </c>
      <c r="I541" s="158">
        <v>0</v>
      </c>
      <c r="J541" s="127">
        <v>400000000</v>
      </c>
      <c r="K541" s="88" t="s">
        <v>398</v>
      </c>
      <c r="L541" s="156" t="s">
        <v>155</v>
      </c>
      <c r="M541" s="159" t="s">
        <v>422</v>
      </c>
      <c r="N541" s="23" t="s">
        <v>197</v>
      </c>
      <c r="O541" s="151" t="s">
        <v>963</v>
      </c>
      <c r="P541" s="156" t="s">
        <v>348</v>
      </c>
      <c r="Q541" s="53" t="s">
        <v>792</v>
      </c>
      <c r="R541" s="159" t="s">
        <v>207</v>
      </c>
      <c r="S541" s="159" t="str">
        <f>MID(PAA[[#This Row],[Meta Proyecto de Inversión]],1,4)</f>
        <v>8126</v>
      </c>
      <c r="T541" s="159" t="str">
        <f>MID(PAA[[#This Row],[Meta Proyecto de Inversión]],6,1)</f>
        <v>8</v>
      </c>
      <c r="U541" s="160" t="str">
        <f>IFERROR(VLOOKUP(N541,TD!$B$50:$F$54,2,0)," ")</f>
        <v>O230117</v>
      </c>
      <c r="V541" s="160" t="str">
        <f>IFERROR(VLOOKUP(N541,TD!$B$50:$F$54,3,0)," ")</f>
        <v>4599</v>
      </c>
      <c r="W541" s="160">
        <f>IFERROR(VLOOKUP(N541,TD!$B$50:$F$54,4,0)," ")</f>
        <v>20240207</v>
      </c>
      <c r="X541" s="159" t="s">
        <v>174</v>
      </c>
      <c r="Y541" s="160" t="str">
        <f>IFERROR(VLOOKUP(X541,TD!$J$51:$K$64,2,0)," ")</f>
        <v>Infraestructura física, mantenimiento y dotación (Sedes construidas, mantenidas reforzadas)</v>
      </c>
      <c r="Z541" s="161" t="str">
        <f>CONCATENATE(X541,"-",Y541)</f>
        <v>08-Infraestructura física, mantenimiento y dotación (Sedes construidas, mantenidas reforzadas)</v>
      </c>
      <c r="AA541" s="159" t="s">
        <v>227</v>
      </c>
      <c r="AB541" s="160" t="str">
        <f>IFERROR(VLOOKUP(AA541,TD!$N$51:$O$66,2,0)," ")</f>
        <v>Sedes mantenidas</v>
      </c>
      <c r="AC541" s="161" t="str">
        <f>CONCATENATE(AA541,"_",AB541)</f>
        <v>016_Sedes mantenidas</v>
      </c>
      <c r="AD541" s="161" t="str">
        <f>CONCATENATE(Z541," ",AC541)</f>
        <v>08-Infraestructura física, mantenimiento y dotación (Sedes construidas, mantenidas reforzadas) 016_Sedes mantenidas</v>
      </c>
      <c r="AE541" s="160" t="str">
        <f>CONCATENATE(U541,V541,W541,X541,AA541)</f>
        <v>O23011745992024020708016</v>
      </c>
      <c r="AF541" s="160" t="str">
        <f>IFERROR(VLOOKUP(AD541,TD!$J$66:$K$89,2,0)," ")</f>
        <v>PM/0131/0108/45990160207</v>
      </c>
      <c r="AG541" s="118" t="s">
        <v>941</v>
      </c>
      <c r="AH541" s="168" t="s">
        <v>193</v>
      </c>
      <c r="AI541" s="162" t="str">
        <f>CONCATENATE(PAA[[#This Row],[Id Interno]],"-",PAA[[#This Row],[tipo de Contrato (TH talento humano - B/S bienes y/o servicios)]],"-",S541,"-",T541,"-",PAA[[#This Row],[Objeto de la contratación]])</f>
        <v>20260504-BS-8126-8-Suministro de materiales, equipos y herramientas para el mejoramiento integral de las instalaciones para la Unidad Administrativa Especial Cuerpo Oficial de Bomberos Bogotá -SGC</v>
      </c>
    </row>
    <row r="542" spans="2:35" ht="56" x14ac:dyDescent="0.35">
      <c r="B542" s="23">
        <v>20260507</v>
      </c>
      <c r="C542" s="99" t="s">
        <v>756</v>
      </c>
      <c r="D542" s="23" t="s">
        <v>88</v>
      </c>
      <c r="E542" s="23" t="s">
        <v>402</v>
      </c>
      <c r="F542" s="23" t="s">
        <v>101</v>
      </c>
      <c r="G542" s="129" t="s">
        <v>375</v>
      </c>
      <c r="H542" s="136">
        <v>4</v>
      </c>
      <c r="I542" s="158">
        <v>0</v>
      </c>
      <c r="J542" s="127">
        <v>631001000</v>
      </c>
      <c r="K542" s="88" t="s">
        <v>398</v>
      </c>
      <c r="L542" s="156" t="s">
        <v>155</v>
      </c>
      <c r="M542" s="159" t="s">
        <v>422</v>
      </c>
      <c r="N542" s="23" t="s">
        <v>198</v>
      </c>
      <c r="O542" s="151" t="s">
        <v>964</v>
      </c>
      <c r="P542" s="159" t="s">
        <v>348</v>
      </c>
      <c r="Q542" s="53" t="s">
        <v>795</v>
      </c>
      <c r="R542" s="159" t="s">
        <v>351</v>
      </c>
      <c r="S542" s="159" t="str">
        <f>MID(PAA[[#This Row],[Meta Proyecto de Inversión]],1,4)</f>
        <v>8173</v>
      </c>
      <c r="T542" s="159" t="str">
        <f>MID(PAA[[#This Row],[Meta Proyecto de Inversión]],6,1)</f>
        <v>1</v>
      </c>
      <c r="U542" s="160" t="str">
        <f>IFERROR(VLOOKUP(N542,TD!$B$50:$F$54,2,0)," ")</f>
        <v>O230117</v>
      </c>
      <c r="V542" s="160" t="str">
        <f>IFERROR(VLOOKUP(N542,TD!$B$50:$F$54,3,0)," ")</f>
        <v>4503</v>
      </c>
      <c r="W542" s="160">
        <f>IFERROR(VLOOKUP(N542,TD!$B$50:$F$54,4,0)," ")</f>
        <v>20240255</v>
      </c>
      <c r="X542" s="159">
        <v>14</v>
      </c>
      <c r="Y542" s="160" t="str">
        <f>IFERROR(VLOOKUP(X542,TD!$J$51:$K$64,2,0)," ")</f>
        <v xml:space="preserve">Infraestructura física misional construida mantenida y dotada </v>
      </c>
      <c r="Z542" s="161" t="str">
        <f>CONCATENATE(X542,"-",Y542)</f>
        <v xml:space="preserve">14-Infraestructura física misional construida mantenida y dotada </v>
      </c>
      <c r="AA542" s="159" t="s">
        <v>225</v>
      </c>
      <c r="AB542" s="160" t="str">
        <f>IFERROR(VLOOKUP(AA542,TD!$N$51:$O$66,2,0)," ")</f>
        <v>Estaciones de bomberos adecuadas</v>
      </c>
      <c r="AC542" s="161" t="str">
        <f>CONCATENATE(AA542,"_",AB542)</f>
        <v>014_Estaciones de bomberos adecuadas</v>
      </c>
      <c r="AD542" s="161" t="str">
        <f>CONCATENATE(Z542," ",AC542)</f>
        <v>14-Infraestructura física misional construida mantenida y dotada  014_Estaciones de bomberos adecuadas</v>
      </c>
      <c r="AE542" s="160" t="str">
        <f>CONCATENATE(U542,V542,W542,X542,AA542)</f>
        <v>O23011745032024025514014</v>
      </c>
      <c r="AF542" s="160" t="str">
        <f>IFERROR(VLOOKUP(AD542,TD!$J$66:$K$89,2,0)," ")</f>
        <v>PM/0131/0114/45030140255</v>
      </c>
      <c r="AG542" s="118" t="s">
        <v>355</v>
      </c>
      <c r="AH542" s="159" t="s">
        <v>193</v>
      </c>
      <c r="AI542" s="162" t="str">
        <f>CONCATENATE(PAA[[#This Row],[Id Interno]],"-",PAA[[#This Row],[tipo de Contrato (TH talento humano - B/S bienes y/o servicios)]],"-",S542,"-",T542,"-",PAA[[#This Row],[Objeto de la contratación]])</f>
        <v>20260507-BS-8173-1-Adquisición de elementos requeridos para las estaciones de bomberos B-18 Bosa la Cabaña y B-19 Casa de Teja de la  Unidad Administrativa Especial Cuerpo Oficial de Bomberos Bogotá -SGC</v>
      </c>
    </row>
    <row r="543" spans="2:35" ht="42" x14ac:dyDescent="0.35">
      <c r="B543" s="99">
        <v>20260508</v>
      </c>
      <c r="C543" s="99" t="s">
        <v>757</v>
      </c>
      <c r="D543" s="99" t="s">
        <v>83</v>
      </c>
      <c r="E543" s="99" t="s">
        <v>402</v>
      </c>
      <c r="F543" s="99" t="s">
        <v>136</v>
      </c>
      <c r="G543" s="129" t="s">
        <v>376</v>
      </c>
      <c r="H543" s="153">
        <v>10</v>
      </c>
      <c r="I543" s="164">
        <v>0</v>
      </c>
      <c r="J543" s="118">
        <v>127000000</v>
      </c>
      <c r="K543" s="126" t="s">
        <v>398</v>
      </c>
      <c r="L543" s="157" t="s">
        <v>155</v>
      </c>
      <c r="M543" s="163" t="s">
        <v>422</v>
      </c>
      <c r="N543" s="99" t="s">
        <v>197</v>
      </c>
      <c r="O543" s="151" t="s">
        <v>963</v>
      </c>
      <c r="P543" s="163" t="s">
        <v>348</v>
      </c>
      <c r="Q543" s="128" t="s">
        <v>796</v>
      </c>
      <c r="R543" s="163" t="s">
        <v>207</v>
      </c>
      <c r="S543" s="159" t="str">
        <f>MID(PAA[[#This Row],[Meta Proyecto de Inversión]],1,4)</f>
        <v>8126</v>
      </c>
      <c r="T543" s="159" t="str">
        <f>MID(PAA[[#This Row],[Meta Proyecto de Inversión]],6,1)</f>
        <v>8</v>
      </c>
      <c r="U543" s="165" t="str">
        <f>IFERROR(VLOOKUP(N543,TD!$B$50:$F$54,2,0)," ")</f>
        <v>O230117</v>
      </c>
      <c r="V543" s="165" t="str">
        <f>IFERROR(VLOOKUP(N543,TD!$B$50:$F$54,3,0)," ")</f>
        <v>4599</v>
      </c>
      <c r="W543" s="165">
        <f>IFERROR(VLOOKUP(N543,TD!$B$50:$F$54,4,0)," ")</f>
        <v>20240207</v>
      </c>
      <c r="X543" s="163" t="s">
        <v>174</v>
      </c>
      <c r="Y543" s="165" t="str">
        <f>IFERROR(VLOOKUP(X543,TD!$J$51:$K$64,2,0)," ")</f>
        <v>Infraestructura física, mantenimiento y dotación (Sedes construidas, mantenidas reforzadas)</v>
      </c>
      <c r="Z543" s="161" t="str">
        <f>CONCATENATE(X543,"-",Y543)</f>
        <v>08-Infraestructura física, mantenimiento y dotación (Sedes construidas, mantenidas reforzadas)</v>
      </c>
      <c r="AA543" s="163" t="s">
        <v>227</v>
      </c>
      <c r="AB543" s="165" t="str">
        <f>IFERROR(VLOOKUP(AA543,TD!$N$51:$O$66,2,0)," ")</f>
        <v>Sedes mantenidas</v>
      </c>
      <c r="AC543" s="161" t="str">
        <f>CONCATENATE(AA543,"_",AB543)</f>
        <v>016_Sedes mantenidas</v>
      </c>
      <c r="AD543" s="161" t="str">
        <f>CONCATENATE(Z543," ",AC543)</f>
        <v>08-Infraestructura física, mantenimiento y dotación (Sedes construidas, mantenidas reforzadas) 016_Sedes mantenidas</v>
      </c>
      <c r="AE543" s="165" t="str">
        <f>CONCATENATE(U543,V543,W543,X543,AA543)</f>
        <v>O23011745992024020708016</v>
      </c>
      <c r="AF543" s="165" t="str">
        <f>IFERROR(VLOOKUP(AD543,TD!$J$66:$K$89,2,0)," ")</f>
        <v>PM/0131/0108/45990160207</v>
      </c>
      <c r="AG543" s="118" t="s">
        <v>943</v>
      </c>
      <c r="AH543" s="175" t="s">
        <v>193</v>
      </c>
      <c r="AI543" s="166" t="str">
        <f>CONCATENATE(PAA[[#This Row],[Id Interno]],"-",PAA[[#This Row],[tipo de Contrato (TH talento humano - B/S bienes y/o servicios)]],"-",S543,"-",T543,"-",PAA[[#This Row],[Objeto de la contratación]])</f>
        <v>20260508-BS-8126-8-Mantenimiento preventivo y correctivo, que incluye el suministro de insumos y repuestos de las lavadoras y secadoras industriales ubicadas en las estaciones de bomberos de la UAE Cuerpo Oficial de Bomberos de Bogotá-SGC</v>
      </c>
    </row>
    <row r="544" spans="2:35" ht="56" x14ac:dyDescent="0.35">
      <c r="B544" s="23">
        <v>20260510</v>
      </c>
      <c r="C544" s="99" t="s">
        <v>759</v>
      </c>
      <c r="D544" s="23" t="s">
        <v>83</v>
      </c>
      <c r="E544" s="23" t="s">
        <v>402</v>
      </c>
      <c r="F544" s="23" t="s">
        <v>136</v>
      </c>
      <c r="G544" s="129" t="s">
        <v>378</v>
      </c>
      <c r="H544" s="136">
        <v>9</v>
      </c>
      <c r="I544" s="158">
        <v>0</v>
      </c>
      <c r="J544" s="127">
        <v>250000000</v>
      </c>
      <c r="K544" s="88" t="s">
        <v>398</v>
      </c>
      <c r="L544" s="156" t="s">
        <v>155</v>
      </c>
      <c r="M544" s="159" t="s">
        <v>422</v>
      </c>
      <c r="N544" s="23" t="s">
        <v>197</v>
      </c>
      <c r="O544" s="151" t="s">
        <v>963</v>
      </c>
      <c r="P544" s="159" t="s">
        <v>348</v>
      </c>
      <c r="Q544" s="53" t="s">
        <v>797</v>
      </c>
      <c r="R544" s="159" t="s">
        <v>207</v>
      </c>
      <c r="S544" s="159" t="str">
        <f>MID(PAA[[#This Row],[Meta Proyecto de Inversión]],1,4)</f>
        <v>8126</v>
      </c>
      <c r="T544" s="159" t="str">
        <f>MID(PAA[[#This Row],[Meta Proyecto de Inversión]],6,1)</f>
        <v>8</v>
      </c>
      <c r="U544" s="160" t="str">
        <f>IFERROR(VLOOKUP(N544,TD!$B$50:$F$54,2,0)," ")</f>
        <v>O230117</v>
      </c>
      <c r="V544" s="160" t="str">
        <f>IFERROR(VLOOKUP(N544,TD!$B$50:$F$54,3,0)," ")</f>
        <v>4599</v>
      </c>
      <c r="W544" s="160">
        <f>IFERROR(VLOOKUP(N544,TD!$B$50:$F$54,4,0)," ")</f>
        <v>20240207</v>
      </c>
      <c r="X544" s="159" t="s">
        <v>174</v>
      </c>
      <c r="Y544" s="160" t="str">
        <f>IFERROR(VLOOKUP(X544,TD!$J$51:$K$64,2,0)," ")</f>
        <v>Infraestructura física, mantenimiento y dotación (Sedes construidas, mantenidas reforzadas)</v>
      </c>
      <c r="Z544" s="161" t="str">
        <f>CONCATENATE(X544,"-",Y544)</f>
        <v>08-Infraestructura física, mantenimiento y dotación (Sedes construidas, mantenidas reforzadas)</v>
      </c>
      <c r="AA544" s="159" t="s">
        <v>227</v>
      </c>
      <c r="AB544" s="160" t="str">
        <f>IFERROR(VLOOKUP(AA544,TD!$N$51:$O$66,2,0)," ")</f>
        <v>Sedes mantenidas</v>
      </c>
      <c r="AC544" s="161" t="str">
        <f>CONCATENATE(AA544,"_",AB544)</f>
        <v>016_Sedes mantenidas</v>
      </c>
      <c r="AD544" s="161" t="str">
        <f>CONCATENATE(Z544," ",AC544)</f>
        <v>08-Infraestructura física, mantenimiento y dotación (Sedes construidas, mantenidas reforzadas) 016_Sedes mantenidas</v>
      </c>
      <c r="AE544" s="160" t="str">
        <f>CONCATENATE(U544,V544,W544,X544,AA544)</f>
        <v>O23011745992024020708016</v>
      </c>
      <c r="AF544" s="160" t="str">
        <f>IFERROR(VLOOKUP(AD544,TD!$J$66:$K$89,2,0)," ")</f>
        <v>PM/0131/0108/45990160207</v>
      </c>
      <c r="AG544" s="118" t="s">
        <v>80</v>
      </c>
      <c r="AH544" s="168" t="s">
        <v>193</v>
      </c>
      <c r="AI544" s="162" t="str">
        <f>CONCATENATE(PAA[[#This Row],[Id Interno]],"-",PAA[[#This Row],[tipo de Contrato (TH talento humano - B/S bienes y/o servicios)]],"-",S544,"-",T544,"-",PAA[[#This Row],[Objeto de la contratación]])</f>
        <v>20260510-BS-8126-8-Realizar el mantenimiento preventivo, correctivo de puertas automatizadas para las salas de máquinas de las estaciones de la UAE Cuerpo Oficial de Bomberos-SGC</v>
      </c>
    </row>
    <row r="545" spans="2:35" ht="140" x14ac:dyDescent="0.35">
      <c r="B545" s="23">
        <v>20260512</v>
      </c>
      <c r="C545" s="99" t="s">
        <v>760</v>
      </c>
      <c r="D545" s="23" t="s">
        <v>78</v>
      </c>
      <c r="E545" s="23" t="s">
        <v>402</v>
      </c>
      <c r="F545" s="23" t="s">
        <v>97</v>
      </c>
      <c r="G545" s="129" t="s">
        <v>379</v>
      </c>
      <c r="H545" s="136">
        <v>15</v>
      </c>
      <c r="I545" s="158">
        <v>0</v>
      </c>
      <c r="J545" s="127">
        <v>279202000</v>
      </c>
      <c r="K545" s="88" t="s">
        <v>398</v>
      </c>
      <c r="L545" s="156" t="s">
        <v>155</v>
      </c>
      <c r="M545" s="159" t="s">
        <v>422</v>
      </c>
      <c r="N545" s="23" t="s">
        <v>198</v>
      </c>
      <c r="O545" s="151" t="s">
        <v>964</v>
      </c>
      <c r="P545" s="159" t="s">
        <v>573</v>
      </c>
      <c r="Q545" s="53" t="s">
        <v>781</v>
      </c>
      <c r="R545" s="159" t="s">
        <v>216</v>
      </c>
      <c r="S545" s="159" t="str">
        <f>MID(PAA[[#This Row],[Meta Proyecto de Inversión]],1,4)</f>
        <v>8173</v>
      </c>
      <c r="T545" s="159" t="str">
        <f>MID(PAA[[#This Row],[Meta Proyecto de Inversión]],6,1)</f>
        <v>7</v>
      </c>
      <c r="U545" s="160" t="str">
        <f>IFERROR(VLOOKUP(N545,TD!$B$50:$F$54,2,0)," ")</f>
        <v>O230117</v>
      </c>
      <c r="V545" s="160" t="str">
        <f>IFERROR(VLOOKUP(N545,TD!$B$50:$F$54,3,0)," ")</f>
        <v>4503</v>
      </c>
      <c r="W545" s="160">
        <f>IFERROR(VLOOKUP(N545,TD!$B$50:$F$54,4,0)," ")</f>
        <v>20240255</v>
      </c>
      <c r="X545" s="159">
        <v>14</v>
      </c>
      <c r="Y545" s="160" t="str">
        <f>IFERROR(VLOOKUP(X545,TD!$J$51:$K$64,2,0)," ")</f>
        <v xml:space="preserve">Infraestructura física misional construida mantenida y dotada </v>
      </c>
      <c r="Z545" s="161" t="str">
        <f>CONCATENATE(X545,"-",Y545)</f>
        <v xml:space="preserve">14-Infraestructura física misional construida mantenida y dotada </v>
      </c>
      <c r="AA545" s="159" t="s">
        <v>225</v>
      </c>
      <c r="AB545" s="160" t="str">
        <f>IFERROR(VLOOKUP(AA545,TD!$N$51:$O$66,2,0)," ")</f>
        <v>Estaciones de bomberos adecuadas</v>
      </c>
      <c r="AC545" s="161" t="str">
        <f>CONCATENATE(AA545,"_",AB545)</f>
        <v>014_Estaciones de bomberos adecuadas</v>
      </c>
      <c r="AD545" s="161" t="str">
        <f>CONCATENATE(Z545," ",AC545)</f>
        <v>14-Infraestructura física misional construida mantenida y dotada  014_Estaciones de bomberos adecuadas</v>
      </c>
      <c r="AE545" s="160" t="str">
        <f>CONCATENATE(U545,V545,W545,X545,AA545)</f>
        <v>O23011745032024025514014</v>
      </c>
      <c r="AF545" s="160" t="str">
        <f>IFERROR(VLOOKUP(AD545,TD!$J$66:$K$89,2,0)," ")</f>
        <v>PM/0131/0114/45030140255</v>
      </c>
      <c r="AG545" s="118" t="s">
        <v>94</v>
      </c>
      <c r="AH545" s="168" t="s">
        <v>193</v>
      </c>
      <c r="AI545" s="162" t="str">
        <f>CONCATENATE(PAA[[#This Row],[Id Interno]],"-",PAA[[#This Row],[tipo de Contrato (TH talento humano - B/S bienes y/o servicios)]],"-",S545,"-",T545,"-",PAA[[#This Row],[Objeto de la contratación]])</f>
        <v>20260512-BS-8173-7-Construcción de la estación  Ferias  B-7  UAE Cuerpo Oficial de Bomberos de Bogotá – SGC</v>
      </c>
    </row>
    <row r="546" spans="2:35" ht="70" x14ac:dyDescent="0.35">
      <c r="B546" s="23">
        <v>20260513</v>
      </c>
      <c r="C546" s="99" t="s">
        <v>761</v>
      </c>
      <c r="D546" s="23" t="s">
        <v>100</v>
      </c>
      <c r="E546" s="23" t="s">
        <v>402</v>
      </c>
      <c r="F546" s="23" t="s">
        <v>131</v>
      </c>
      <c r="G546" s="129" t="s">
        <v>379</v>
      </c>
      <c r="H546" s="136">
        <v>15</v>
      </c>
      <c r="I546" s="158">
        <v>0</v>
      </c>
      <c r="J546" s="127">
        <v>303000000</v>
      </c>
      <c r="K546" s="88" t="s">
        <v>398</v>
      </c>
      <c r="L546" s="156" t="s">
        <v>155</v>
      </c>
      <c r="M546" s="159" t="s">
        <v>422</v>
      </c>
      <c r="N546" s="23" t="s">
        <v>198</v>
      </c>
      <c r="O546" s="151" t="s">
        <v>964</v>
      </c>
      <c r="P546" s="159" t="s">
        <v>573</v>
      </c>
      <c r="Q546" s="53" t="s">
        <v>782</v>
      </c>
      <c r="R546" s="159" t="s">
        <v>216</v>
      </c>
      <c r="S546" s="159" t="str">
        <f>MID(PAA[[#This Row],[Meta Proyecto de Inversión]],1,4)</f>
        <v>8173</v>
      </c>
      <c r="T546" s="159" t="str">
        <f>MID(PAA[[#This Row],[Meta Proyecto de Inversión]],6,1)</f>
        <v>7</v>
      </c>
      <c r="U546" s="160" t="str">
        <f>IFERROR(VLOOKUP(N546,TD!$B$50:$F$54,2,0)," ")</f>
        <v>O230117</v>
      </c>
      <c r="V546" s="160" t="str">
        <f>IFERROR(VLOOKUP(N546,TD!$B$50:$F$54,3,0)," ")</f>
        <v>4503</v>
      </c>
      <c r="W546" s="160">
        <f>IFERROR(VLOOKUP(N546,TD!$B$50:$F$54,4,0)," ")</f>
        <v>20240255</v>
      </c>
      <c r="X546" s="159">
        <v>14</v>
      </c>
      <c r="Y546" s="160" t="str">
        <f>IFERROR(VLOOKUP(X546,TD!$J$51:$K$64,2,0)," ")</f>
        <v xml:space="preserve">Infraestructura física misional construida mantenida y dotada </v>
      </c>
      <c r="Z546" s="161" t="str">
        <f>CONCATENATE(X546,"-",Y546)</f>
        <v xml:space="preserve">14-Infraestructura física misional construida mantenida y dotada </v>
      </c>
      <c r="AA546" s="159" t="s">
        <v>225</v>
      </c>
      <c r="AB546" s="160" t="str">
        <f>IFERROR(VLOOKUP(AA546,TD!$N$51:$O$66,2,0)," ")</f>
        <v>Estaciones de bomberos adecuadas</v>
      </c>
      <c r="AC546" s="161" t="str">
        <f>CONCATENATE(AA546,"_",AB546)</f>
        <v>014_Estaciones de bomberos adecuadas</v>
      </c>
      <c r="AD546" s="161" t="str">
        <f>CONCATENATE(Z546," ",AC546)</f>
        <v>14-Infraestructura física misional construida mantenida y dotada  014_Estaciones de bomberos adecuadas</v>
      </c>
      <c r="AE546" s="160" t="str">
        <f>CONCATENATE(U546,V546,W546,X546,AA546)</f>
        <v>O23011745032024025514014</v>
      </c>
      <c r="AF546" s="160" t="str">
        <f>IFERROR(VLOOKUP(AD546,TD!$J$66:$K$89,2,0)," ")</f>
        <v>PM/0131/0114/45030140255</v>
      </c>
      <c r="AG546" s="118" t="s">
        <v>94</v>
      </c>
      <c r="AH546" s="168" t="s">
        <v>193</v>
      </c>
      <c r="AI546" s="162" t="str">
        <f>CONCATENATE(PAA[[#This Row],[Id Interno]],"-",PAA[[#This Row],[tipo de Contrato (TH talento humano - B/S bienes y/o servicios)]],"-",S546,"-",T546,"-",PAA[[#This Row],[Objeto de la contratación]])</f>
        <v>20260513-BS-8173-7-Interventoría técnica, administrativa, financiera, contable, jurídica y ambiental para la construcción de la estación de bomberos Ferias B7 UAE Cuerpo Oficial de Bomberos de Bogotá – SGC</v>
      </c>
    </row>
    <row r="547" spans="2:35" ht="56" x14ac:dyDescent="0.35">
      <c r="B547" s="99">
        <v>20260514</v>
      </c>
      <c r="C547" s="121" t="s">
        <v>971</v>
      </c>
      <c r="D547" s="121" t="s">
        <v>78</v>
      </c>
      <c r="E547" s="99" t="s">
        <v>402</v>
      </c>
      <c r="F547" s="121" t="s">
        <v>97</v>
      </c>
      <c r="G547" s="131" t="s">
        <v>379</v>
      </c>
      <c r="H547" s="199">
        <v>10</v>
      </c>
      <c r="I547" s="164">
        <v>0</v>
      </c>
      <c r="J547" s="135">
        <v>900000000</v>
      </c>
      <c r="K547" s="201" t="s">
        <v>398</v>
      </c>
      <c r="L547" s="169" t="s">
        <v>155</v>
      </c>
      <c r="M547" s="170" t="s">
        <v>422</v>
      </c>
      <c r="N547" s="121" t="s">
        <v>198</v>
      </c>
      <c r="O547" s="151" t="s">
        <v>964</v>
      </c>
      <c r="P547" s="170" t="s">
        <v>573</v>
      </c>
      <c r="Q547" s="202" t="s">
        <v>781</v>
      </c>
      <c r="R547" s="170" t="s">
        <v>217</v>
      </c>
      <c r="S547" s="171" t="str">
        <f>MID(PAA[[#This Row],[Meta Proyecto de Inversión]],1,4)</f>
        <v>8173</v>
      </c>
      <c r="T547" s="171" t="str">
        <f>MID(PAA[[#This Row],[Meta Proyecto de Inversión]],6,1)</f>
        <v>8</v>
      </c>
      <c r="U547" s="203" t="str">
        <f>IFERROR(VLOOKUP(N547,TD!$B$50:$F$54,2,0)," ")</f>
        <v>O230117</v>
      </c>
      <c r="V547" s="203" t="str">
        <f>IFERROR(VLOOKUP(N547,TD!$B$50:$F$54,3,0)," ")</f>
        <v>4503</v>
      </c>
      <c r="W547" s="203">
        <f>IFERROR(VLOOKUP(N547,TD!$B$50:$F$54,4,0)," ")</f>
        <v>20240255</v>
      </c>
      <c r="X547" s="170">
        <v>14</v>
      </c>
      <c r="Y547" s="165" t="str">
        <f>IFERROR(VLOOKUP(X547,TD!$J$51:$K$64,2,0)," ")</f>
        <v xml:space="preserve">Infraestructura física misional construida mantenida y dotada </v>
      </c>
      <c r="Z547" s="172" t="str">
        <f>CONCATENATE(X547,"-",Y547)</f>
        <v xml:space="preserve">14-Infraestructura física misional construida mantenida y dotada </v>
      </c>
      <c r="AA547" s="170" t="s">
        <v>226</v>
      </c>
      <c r="AB547" s="165" t="str">
        <f>IFERROR(VLOOKUP(AA547,TD!$N$51:$O$66,2,0)," ")</f>
        <v>Estaciones de bomberos construidas</v>
      </c>
      <c r="AC547" s="172" t="str">
        <f>CONCATENATE(AA547,"_",AB547)</f>
        <v>015_Estaciones de bomberos construidas</v>
      </c>
      <c r="AD547" s="172" t="str">
        <f>CONCATENATE(Z547," ",AC547)</f>
        <v>14-Infraestructura física misional construida mantenida y dotada  015_Estaciones de bomberos construidas</v>
      </c>
      <c r="AE547" s="203" t="str">
        <f>CONCATENATE(U547,V547,W547,X547,AA547)</f>
        <v>O23011745032024025514015</v>
      </c>
      <c r="AF547" s="165" t="str">
        <f>IFERROR(VLOOKUP(AD547,TD!$J$66:$K$89,2,0)," ")</f>
        <v>PM/0131/0114/45030150255</v>
      </c>
      <c r="AG547" s="135" t="s">
        <v>94</v>
      </c>
      <c r="AH547" s="204" t="s">
        <v>193</v>
      </c>
      <c r="AI547" s="166" t="str">
        <f>CONCATENATE(PAA[[#This Row],[Id Interno]],"-",PAA[[#This Row],[tipo de Contrato (TH talento humano - B/S bienes y/o servicios)]],"-",S547,"-",T547,"-",PAA[[#This Row],[Objeto de la contratación]])</f>
        <v>20260514-BS-8173-8-Adecuación de la estación Nueva Estación de la UAE Cuerpo Oficial de Bomberos de Bogotá – SGC</v>
      </c>
    </row>
    <row r="548" spans="2:35" ht="56" x14ac:dyDescent="0.35">
      <c r="B548" s="99">
        <v>20260515</v>
      </c>
      <c r="C548" s="99" t="s">
        <v>972</v>
      </c>
      <c r="D548" s="99" t="s">
        <v>100</v>
      </c>
      <c r="E548" s="99" t="s">
        <v>402</v>
      </c>
      <c r="F548" s="99" t="s">
        <v>131</v>
      </c>
      <c r="G548" s="129" t="s">
        <v>379</v>
      </c>
      <c r="H548" s="153">
        <v>10</v>
      </c>
      <c r="I548" s="164">
        <v>0</v>
      </c>
      <c r="J548" s="118">
        <v>225000000</v>
      </c>
      <c r="K548" s="126" t="s">
        <v>398</v>
      </c>
      <c r="L548" s="157" t="s">
        <v>155</v>
      </c>
      <c r="M548" s="163" t="s">
        <v>422</v>
      </c>
      <c r="N548" s="99" t="s">
        <v>198</v>
      </c>
      <c r="O548" s="151" t="s">
        <v>964</v>
      </c>
      <c r="P548" s="163" t="s">
        <v>573</v>
      </c>
      <c r="Q548" s="128" t="s">
        <v>782</v>
      </c>
      <c r="R548" s="163" t="s">
        <v>217</v>
      </c>
      <c r="S548" s="159" t="str">
        <f>MID(PAA[[#This Row],[Meta Proyecto de Inversión]],1,4)</f>
        <v>8173</v>
      </c>
      <c r="T548" s="159" t="str">
        <f>MID(PAA[[#This Row],[Meta Proyecto de Inversión]],6,1)</f>
        <v>8</v>
      </c>
      <c r="U548" s="165" t="str">
        <f>IFERROR(VLOOKUP(N548,TD!$B$50:$F$54,2,0)," ")</f>
        <v>O230117</v>
      </c>
      <c r="V548" s="165" t="str">
        <f>IFERROR(VLOOKUP(N548,TD!$B$50:$F$54,3,0)," ")</f>
        <v>4503</v>
      </c>
      <c r="W548" s="165">
        <f>IFERROR(VLOOKUP(N548,TD!$B$50:$F$54,4,0)," ")</f>
        <v>20240255</v>
      </c>
      <c r="X548" s="163">
        <v>14</v>
      </c>
      <c r="Y548" s="165" t="str">
        <f>IFERROR(VLOOKUP(X548,TD!$J$51:$K$64,2,0)," ")</f>
        <v xml:space="preserve">Infraestructura física misional construida mantenida y dotada </v>
      </c>
      <c r="Z548" s="161" t="str">
        <f>CONCATENATE(X548,"-",Y548)</f>
        <v xml:space="preserve">14-Infraestructura física misional construida mantenida y dotada </v>
      </c>
      <c r="AA548" s="163" t="s">
        <v>226</v>
      </c>
      <c r="AB548" s="165" t="str">
        <f>IFERROR(VLOOKUP(AA548,TD!$N$51:$O$66,2,0)," ")</f>
        <v>Estaciones de bomberos construidas</v>
      </c>
      <c r="AC548" s="161" t="str">
        <f>CONCATENATE(AA548,"_",AB548)</f>
        <v>015_Estaciones de bomberos construidas</v>
      </c>
      <c r="AD548" s="161" t="str">
        <f>CONCATENATE(Z548," ",AC548)</f>
        <v>14-Infraestructura física misional construida mantenida y dotada  015_Estaciones de bomberos construidas</v>
      </c>
      <c r="AE548" s="165" t="str">
        <f>CONCATENATE(U548,V548,W548,X548,AA548)</f>
        <v>O23011745032024025514015</v>
      </c>
      <c r="AF548" s="165" t="str">
        <f>IFERROR(VLOOKUP(AD548,TD!$J$66:$K$89,2,0)," ")</f>
        <v>PM/0131/0114/45030150255</v>
      </c>
      <c r="AG548" s="118" t="s">
        <v>94</v>
      </c>
      <c r="AH548" s="175" t="s">
        <v>193</v>
      </c>
      <c r="AI548" s="166" t="str">
        <f>CONCATENATE(PAA[[#This Row],[Id Interno]],"-",PAA[[#This Row],[tipo de Contrato (TH talento humano - B/S bienes y/o servicios)]],"-",S548,"-",T548,"-",PAA[[#This Row],[Objeto de la contratación]])</f>
        <v>20260515-BS-8173-8-Interventoría técnica, administrativa, financiera, contable, jurídica y ambiental para la Adecuación de la Nueva Estación de bomberos de la UAE Cuerpo Oficial de Bomberos de Bogotá – SGC</v>
      </c>
    </row>
    <row r="549" spans="2:35" ht="56" x14ac:dyDescent="0.35">
      <c r="B549" s="99">
        <v>20260516</v>
      </c>
      <c r="C549" s="99" t="s">
        <v>973</v>
      </c>
      <c r="D549" s="99" t="s">
        <v>78</v>
      </c>
      <c r="E549" s="99" t="s">
        <v>402</v>
      </c>
      <c r="F549" s="99" t="s">
        <v>97</v>
      </c>
      <c r="G549" s="129" t="s">
        <v>379</v>
      </c>
      <c r="H549" s="153">
        <v>15</v>
      </c>
      <c r="I549" s="164">
        <v>0</v>
      </c>
      <c r="J549" s="118">
        <v>900000000</v>
      </c>
      <c r="K549" s="126" t="s">
        <v>398</v>
      </c>
      <c r="L549" s="157" t="s">
        <v>155</v>
      </c>
      <c r="M549" s="163" t="s">
        <v>422</v>
      </c>
      <c r="N549" s="99" t="s">
        <v>198</v>
      </c>
      <c r="O549" s="151" t="s">
        <v>964</v>
      </c>
      <c r="P549" s="163" t="s">
        <v>573</v>
      </c>
      <c r="Q549" s="128" t="s">
        <v>781</v>
      </c>
      <c r="R549" s="163" t="s">
        <v>216</v>
      </c>
      <c r="S549" s="159" t="str">
        <f>MID(PAA[[#This Row],[Meta Proyecto de Inversión]],1,4)</f>
        <v>8173</v>
      </c>
      <c r="T549" s="159" t="str">
        <f>MID(PAA[[#This Row],[Meta Proyecto de Inversión]],6,1)</f>
        <v>7</v>
      </c>
      <c r="U549" s="165" t="str">
        <f>IFERROR(VLOOKUP(N549,TD!$B$50:$F$54,2,0)," ")</f>
        <v>O230117</v>
      </c>
      <c r="V549" s="165" t="str">
        <f>IFERROR(VLOOKUP(N549,TD!$B$50:$F$54,3,0)," ")</f>
        <v>4503</v>
      </c>
      <c r="W549" s="165">
        <f>IFERROR(VLOOKUP(N549,TD!$B$50:$F$54,4,0)," ")</f>
        <v>20240255</v>
      </c>
      <c r="X549" s="163">
        <v>14</v>
      </c>
      <c r="Y549" s="165" t="str">
        <f>IFERROR(VLOOKUP(X549,TD!$J$51:$K$64,2,0)," ")</f>
        <v xml:space="preserve">Infraestructura física misional construida mantenida y dotada </v>
      </c>
      <c r="Z549" s="161" t="str">
        <f>CONCATENATE(X549,"-",Y549)</f>
        <v xml:space="preserve">14-Infraestructura física misional construida mantenida y dotada </v>
      </c>
      <c r="AA549" s="163" t="s">
        <v>225</v>
      </c>
      <c r="AB549" s="165" t="str">
        <f>IFERROR(VLOOKUP(AA549,TD!$N$51:$O$66,2,0)," ")</f>
        <v>Estaciones de bomberos adecuadas</v>
      </c>
      <c r="AC549" s="161" t="str">
        <f>CONCATENATE(AA549,"_",AB549)</f>
        <v>014_Estaciones de bomberos adecuadas</v>
      </c>
      <c r="AD549" s="161" t="str">
        <f>CONCATENATE(Z549," ",AC549)</f>
        <v>14-Infraestructura física misional construida mantenida y dotada  014_Estaciones de bomberos adecuadas</v>
      </c>
      <c r="AE549" s="165" t="str">
        <f>CONCATENATE(U549,V549,W549,X549,AA549)</f>
        <v>O23011745032024025514014</v>
      </c>
      <c r="AF549" s="165" t="str">
        <f>IFERROR(VLOOKUP(AD549,TD!$J$66:$K$89,2,0)," ")</f>
        <v>PM/0131/0114/45030140255</v>
      </c>
      <c r="AG549" s="118" t="s">
        <v>94</v>
      </c>
      <c r="AH549" s="175" t="s">
        <v>193</v>
      </c>
      <c r="AI549" s="166" t="str">
        <f>CONCATENATE(PAA[[#This Row],[Id Interno]],"-",PAA[[#This Row],[tipo de Contrato (TH talento humano - B/S bienes y/o servicios)]],"-",S549,"-",T549,"-",PAA[[#This Row],[Objeto de la contratación]])</f>
        <v>20260516-BS-8173-7-Adecuación de la estación de Bomberos Chapinero B1- de la UAE Cuerpo Oficial de Bomberos de Bogotá – SGC</v>
      </c>
    </row>
    <row r="550" spans="2:35" ht="56" x14ac:dyDescent="0.35">
      <c r="B550" s="99">
        <v>20260517</v>
      </c>
      <c r="C550" s="99" t="s">
        <v>974</v>
      </c>
      <c r="D550" s="99" t="s">
        <v>100</v>
      </c>
      <c r="E550" s="99" t="s">
        <v>402</v>
      </c>
      <c r="F550" s="99" t="s">
        <v>131</v>
      </c>
      <c r="G550" s="129" t="s">
        <v>379</v>
      </c>
      <c r="H550" s="153">
        <v>15</v>
      </c>
      <c r="I550" s="164">
        <v>0</v>
      </c>
      <c r="J550" s="118">
        <v>225000000</v>
      </c>
      <c r="K550" s="126" t="s">
        <v>398</v>
      </c>
      <c r="L550" s="157" t="s">
        <v>155</v>
      </c>
      <c r="M550" s="163" t="s">
        <v>422</v>
      </c>
      <c r="N550" s="99" t="s">
        <v>198</v>
      </c>
      <c r="O550" s="151" t="s">
        <v>964</v>
      </c>
      <c r="P550" s="163" t="s">
        <v>573</v>
      </c>
      <c r="Q550" s="128" t="s">
        <v>782</v>
      </c>
      <c r="R550" s="163" t="s">
        <v>216</v>
      </c>
      <c r="S550" s="159" t="str">
        <f>MID(PAA[[#This Row],[Meta Proyecto de Inversión]],1,4)</f>
        <v>8173</v>
      </c>
      <c r="T550" s="159" t="str">
        <f>MID(PAA[[#This Row],[Meta Proyecto de Inversión]],6,1)</f>
        <v>7</v>
      </c>
      <c r="U550" s="165" t="str">
        <f>IFERROR(VLOOKUP(N550,TD!$B$50:$F$54,2,0)," ")</f>
        <v>O230117</v>
      </c>
      <c r="V550" s="165" t="str">
        <f>IFERROR(VLOOKUP(N550,TD!$B$50:$F$54,3,0)," ")</f>
        <v>4503</v>
      </c>
      <c r="W550" s="165">
        <f>IFERROR(VLOOKUP(N550,TD!$B$50:$F$54,4,0)," ")</f>
        <v>20240255</v>
      </c>
      <c r="X550" s="163">
        <v>14</v>
      </c>
      <c r="Y550" s="165" t="str">
        <f>IFERROR(VLOOKUP(X550,TD!$J$51:$K$64,2,0)," ")</f>
        <v xml:space="preserve">Infraestructura física misional construida mantenida y dotada </v>
      </c>
      <c r="Z550" s="161" t="str">
        <f>CONCATENATE(X550,"-",Y550)</f>
        <v xml:space="preserve">14-Infraestructura física misional construida mantenida y dotada </v>
      </c>
      <c r="AA550" s="163" t="s">
        <v>225</v>
      </c>
      <c r="AB550" s="165" t="str">
        <f>IFERROR(VLOOKUP(AA550,TD!$N$51:$O$66,2,0)," ")</f>
        <v>Estaciones de bomberos adecuadas</v>
      </c>
      <c r="AC550" s="161" t="str">
        <f>CONCATENATE(AA550,"_",AB550)</f>
        <v>014_Estaciones de bomberos adecuadas</v>
      </c>
      <c r="AD550" s="161" t="str">
        <f>CONCATENATE(Z550," ",AC550)</f>
        <v>14-Infraestructura física misional construida mantenida y dotada  014_Estaciones de bomberos adecuadas</v>
      </c>
      <c r="AE550" s="165" t="str">
        <f>CONCATENATE(U550,V550,W550,X550,AA550)</f>
        <v>O23011745032024025514014</v>
      </c>
      <c r="AF550" s="165" t="str">
        <f>IFERROR(VLOOKUP(AD550,TD!$J$66:$K$89,2,0)," ")</f>
        <v>PM/0131/0114/45030140255</v>
      </c>
      <c r="AG550" s="118" t="s">
        <v>94</v>
      </c>
      <c r="AH550" s="175" t="s">
        <v>193</v>
      </c>
      <c r="AI550" s="166" t="str">
        <f>CONCATENATE(PAA[[#This Row],[Id Interno]],"-",PAA[[#This Row],[tipo de Contrato (TH talento humano - B/S bienes y/o servicios)]],"-",S550,"-",T550,"-",PAA[[#This Row],[Objeto de la contratación]])</f>
        <v>20260517-BS-8173-7-Interventoría técnica, administrativa, financiera, contable, jurídica y ambiental para la Adecuación de la estación de Bomberos Chapinero B1- de la UAE Cuerpo Oficial de Bomberos de Bogotá – SGC</v>
      </c>
    </row>
    <row r="551" spans="2:35" ht="56" x14ac:dyDescent="0.35">
      <c r="B551" s="23">
        <v>20260518</v>
      </c>
      <c r="C551" s="99" t="s">
        <v>762</v>
      </c>
      <c r="D551" s="23" t="s">
        <v>83</v>
      </c>
      <c r="E551" s="23" t="s">
        <v>402</v>
      </c>
      <c r="F551" s="23" t="s">
        <v>89</v>
      </c>
      <c r="G551" s="129" t="s">
        <v>376</v>
      </c>
      <c r="H551" s="136">
        <v>11</v>
      </c>
      <c r="I551" s="158">
        <v>0</v>
      </c>
      <c r="J551" s="127">
        <v>297000000</v>
      </c>
      <c r="K551" s="88" t="s">
        <v>398</v>
      </c>
      <c r="L551" s="156" t="s">
        <v>155</v>
      </c>
      <c r="M551" s="159" t="s">
        <v>422</v>
      </c>
      <c r="N551" s="23" t="s">
        <v>330</v>
      </c>
      <c r="O551" s="151" t="s">
        <v>963</v>
      </c>
      <c r="P551" s="159" t="s">
        <v>161</v>
      </c>
      <c r="Q551" s="53" t="s">
        <v>798</v>
      </c>
      <c r="R551" s="159" t="s">
        <v>331</v>
      </c>
      <c r="S551" s="159" t="str">
        <f>MID(PAA[[#This Row],[Meta Proyecto de Inversión]],1,4)</f>
        <v>No a</v>
      </c>
      <c r="T551" s="159" t="str">
        <f>MID(PAA[[#This Row],[Meta Proyecto de Inversión]],6,1)</f>
        <v>l</v>
      </c>
      <c r="U551" s="160" t="str">
        <f>IFERROR(VLOOKUP(N551,TD!$B$50:$F$54,2,0)," ")</f>
        <v>NA</v>
      </c>
      <c r="V551" s="160" t="str">
        <f>IFERROR(VLOOKUP(N551,TD!$B$50:$F$54,3,0)," ")</f>
        <v>NA</v>
      </c>
      <c r="W551" s="160" t="str">
        <f>IFERROR(VLOOKUP(N551,TD!$B$50:$F$54,4,0)," ")</f>
        <v>NA</v>
      </c>
      <c r="X551" s="159" t="s">
        <v>335</v>
      </c>
      <c r="Y551" s="160" t="str">
        <f>IFERROR(VLOOKUP(X551,TD!$J$51:$K$64,2,0)," ")</f>
        <v>N/A</v>
      </c>
      <c r="Z551" s="161" t="str">
        <f>CONCATENATE(X551,"-",Y551)</f>
        <v>N/A-N/A</v>
      </c>
      <c r="AA551" s="159" t="s">
        <v>335</v>
      </c>
      <c r="AB551" s="160" t="str">
        <f>IFERROR(VLOOKUP(AA551,TD!$N$51:$O$66,2,0)," ")</f>
        <v>N/A</v>
      </c>
      <c r="AC551" s="161" t="str">
        <f>CONCATENATE(AA551,"_",AB551)</f>
        <v>N/A_N/A</v>
      </c>
      <c r="AD551" s="161" t="str">
        <f>CONCATENATE(Z551," ",AC551)</f>
        <v>N/A-N/A N/A_N/A</v>
      </c>
      <c r="AE551" s="160" t="str">
        <f>CONCATENATE(U551,V551,W551,X551,AA551)</f>
        <v>NANANAN/AN/A</v>
      </c>
      <c r="AF551" s="160" t="str">
        <f>IFERROR(VLOOKUP(AD551,TD!$J$66:$K$89,2,0)," ")</f>
        <v>N/A</v>
      </c>
      <c r="AG551" s="118" t="s">
        <v>332</v>
      </c>
      <c r="AH551" s="168" t="s">
        <v>193</v>
      </c>
      <c r="AI551" s="162" t="str">
        <f>CONCATENATE(PAA[[#This Row],[Id Interno]],"-",PAA[[#This Row],[tipo de Contrato (TH talento humano - B/S bienes y/o servicios)]],"-",S551,"-",T551,"-",PAA[[#This Row],[Objeto de la contratación]])</f>
        <v>20260518-BS-No a-l-Contratar el servicio de saneamiento ambiental, corte de césped, jardinería, poda y tala de árboles para las sedes (predios y/o estaciones) de la Unidad Administrativa Especial Cuerpo Oficial de Bomberos de Bogotá – SGC</v>
      </c>
    </row>
    <row r="552" spans="2:35" ht="84" x14ac:dyDescent="0.35">
      <c r="B552" s="23">
        <v>20260519</v>
      </c>
      <c r="C552" s="99" t="s">
        <v>763</v>
      </c>
      <c r="D552" s="23" t="s">
        <v>92</v>
      </c>
      <c r="E552" s="23" t="s">
        <v>402</v>
      </c>
      <c r="F552" s="23" t="s">
        <v>89</v>
      </c>
      <c r="G552" s="129" t="s">
        <v>375</v>
      </c>
      <c r="H552" s="136">
        <v>8</v>
      </c>
      <c r="I552" s="158">
        <v>0</v>
      </c>
      <c r="J552" s="127">
        <v>30000000</v>
      </c>
      <c r="K552" s="88" t="s">
        <v>398</v>
      </c>
      <c r="L552" s="156" t="s">
        <v>155</v>
      </c>
      <c r="M552" s="159" t="s">
        <v>422</v>
      </c>
      <c r="N552" s="23" t="s">
        <v>330</v>
      </c>
      <c r="O552" s="151" t="s">
        <v>963</v>
      </c>
      <c r="P552" s="159" t="s">
        <v>161</v>
      </c>
      <c r="Q552" s="53" t="s">
        <v>799</v>
      </c>
      <c r="R552" s="159" t="s">
        <v>331</v>
      </c>
      <c r="S552" s="159" t="str">
        <f>MID(PAA[[#This Row],[Meta Proyecto de Inversión]],1,4)</f>
        <v>No a</v>
      </c>
      <c r="T552" s="159" t="str">
        <f>MID(PAA[[#This Row],[Meta Proyecto de Inversión]],6,1)</f>
        <v>l</v>
      </c>
      <c r="U552" s="160" t="str">
        <f>IFERROR(VLOOKUP(N552,TD!$B$50:$F$54,2,0)," ")</f>
        <v>NA</v>
      </c>
      <c r="V552" s="160" t="str">
        <f>IFERROR(VLOOKUP(N552,TD!$B$50:$F$54,3,0)," ")</f>
        <v>NA</v>
      </c>
      <c r="W552" s="160" t="str">
        <f>IFERROR(VLOOKUP(N552,TD!$B$50:$F$54,4,0)," ")</f>
        <v>NA</v>
      </c>
      <c r="X552" s="159" t="s">
        <v>335</v>
      </c>
      <c r="Y552" s="160" t="str">
        <f>IFERROR(VLOOKUP(X552,TD!$J$51:$K$64,2,0)," ")</f>
        <v>N/A</v>
      </c>
      <c r="Z552" s="161" t="str">
        <f>CONCATENATE(X552,"-",Y552)</f>
        <v>N/A-N/A</v>
      </c>
      <c r="AA552" s="159" t="s">
        <v>335</v>
      </c>
      <c r="AB552" s="160" t="str">
        <f>IFERROR(VLOOKUP(AA552,TD!$N$51:$O$66,2,0)," ")</f>
        <v>N/A</v>
      </c>
      <c r="AC552" s="161" t="str">
        <f>CONCATENATE(AA552,"_",AB552)</f>
        <v>N/A_N/A</v>
      </c>
      <c r="AD552" s="161" t="str">
        <f>CONCATENATE(Z552," ",AC552)</f>
        <v>N/A-N/A N/A_N/A</v>
      </c>
      <c r="AE552" s="160" t="str">
        <f>CONCATENATE(U552,V552,W552,X552,AA552)</f>
        <v>NANANAN/AN/A</v>
      </c>
      <c r="AF552" s="160" t="str">
        <f>IFERROR(VLOOKUP(AD552,TD!$J$66:$K$89,2,0)," ")</f>
        <v>N/A</v>
      </c>
      <c r="AG552" s="118" t="s">
        <v>332</v>
      </c>
      <c r="AH552" s="168" t="s">
        <v>193</v>
      </c>
      <c r="AI552" s="162" t="str">
        <f>CONCATENATE(PAA[[#This Row],[Id Interno]],"-",PAA[[#This Row],[tipo de Contrato (TH talento humano - B/S bienes y/o servicios)]],"-",S552,"-",T552,"-",PAA[[#This Row],[Objeto de la contratación]])</f>
        <v>20260519-BS-No a-l-Prestar el servicio de recolección y disposición final de los residuos sanitarios y aguas no tratadas de las instalaciones de la Unidad Administrativa Especial Cuerpo Oficial de Bomberos de Bogotá – SGC</v>
      </c>
    </row>
    <row r="553" spans="2:35" ht="56" x14ac:dyDescent="0.35">
      <c r="B553" s="23">
        <v>20260520</v>
      </c>
      <c r="C553" s="99" t="s">
        <v>764</v>
      </c>
      <c r="D553" s="23" t="s">
        <v>92</v>
      </c>
      <c r="E553" s="23" t="s">
        <v>402</v>
      </c>
      <c r="F553" s="23" t="s">
        <v>146</v>
      </c>
      <c r="G553" s="129" t="s">
        <v>376</v>
      </c>
      <c r="H553" s="136">
        <v>10</v>
      </c>
      <c r="I553" s="158">
        <v>0</v>
      </c>
      <c r="J553" s="127">
        <v>24000000</v>
      </c>
      <c r="K553" s="88" t="s">
        <v>398</v>
      </c>
      <c r="L553" s="156" t="s">
        <v>155</v>
      </c>
      <c r="M553" s="159" t="s">
        <v>422</v>
      </c>
      <c r="N553" s="23" t="s">
        <v>330</v>
      </c>
      <c r="O553" s="151" t="s">
        <v>963</v>
      </c>
      <c r="P553" s="159" t="s">
        <v>161</v>
      </c>
      <c r="Q553" s="53" t="s">
        <v>800</v>
      </c>
      <c r="R553" s="159" t="s">
        <v>331</v>
      </c>
      <c r="S553" s="159" t="str">
        <f>MID(PAA[[#This Row],[Meta Proyecto de Inversión]],1,4)</f>
        <v>No a</v>
      </c>
      <c r="T553" s="159" t="str">
        <f>MID(PAA[[#This Row],[Meta Proyecto de Inversión]],6,1)</f>
        <v>l</v>
      </c>
      <c r="U553" s="160" t="str">
        <f>IFERROR(VLOOKUP(N553,TD!$B$50:$F$54,2,0)," ")</f>
        <v>NA</v>
      </c>
      <c r="V553" s="160" t="str">
        <f>IFERROR(VLOOKUP(N553,TD!$B$50:$F$54,3,0)," ")</f>
        <v>NA</v>
      </c>
      <c r="W553" s="160" t="str">
        <f>IFERROR(VLOOKUP(N553,TD!$B$50:$F$54,4,0)," ")</f>
        <v>NA</v>
      </c>
      <c r="X553" s="159" t="s">
        <v>335</v>
      </c>
      <c r="Y553" s="160" t="str">
        <f>IFERROR(VLOOKUP(X553,TD!$J$51:$K$64,2,0)," ")</f>
        <v>N/A</v>
      </c>
      <c r="Z553" s="161" t="str">
        <f>CONCATENATE(X553,"-",Y553)</f>
        <v>N/A-N/A</v>
      </c>
      <c r="AA553" s="159" t="s">
        <v>335</v>
      </c>
      <c r="AB553" s="160" t="str">
        <f>IFERROR(VLOOKUP(AA553,TD!$N$51:$O$66,2,0)," ")</f>
        <v>N/A</v>
      </c>
      <c r="AC553" s="161" t="str">
        <f>CONCATENATE(AA553,"_",AB553)</f>
        <v>N/A_N/A</v>
      </c>
      <c r="AD553" s="161" t="str">
        <f>CONCATENATE(Z553," ",AC553)</f>
        <v>N/A-N/A N/A_N/A</v>
      </c>
      <c r="AE553" s="160" t="str">
        <f>CONCATENATE(U553,V553,W553,X553,AA553)</f>
        <v>NANANAN/AN/A</v>
      </c>
      <c r="AF553" s="160" t="str">
        <f>IFERROR(VLOOKUP(AD553,TD!$J$66:$K$89,2,0)," ")</f>
        <v>N/A</v>
      </c>
      <c r="AG553" s="118" t="s">
        <v>332</v>
      </c>
      <c r="AH553" s="168" t="s">
        <v>193</v>
      </c>
      <c r="AI553" s="162" t="str">
        <f>CONCATENATE(PAA[[#This Row],[Id Interno]],"-",PAA[[#This Row],[tipo de Contrato (TH talento humano - B/S bienes y/o servicios)]],"-",S553,"-",T553,"-",PAA[[#This Row],[Objeto de la contratación]])</f>
        <v>20260520-BS-No a-l-Prestar los servicios de mantenimiento y suministro de insumos de las piscinas ubicadas en las Estaciones de Bomberos de Kennedy ‘Alejandro Lince’ B5 y B4 Puente Aranda – BRAE, como escenario para el acondicionamiento físico, entrenamiento del personal y canino de la Unidad Administrativa Especial Cuerpo Oficial de Bomberos de Bogotá para el cumplimiento de su misionalidad – SGC</v>
      </c>
    </row>
    <row r="554" spans="2:35" ht="56" x14ac:dyDescent="0.35">
      <c r="B554" s="23">
        <v>20260521</v>
      </c>
      <c r="C554" s="99" t="s">
        <v>765</v>
      </c>
      <c r="D554" s="23" t="s">
        <v>114</v>
      </c>
      <c r="E554" s="23" t="s">
        <v>402</v>
      </c>
      <c r="F554" s="23" t="s">
        <v>89</v>
      </c>
      <c r="G554" s="129" t="s">
        <v>373</v>
      </c>
      <c r="H554" s="136">
        <v>1</v>
      </c>
      <c r="I554" s="158">
        <v>0</v>
      </c>
      <c r="J554" s="127">
        <v>14600000</v>
      </c>
      <c r="K554" s="88" t="s">
        <v>398</v>
      </c>
      <c r="L554" s="156" t="s">
        <v>155</v>
      </c>
      <c r="M554" s="159" t="s">
        <v>422</v>
      </c>
      <c r="N554" s="23" t="s">
        <v>330</v>
      </c>
      <c r="O554" s="151" t="s">
        <v>963</v>
      </c>
      <c r="P554" s="159" t="s">
        <v>161</v>
      </c>
      <c r="Q554" s="53" t="s">
        <v>801</v>
      </c>
      <c r="R554" s="159" t="s">
        <v>331</v>
      </c>
      <c r="S554" s="159" t="str">
        <f>MID(PAA[[#This Row],[Meta Proyecto de Inversión]],1,4)</f>
        <v>No a</v>
      </c>
      <c r="T554" s="159" t="str">
        <f>MID(PAA[[#This Row],[Meta Proyecto de Inversión]],6,1)</f>
        <v>l</v>
      </c>
      <c r="U554" s="160" t="str">
        <f>IFERROR(VLOOKUP(N554,TD!$B$50:$F$54,2,0)," ")</f>
        <v>NA</v>
      </c>
      <c r="V554" s="160" t="str">
        <f>IFERROR(VLOOKUP(N554,TD!$B$50:$F$54,3,0)," ")</f>
        <v>NA</v>
      </c>
      <c r="W554" s="160" t="str">
        <f>IFERROR(VLOOKUP(N554,TD!$B$50:$F$54,4,0)," ")</f>
        <v>NA</v>
      </c>
      <c r="X554" s="159" t="s">
        <v>335</v>
      </c>
      <c r="Y554" s="160" t="str">
        <f>IFERROR(VLOOKUP(X554,TD!$J$51:$K$64,2,0)," ")</f>
        <v>N/A</v>
      </c>
      <c r="Z554" s="161" t="str">
        <f>CONCATENATE(X554,"-",Y554)</f>
        <v>N/A-N/A</v>
      </c>
      <c r="AA554" s="159" t="s">
        <v>335</v>
      </c>
      <c r="AB554" s="160" t="str">
        <f>IFERROR(VLOOKUP(AA554,TD!$N$51:$O$66,2,0)," ")</f>
        <v>N/A</v>
      </c>
      <c r="AC554" s="161" t="str">
        <f>CONCATENATE(AA554,"_",AB554)</f>
        <v>N/A_N/A</v>
      </c>
      <c r="AD554" s="161" t="str">
        <f>CONCATENATE(Z554," ",AC554)</f>
        <v>N/A-N/A N/A_N/A</v>
      </c>
      <c r="AE554" s="160" t="str">
        <f>CONCATENATE(U554,V554,W554,X554,AA554)</f>
        <v>NANANAN/AN/A</v>
      </c>
      <c r="AF554" s="160" t="str">
        <f>IFERROR(VLOOKUP(AD554,TD!$J$66:$K$89,2,0)," ")</f>
        <v>N/A</v>
      </c>
      <c r="AG554" s="118" t="s">
        <v>332</v>
      </c>
      <c r="AH554" s="168" t="s">
        <v>194</v>
      </c>
      <c r="AI554" s="162" t="str">
        <f>CONCATENATE(PAA[[#This Row],[Id Interno]],"-",PAA[[#This Row],[tipo de Contrato (TH talento humano - B/S bienes y/o servicios)]],"-",S554,"-",T554,"-",PAA[[#This Row],[Objeto de la contratación]])</f>
        <v>20260521-BS-No a-l-Adición No. 1 y prórroga No. 2 al contrato 196 de 2025 que tiene como objeto "Prestar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55" spans="2:35" ht="56" x14ac:dyDescent="0.35">
      <c r="B555" s="23">
        <v>20260522</v>
      </c>
      <c r="C555" s="99" t="s">
        <v>766</v>
      </c>
      <c r="D555" s="23" t="s">
        <v>114</v>
      </c>
      <c r="E555" s="23" t="s">
        <v>402</v>
      </c>
      <c r="F555" s="23" t="s">
        <v>89</v>
      </c>
      <c r="G555" s="129" t="s">
        <v>375</v>
      </c>
      <c r="H555" s="136">
        <v>9</v>
      </c>
      <c r="I555" s="158">
        <v>0</v>
      </c>
      <c r="J555" s="127">
        <v>143400000</v>
      </c>
      <c r="K555" s="88" t="s">
        <v>398</v>
      </c>
      <c r="L555" s="156" t="s">
        <v>155</v>
      </c>
      <c r="M555" s="159" t="s">
        <v>422</v>
      </c>
      <c r="N555" s="23" t="s">
        <v>330</v>
      </c>
      <c r="O555" s="151" t="s">
        <v>963</v>
      </c>
      <c r="P555" s="159" t="s">
        <v>161</v>
      </c>
      <c r="Q555" s="53" t="s">
        <v>801</v>
      </c>
      <c r="R555" s="159" t="s">
        <v>331</v>
      </c>
      <c r="S555" s="159" t="str">
        <f>MID(PAA[[#This Row],[Meta Proyecto de Inversión]],1,4)</f>
        <v>No a</v>
      </c>
      <c r="T555" s="159" t="str">
        <f>MID(PAA[[#This Row],[Meta Proyecto de Inversión]],6,1)</f>
        <v>l</v>
      </c>
      <c r="U555" s="160" t="str">
        <f>IFERROR(VLOOKUP(N555,TD!$B$50:$F$54,2,0)," ")</f>
        <v>NA</v>
      </c>
      <c r="V555" s="160" t="str">
        <f>IFERROR(VLOOKUP(N555,TD!$B$50:$F$54,3,0)," ")</f>
        <v>NA</v>
      </c>
      <c r="W555" s="160" t="str">
        <f>IFERROR(VLOOKUP(N555,TD!$B$50:$F$54,4,0)," ")</f>
        <v>NA</v>
      </c>
      <c r="X555" s="159" t="s">
        <v>335</v>
      </c>
      <c r="Y555" s="160" t="str">
        <f>IFERROR(VLOOKUP(X555,TD!$J$51:$K$64,2,0)," ")</f>
        <v>N/A</v>
      </c>
      <c r="Z555" s="161" t="str">
        <f>CONCATENATE(X555,"-",Y555)</f>
        <v>N/A-N/A</v>
      </c>
      <c r="AA555" s="159" t="s">
        <v>335</v>
      </c>
      <c r="AB555" s="160" t="str">
        <f>IFERROR(VLOOKUP(AA555,TD!$N$51:$O$66,2,0)," ")</f>
        <v>N/A</v>
      </c>
      <c r="AC555" s="161" t="str">
        <f>CONCATENATE(AA555,"_",AB555)</f>
        <v>N/A_N/A</v>
      </c>
      <c r="AD555" s="161" t="str">
        <f>CONCATENATE(Z555," ",AC555)</f>
        <v>N/A-N/A N/A_N/A</v>
      </c>
      <c r="AE555" s="160" t="str">
        <f>CONCATENATE(U555,V555,W555,X555,AA555)</f>
        <v>NANANAN/AN/A</v>
      </c>
      <c r="AF555" s="160" t="str">
        <f>IFERROR(VLOOKUP(AD555,TD!$J$66:$K$89,2,0)," ")</f>
        <v>N/A</v>
      </c>
      <c r="AG555" s="118" t="s">
        <v>332</v>
      </c>
      <c r="AH555" s="168" t="s">
        <v>193</v>
      </c>
      <c r="AI555" s="162" t="str">
        <f>CONCATENATE(PAA[[#This Row],[Id Interno]],"-",PAA[[#This Row],[tipo de Contrato (TH talento humano - B/S bienes y/o servicios)]],"-",S555,"-",T555,"-",PAA[[#This Row],[Objeto de la contratación]])</f>
        <v>20260522-BS-No a-l-Prestar a la  Unidad Administrativa Especial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v>
      </c>
    </row>
    <row r="556" spans="2:35" ht="56" x14ac:dyDescent="0.35">
      <c r="B556" s="23">
        <v>20260523</v>
      </c>
      <c r="C556" s="99" t="s">
        <v>747</v>
      </c>
      <c r="D556" s="23" t="s">
        <v>114</v>
      </c>
      <c r="E556" s="23" t="s">
        <v>402</v>
      </c>
      <c r="F556" s="23" t="s">
        <v>89</v>
      </c>
      <c r="G556" s="129" t="s">
        <v>373</v>
      </c>
      <c r="H556" s="136">
        <v>12</v>
      </c>
      <c r="I556" s="158">
        <v>0</v>
      </c>
      <c r="J556" s="127">
        <v>755000000</v>
      </c>
      <c r="K556" s="88" t="s">
        <v>398</v>
      </c>
      <c r="L556" s="156" t="s">
        <v>155</v>
      </c>
      <c r="M556" s="159" t="s">
        <v>422</v>
      </c>
      <c r="N556" s="23" t="s">
        <v>330</v>
      </c>
      <c r="O556" s="151" t="s">
        <v>963</v>
      </c>
      <c r="P556" s="159" t="s">
        <v>161</v>
      </c>
      <c r="Q556" s="53" t="s">
        <v>784</v>
      </c>
      <c r="R556" s="159" t="s">
        <v>331</v>
      </c>
      <c r="S556" s="159" t="str">
        <f>MID(PAA[[#This Row],[Meta Proyecto de Inversión]],1,4)</f>
        <v>No a</v>
      </c>
      <c r="T556" s="159" t="str">
        <f>MID(PAA[[#This Row],[Meta Proyecto de Inversión]],6,1)</f>
        <v>l</v>
      </c>
      <c r="U556" s="160" t="str">
        <f>IFERROR(VLOOKUP(N556,TD!$B$50:$F$54,2,0)," ")</f>
        <v>NA</v>
      </c>
      <c r="V556" s="160" t="str">
        <f>IFERROR(VLOOKUP(N556,TD!$B$50:$F$54,3,0)," ")</f>
        <v>NA</v>
      </c>
      <c r="W556" s="160" t="str">
        <f>IFERROR(VLOOKUP(N556,TD!$B$50:$F$54,4,0)," ")</f>
        <v>NA</v>
      </c>
      <c r="X556" s="159" t="s">
        <v>335</v>
      </c>
      <c r="Y556" s="160" t="str">
        <f>IFERROR(VLOOKUP(X556,TD!$J$51:$K$64,2,0)," ")</f>
        <v>N/A</v>
      </c>
      <c r="Z556" s="161" t="str">
        <f>CONCATENATE(X556,"-",Y556)</f>
        <v>N/A-N/A</v>
      </c>
      <c r="AA556" s="159" t="s">
        <v>335</v>
      </c>
      <c r="AB556" s="160" t="str">
        <f>IFERROR(VLOOKUP(AA556,TD!$N$51:$O$66,2,0)," ")</f>
        <v>N/A</v>
      </c>
      <c r="AC556" s="161" t="str">
        <f>CONCATENATE(AA556,"_",AB556)</f>
        <v>N/A_N/A</v>
      </c>
      <c r="AD556" s="161" t="str">
        <f>CONCATENATE(Z556," ",AC556)</f>
        <v>N/A-N/A N/A_N/A</v>
      </c>
      <c r="AE556" s="160" t="str">
        <f>CONCATENATE(U556,V556,W556,X556,AA556)</f>
        <v>NANANAN/AN/A</v>
      </c>
      <c r="AF556" s="160" t="str">
        <f>IFERROR(VLOOKUP(AD556,TD!$J$66:$K$89,2,0)," ")</f>
        <v>N/A</v>
      </c>
      <c r="AG556" s="118" t="s">
        <v>332</v>
      </c>
      <c r="AH556" s="168" t="s">
        <v>193</v>
      </c>
      <c r="AI556" s="162" t="str">
        <f>CONCATENATE(PAA[[#This Row],[Id Interno]],"-",PAA[[#This Row],[tipo de Contrato (TH talento humano - B/S bienes y/o servicios)]],"-",S556,"-",T556,"-",PAA[[#This Row],[Objeto de la contratación]])</f>
        <v>20260523-BS-No a-l-Contratar la prestación del servicio de aseo y cafetería incluido insumos para la Unidad Administrativa Especial Cuerpo Oficial de Bomberos Bogotá -SGC</v>
      </c>
    </row>
    <row r="557" spans="2:35" ht="56" x14ac:dyDescent="0.35">
      <c r="B557" s="23">
        <v>20260524</v>
      </c>
      <c r="C557" s="99" t="s">
        <v>747</v>
      </c>
      <c r="D557" s="23" t="s">
        <v>114</v>
      </c>
      <c r="E557" s="23" t="s">
        <v>402</v>
      </c>
      <c r="F557" s="23" t="s">
        <v>89</v>
      </c>
      <c r="G557" s="129" t="s">
        <v>373</v>
      </c>
      <c r="H557" s="136">
        <v>12</v>
      </c>
      <c r="I557" s="158">
        <v>0</v>
      </c>
      <c r="J557" s="127">
        <v>388000000</v>
      </c>
      <c r="K557" s="88" t="s">
        <v>398</v>
      </c>
      <c r="L557" s="156" t="s">
        <v>155</v>
      </c>
      <c r="M557" s="159" t="s">
        <v>422</v>
      </c>
      <c r="N557" s="23" t="s">
        <v>330</v>
      </c>
      <c r="O557" s="151" t="s">
        <v>963</v>
      </c>
      <c r="P557" s="159" t="s">
        <v>161</v>
      </c>
      <c r="Q557" s="53" t="s">
        <v>784</v>
      </c>
      <c r="R557" s="159" t="s">
        <v>331</v>
      </c>
      <c r="S557" s="159" t="str">
        <f>MID(PAA[[#This Row],[Meta Proyecto de Inversión]],1,4)</f>
        <v>No a</v>
      </c>
      <c r="T557" s="159" t="str">
        <f>MID(PAA[[#This Row],[Meta Proyecto de Inversión]],6,1)</f>
        <v>l</v>
      </c>
      <c r="U557" s="160" t="str">
        <f>IFERROR(VLOOKUP(N557,TD!$B$50:$F$54,2,0)," ")</f>
        <v>NA</v>
      </c>
      <c r="V557" s="160" t="str">
        <f>IFERROR(VLOOKUP(N557,TD!$B$50:$F$54,3,0)," ")</f>
        <v>NA</v>
      </c>
      <c r="W557" s="160" t="str">
        <f>IFERROR(VLOOKUP(N557,TD!$B$50:$F$54,4,0)," ")</f>
        <v>NA</v>
      </c>
      <c r="X557" s="159" t="s">
        <v>335</v>
      </c>
      <c r="Y557" s="160" t="str">
        <f>IFERROR(VLOOKUP(X557,TD!$J$51:$K$64,2,0)," ")</f>
        <v>N/A</v>
      </c>
      <c r="Z557" s="161" t="str">
        <f>CONCATENATE(X557,"-",Y557)</f>
        <v>N/A-N/A</v>
      </c>
      <c r="AA557" s="159" t="s">
        <v>335</v>
      </c>
      <c r="AB557" s="160" t="str">
        <f>IFERROR(VLOOKUP(AA557,TD!$N$51:$O$66,2,0)," ")</f>
        <v>N/A</v>
      </c>
      <c r="AC557" s="161" t="str">
        <f>CONCATENATE(AA557,"_",AB557)</f>
        <v>N/A_N/A</v>
      </c>
      <c r="AD557" s="161" t="str">
        <f>CONCATENATE(Z557," ",AC557)</f>
        <v>N/A-N/A N/A_N/A</v>
      </c>
      <c r="AE557" s="160" t="str">
        <f>CONCATENATE(U557,V557,W557,X557,AA557)</f>
        <v>NANANAN/AN/A</v>
      </c>
      <c r="AF557" s="160" t="str">
        <f>IFERROR(VLOOKUP(AD557,TD!$J$66:$K$89,2,0)," ")</f>
        <v>N/A</v>
      </c>
      <c r="AG557" s="118" t="s">
        <v>332</v>
      </c>
      <c r="AH557" s="168" t="s">
        <v>193</v>
      </c>
      <c r="AI557" s="162" t="str">
        <f>CONCATENATE(PAA[[#This Row],[Id Interno]],"-",PAA[[#This Row],[tipo de Contrato (TH talento humano - B/S bienes y/o servicios)]],"-",S557,"-",T557,"-",PAA[[#This Row],[Objeto de la contratación]])</f>
        <v>20260524-BS-No a-l-Contratar la prestación del servicio de aseo y cafetería incluido insumos para la Unidad Administrativa Especial Cuerpo Oficial de Bomberos Bogotá -SGC</v>
      </c>
    </row>
    <row r="558" spans="2:35" ht="70" x14ac:dyDescent="0.35">
      <c r="B558" s="23">
        <v>20260525</v>
      </c>
      <c r="C558" s="99" t="s">
        <v>767</v>
      </c>
      <c r="D558" s="23" t="s">
        <v>88</v>
      </c>
      <c r="E558" s="23" t="s">
        <v>402</v>
      </c>
      <c r="F558" s="23" t="s">
        <v>111</v>
      </c>
      <c r="G558" s="129" t="s">
        <v>376</v>
      </c>
      <c r="H558" s="136">
        <v>8</v>
      </c>
      <c r="I558" s="158">
        <v>0</v>
      </c>
      <c r="J558" s="127">
        <v>85000000</v>
      </c>
      <c r="K558" s="88" t="s">
        <v>398</v>
      </c>
      <c r="L558" s="156" t="s">
        <v>155</v>
      </c>
      <c r="M558" s="159" t="s">
        <v>422</v>
      </c>
      <c r="N558" s="23" t="s">
        <v>330</v>
      </c>
      <c r="O558" s="151" t="s">
        <v>963</v>
      </c>
      <c r="P558" s="159" t="s">
        <v>161</v>
      </c>
      <c r="Q558" s="53" t="s">
        <v>802</v>
      </c>
      <c r="R558" s="159" t="s">
        <v>331</v>
      </c>
      <c r="S558" s="159" t="str">
        <f>MID(PAA[[#This Row],[Meta Proyecto de Inversión]],1,4)</f>
        <v>No a</v>
      </c>
      <c r="T558" s="159" t="str">
        <f>MID(PAA[[#This Row],[Meta Proyecto de Inversión]],6,1)</f>
        <v>l</v>
      </c>
      <c r="U558" s="160" t="str">
        <f>IFERROR(VLOOKUP(N558,TD!$B$50:$F$54,2,0)," ")</f>
        <v>NA</v>
      </c>
      <c r="V558" s="160" t="str">
        <f>IFERROR(VLOOKUP(N558,TD!$B$50:$F$54,3,0)," ")</f>
        <v>NA</v>
      </c>
      <c r="W558" s="160" t="str">
        <f>IFERROR(VLOOKUP(N558,TD!$B$50:$F$54,4,0)," ")</f>
        <v>NA</v>
      </c>
      <c r="X558" s="159" t="s">
        <v>335</v>
      </c>
      <c r="Y558" s="160" t="str">
        <f>IFERROR(VLOOKUP(X558,TD!$J$51:$K$64,2,0)," ")</f>
        <v>N/A</v>
      </c>
      <c r="Z558" s="161" t="str">
        <f>CONCATENATE(X558,"-",Y558)</f>
        <v>N/A-N/A</v>
      </c>
      <c r="AA558" s="159" t="s">
        <v>335</v>
      </c>
      <c r="AB558" s="160" t="str">
        <f>IFERROR(VLOOKUP(AA558,TD!$N$51:$O$66,2,0)," ")</f>
        <v>N/A</v>
      </c>
      <c r="AC558" s="161" t="str">
        <f>CONCATENATE(AA558,"_",AB558)</f>
        <v>N/A_N/A</v>
      </c>
      <c r="AD558" s="161" t="str">
        <f>CONCATENATE(Z558," ",AC558)</f>
        <v>N/A-N/A N/A_N/A</v>
      </c>
      <c r="AE558" s="160" t="str">
        <f>CONCATENATE(U558,V558,W558,X558,AA558)</f>
        <v>NANANAN/AN/A</v>
      </c>
      <c r="AF558" s="160" t="str">
        <f>IFERROR(VLOOKUP(AD558,TD!$J$66:$K$89,2,0)," ")</f>
        <v>N/A</v>
      </c>
      <c r="AG558" s="118" t="s">
        <v>332</v>
      </c>
      <c r="AH558" s="168" t="s">
        <v>193</v>
      </c>
      <c r="AI558" s="162" t="str">
        <f>CONCATENATE(PAA[[#This Row],[Id Interno]],"-",PAA[[#This Row],[tipo de Contrato (TH talento humano - B/S bienes y/o servicios)]],"-",S558,"-",T558,"-",PAA[[#This Row],[Objeto de la contratación]])</f>
        <v>20260525-BS-No a-l-Suministro  de implementos  de  papelería y oficina para las dependencias  para la Unidad Administrativa Especial Cuerpo Oficial de Bomberos Bogotá -SGC</v>
      </c>
    </row>
    <row r="559" spans="2:35" ht="70" x14ac:dyDescent="0.35">
      <c r="B559" s="23">
        <v>20260526</v>
      </c>
      <c r="C559" s="99" t="s">
        <v>768</v>
      </c>
      <c r="D559" s="23" t="s">
        <v>88</v>
      </c>
      <c r="E559" s="23" t="s">
        <v>402</v>
      </c>
      <c r="F559" s="23" t="s">
        <v>111</v>
      </c>
      <c r="G559" s="129" t="s">
        <v>376</v>
      </c>
      <c r="H559" s="136">
        <v>8</v>
      </c>
      <c r="I559" s="158">
        <v>0</v>
      </c>
      <c r="J559" s="127">
        <v>205000000</v>
      </c>
      <c r="K559" s="88" t="s">
        <v>398</v>
      </c>
      <c r="L559" s="156" t="s">
        <v>155</v>
      </c>
      <c r="M559" s="159" t="s">
        <v>422</v>
      </c>
      <c r="N559" s="23" t="s">
        <v>330</v>
      </c>
      <c r="O559" s="151" t="s">
        <v>963</v>
      </c>
      <c r="P559" s="159" t="s">
        <v>161</v>
      </c>
      <c r="Q559" s="53" t="s">
        <v>803</v>
      </c>
      <c r="R559" s="159" t="s">
        <v>331</v>
      </c>
      <c r="S559" s="159" t="str">
        <f>MID(PAA[[#This Row],[Meta Proyecto de Inversión]],1,4)</f>
        <v>No a</v>
      </c>
      <c r="T559" s="159" t="str">
        <f>MID(PAA[[#This Row],[Meta Proyecto de Inversión]],6,1)</f>
        <v>l</v>
      </c>
      <c r="U559" s="160" t="str">
        <f>IFERROR(VLOOKUP(N559,TD!$B$50:$F$54,2,0)," ")</f>
        <v>NA</v>
      </c>
      <c r="V559" s="160" t="str">
        <f>IFERROR(VLOOKUP(N559,TD!$B$50:$F$54,3,0)," ")</f>
        <v>NA</v>
      </c>
      <c r="W559" s="160" t="str">
        <f>IFERROR(VLOOKUP(N559,TD!$B$50:$F$54,4,0)," ")</f>
        <v>NA</v>
      </c>
      <c r="X559" s="159" t="s">
        <v>335</v>
      </c>
      <c r="Y559" s="160" t="str">
        <f>IFERROR(VLOOKUP(X559,TD!$J$51:$K$64,2,0)," ")</f>
        <v>N/A</v>
      </c>
      <c r="Z559" s="161" t="str">
        <f>CONCATENATE(X559,"-",Y559)</f>
        <v>N/A-N/A</v>
      </c>
      <c r="AA559" s="159" t="s">
        <v>335</v>
      </c>
      <c r="AB559" s="160" t="str">
        <f>IFERROR(VLOOKUP(AA559,TD!$N$51:$O$66,2,0)," ")</f>
        <v>N/A</v>
      </c>
      <c r="AC559" s="161" t="str">
        <f>CONCATENATE(AA559,"_",AB559)</f>
        <v>N/A_N/A</v>
      </c>
      <c r="AD559" s="161" t="str">
        <f>CONCATENATE(Z559," ",AC559)</f>
        <v>N/A-N/A N/A_N/A</v>
      </c>
      <c r="AE559" s="160" t="str">
        <f>CONCATENATE(U559,V559,W559,X559,AA559)</f>
        <v>NANANAN/AN/A</v>
      </c>
      <c r="AF559" s="160" t="str">
        <f>IFERROR(VLOOKUP(AD559,TD!$J$66:$K$89,2,0)," ")</f>
        <v>N/A</v>
      </c>
      <c r="AG559" s="118" t="s">
        <v>332</v>
      </c>
      <c r="AH559" s="168" t="s">
        <v>193</v>
      </c>
      <c r="AI559" s="162" t="str">
        <f>CONCATENATE(PAA[[#This Row],[Id Interno]],"-",PAA[[#This Row],[tipo de Contrato (TH talento humano - B/S bienes y/o servicios)]],"-",S559,"-",T559,"-",PAA[[#This Row],[Objeto de la contratación]])</f>
        <v>20260526-BS-No a-l-Suministro de insumos para las impresoras de las dependencias  para la Unidad Administrativa Especial Cuerpo Oficial de Bomberos Bogotá -SGC</v>
      </c>
    </row>
    <row r="560" spans="2:35" ht="70" x14ac:dyDescent="0.35">
      <c r="B560" s="23">
        <v>20260527</v>
      </c>
      <c r="C560" s="99" t="s">
        <v>681</v>
      </c>
      <c r="D560" s="23" t="s">
        <v>78</v>
      </c>
      <c r="E560" s="23" t="s">
        <v>402</v>
      </c>
      <c r="F560" s="23" t="s">
        <v>89</v>
      </c>
      <c r="G560" s="129" t="s">
        <v>373</v>
      </c>
      <c r="H560" s="136">
        <v>12</v>
      </c>
      <c r="I560" s="158">
        <v>0</v>
      </c>
      <c r="J560" s="127">
        <v>1000000000</v>
      </c>
      <c r="K560" s="88" t="s">
        <v>398</v>
      </c>
      <c r="L560" s="156" t="s">
        <v>155</v>
      </c>
      <c r="M560" s="159" t="s">
        <v>422</v>
      </c>
      <c r="N560" s="23" t="s">
        <v>330</v>
      </c>
      <c r="O560" s="151" t="s">
        <v>963</v>
      </c>
      <c r="P560" s="159" t="s">
        <v>161</v>
      </c>
      <c r="Q560" s="53" t="s">
        <v>780</v>
      </c>
      <c r="R560" s="159" t="s">
        <v>331</v>
      </c>
      <c r="S560" s="159" t="str">
        <f>MID(PAA[[#This Row],[Meta Proyecto de Inversión]],1,4)</f>
        <v>No a</v>
      </c>
      <c r="T560" s="159" t="str">
        <f>MID(PAA[[#This Row],[Meta Proyecto de Inversión]],6,1)</f>
        <v>l</v>
      </c>
      <c r="U560" s="160" t="str">
        <f>IFERROR(VLOOKUP(N560,TD!$B$50:$F$54,2,0)," ")</f>
        <v>NA</v>
      </c>
      <c r="V560" s="160" t="str">
        <f>IFERROR(VLOOKUP(N560,TD!$B$50:$F$54,3,0)," ")</f>
        <v>NA</v>
      </c>
      <c r="W560" s="160" t="str">
        <f>IFERROR(VLOOKUP(N560,TD!$B$50:$F$54,4,0)," ")</f>
        <v>NA</v>
      </c>
      <c r="X560" s="159" t="s">
        <v>335</v>
      </c>
      <c r="Y560" s="160" t="str">
        <f>IFERROR(VLOOKUP(X560,TD!$J$51:$K$64,2,0)," ")</f>
        <v>N/A</v>
      </c>
      <c r="Z560" s="161" t="str">
        <f>CONCATENATE(X560,"-",Y560)</f>
        <v>N/A-N/A</v>
      </c>
      <c r="AA560" s="159" t="s">
        <v>335</v>
      </c>
      <c r="AB560" s="160" t="str">
        <f>IFERROR(VLOOKUP(AA560,TD!$N$51:$O$66,2,0)," ")</f>
        <v>N/A</v>
      </c>
      <c r="AC560" s="161" t="str">
        <f>CONCATENATE(AA560,"_",AB560)</f>
        <v>N/A_N/A</v>
      </c>
      <c r="AD560" s="161" t="str">
        <f>CONCATENATE(Z560," ",AC560)</f>
        <v>N/A-N/A N/A_N/A</v>
      </c>
      <c r="AE560" s="160" t="str">
        <f>CONCATENATE(U560,V560,W560,X560,AA560)</f>
        <v>NANANAN/AN/A</v>
      </c>
      <c r="AF560" s="160" t="str">
        <f>IFERROR(VLOOKUP(AD560,TD!$J$66:$K$89,2,0)," ")</f>
        <v>N/A</v>
      </c>
      <c r="AG560" s="118" t="s">
        <v>332</v>
      </c>
      <c r="AH560" s="168" t="s">
        <v>193</v>
      </c>
      <c r="AI560" s="162" t="str">
        <f>CONCATENATE(PAA[[#This Row],[Id Interno]],"-",PAA[[#This Row],[tipo de Contrato (TH talento humano - B/S bienes y/o servicios)]],"-",S560,"-",T560,"-",PAA[[#This Row],[Objeto de la contratación]])</f>
        <v>20260527-BS-No a-l-Prestar el servicio de vigilancia y seguridad privada en la modalidad de vigilancia fija, según especificaciones técnicas, en las instalaciones donde la UAE Especial Cuerpo Oficial de Bomberos requiera-SGC</v>
      </c>
    </row>
    <row r="561" spans="2:35" ht="56" x14ac:dyDescent="0.35">
      <c r="B561" s="99">
        <v>20260528</v>
      </c>
      <c r="C561" s="99" t="s">
        <v>769</v>
      </c>
      <c r="D561" s="99" t="s">
        <v>92</v>
      </c>
      <c r="E561" s="99" t="s">
        <v>402</v>
      </c>
      <c r="F561" s="99" t="s">
        <v>111</v>
      </c>
      <c r="G561" s="129" t="s">
        <v>373</v>
      </c>
      <c r="H561" s="153">
        <v>10</v>
      </c>
      <c r="I561" s="164">
        <v>0</v>
      </c>
      <c r="J561" s="118">
        <v>48900000</v>
      </c>
      <c r="K561" s="126" t="s">
        <v>398</v>
      </c>
      <c r="L561" s="157" t="s">
        <v>155</v>
      </c>
      <c r="M561" s="163" t="s">
        <v>422</v>
      </c>
      <c r="N561" s="99" t="s">
        <v>330</v>
      </c>
      <c r="O561" s="151" t="s">
        <v>963</v>
      </c>
      <c r="P561" s="163" t="s">
        <v>161</v>
      </c>
      <c r="Q561" s="128" t="s">
        <v>787</v>
      </c>
      <c r="R561" s="163" t="s">
        <v>331</v>
      </c>
      <c r="S561" s="159" t="str">
        <f>MID(PAA[[#This Row],[Meta Proyecto de Inversión]],1,4)</f>
        <v>No a</v>
      </c>
      <c r="T561" s="159" t="str">
        <f>MID(PAA[[#This Row],[Meta Proyecto de Inversión]],6,1)</f>
        <v>l</v>
      </c>
      <c r="U561" s="165" t="str">
        <f>IFERROR(VLOOKUP(N561,TD!$B$50:$F$54,2,0)," ")</f>
        <v>NA</v>
      </c>
      <c r="V561" s="165" t="str">
        <f>IFERROR(VLOOKUP(N561,TD!$B$50:$F$54,3,0)," ")</f>
        <v>NA</v>
      </c>
      <c r="W561" s="165" t="str">
        <f>IFERROR(VLOOKUP(N561,TD!$B$50:$F$54,4,0)," ")</f>
        <v>NA</v>
      </c>
      <c r="X561" s="163" t="s">
        <v>335</v>
      </c>
      <c r="Y561" s="165" t="str">
        <f>IFERROR(VLOOKUP(X561,TD!$J$51:$K$64,2,0)," ")</f>
        <v>N/A</v>
      </c>
      <c r="Z561" s="161" t="str">
        <f>CONCATENATE(X561,"-",Y561)</f>
        <v>N/A-N/A</v>
      </c>
      <c r="AA561" s="163" t="s">
        <v>335</v>
      </c>
      <c r="AB561" s="165" t="str">
        <f>IFERROR(VLOOKUP(AA561,TD!$N$51:$O$66,2,0)," ")</f>
        <v>N/A</v>
      </c>
      <c r="AC561" s="161" t="str">
        <f>CONCATENATE(AA561,"_",AB561)</f>
        <v>N/A_N/A</v>
      </c>
      <c r="AD561" s="161" t="str">
        <f>CONCATENATE(Z561," ",AC561)</f>
        <v>N/A-N/A N/A_N/A</v>
      </c>
      <c r="AE561" s="165" t="str">
        <f>CONCATENATE(U561,V561,W561,X561,AA561)</f>
        <v>NANANAN/AN/A</v>
      </c>
      <c r="AF561" s="165" t="str">
        <f>IFERROR(VLOOKUP(AD561,TD!$J$66:$K$89,2,0)," ")</f>
        <v>N/A</v>
      </c>
      <c r="AG561" s="118" t="s">
        <v>332</v>
      </c>
      <c r="AH561" s="175" t="s">
        <v>193</v>
      </c>
      <c r="AI561" s="166" t="str">
        <f>CONCATENATE(PAA[[#This Row],[Id Interno]],"-",PAA[[#This Row],[tipo de Contrato (TH talento humano - B/S bienes y/o servicios)]],"-",S561,"-",T561,"-",PAA[[#This Row],[Objeto de la contratación]])</f>
        <v>20260528-BS-No a-l-Suministro de insumos para lavandería-SGC</v>
      </c>
    </row>
    <row r="562" spans="2:35" ht="84" x14ac:dyDescent="0.35">
      <c r="B562" s="23">
        <v>20260529</v>
      </c>
      <c r="C562" s="99" t="s">
        <v>770</v>
      </c>
      <c r="D562" s="23" t="s">
        <v>105</v>
      </c>
      <c r="E562" s="23" t="s">
        <v>402</v>
      </c>
      <c r="F562" s="23" t="s">
        <v>106</v>
      </c>
      <c r="G562" s="129" t="s">
        <v>373</v>
      </c>
      <c r="H562" s="136">
        <v>12</v>
      </c>
      <c r="I562" s="158">
        <v>0</v>
      </c>
      <c r="J562" s="127">
        <v>178000000</v>
      </c>
      <c r="K562" s="88" t="s">
        <v>398</v>
      </c>
      <c r="L562" s="156" t="s">
        <v>155</v>
      </c>
      <c r="M562" s="159" t="s">
        <v>422</v>
      </c>
      <c r="N562" s="23" t="s">
        <v>330</v>
      </c>
      <c r="O562" s="151" t="s">
        <v>963</v>
      </c>
      <c r="P562" s="159" t="s">
        <v>161</v>
      </c>
      <c r="Q562" s="53" t="s">
        <v>804</v>
      </c>
      <c r="R562" s="159" t="s">
        <v>331</v>
      </c>
      <c r="S562" s="159" t="str">
        <f>MID(PAA[[#This Row],[Meta Proyecto de Inversión]],1,4)</f>
        <v>No a</v>
      </c>
      <c r="T562" s="159" t="str">
        <f>MID(PAA[[#This Row],[Meta Proyecto de Inversión]],6,1)</f>
        <v>l</v>
      </c>
      <c r="U562" s="160" t="str">
        <f>IFERROR(VLOOKUP(N562,TD!$B$50:$F$54,2,0)," ")</f>
        <v>NA</v>
      </c>
      <c r="V562" s="160" t="str">
        <f>IFERROR(VLOOKUP(N562,TD!$B$50:$F$54,3,0)," ")</f>
        <v>NA</v>
      </c>
      <c r="W562" s="160" t="str">
        <f>IFERROR(VLOOKUP(N562,TD!$B$50:$F$54,4,0)," ")</f>
        <v>NA</v>
      </c>
      <c r="X562" s="159" t="s">
        <v>335</v>
      </c>
      <c r="Y562" s="160" t="str">
        <f>IFERROR(VLOOKUP(X562,TD!$J$51:$K$64,2,0)," ")</f>
        <v>N/A</v>
      </c>
      <c r="Z562" s="161" t="str">
        <f>CONCATENATE(X562,"-",Y562)</f>
        <v>N/A-N/A</v>
      </c>
      <c r="AA562" s="159" t="s">
        <v>335</v>
      </c>
      <c r="AB562" s="160" t="str">
        <f>IFERROR(VLOOKUP(AA562,TD!$N$51:$O$66,2,0)," ")</f>
        <v>N/A</v>
      </c>
      <c r="AC562" s="161" t="str">
        <f>CONCATENATE(AA562,"_",AB562)</f>
        <v>N/A_N/A</v>
      </c>
      <c r="AD562" s="161" t="str">
        <f>CONCATENATE(Z562," ",AC562)</f>
        <v>N/A-N/A N/A_N/A</v>
      </c>
      <c r="AE562" s="160" t="str">
        <f>CONCATENATE(U562,V562,W562,X562,AA562)</f>
        <v>NANANAN/AN/A</v>
      </c>
      <c r="AF562" s="160" t="str">
        <f>IFERROR(VLOOKUP(AD562,TD!$J$66:$K$89,2,0)," ")</f>
        <v>N/A</v>
      </c>
      <c r="AG562" s="118" t="s">
        <v>332</v>
      </c>
      <c r="AH562" s="168" t="s">
        <v>193</v>
      </c>
      <c r="AI562" s="162" t="str">
        <f>CONCATENATE(PAA[[#This Row],[Id Interno]],"-",PAA[[#This Row],[tipo de Contrato (TH talento humano - B/S bienes y/o servicios)]],"-",S562,"-",T562,"-",PAA[[#This Row],[Objeto de la contratación]])</f>
        <v>20260529-BS-No a-l-Arrendamiento de instalaciones estación Ferias-SGC</v>
      </c>
    </row>
    <row r="563" spans="2:35" ht="70" x14ac:dyDescent="0.35">
      <c r="B563" s="23">
        <v>20260530</v>
      </c>
      <c r="C563" s="99" t="s">
        <v>771</v>
      </c>
      <c r="D563" s="23" t="s">
        <v>105</v>
      </c>
      <c r="E563" s="23" t="s">
        <v>402</v>
      </c>
      <c r="F563" s="23" t="s">
        <v>136</v>
      </c>
      <c r="G563" s="129" t="s">
        <v>377</v>
      </c>
      <c r="H563" s="136">
        <v>2</v>
      </c>
      <c r="I563" s="158">
        <v>0</v>
      </c>
      <c r="J563" s="127">
        <v>2200000</v>
      </c>
      <c r="K563" s="88" t="s">
        <v>398</v>
      </c>
      <c r="L563" s="156" t="s">
        <v>155</v>
      </c>
      <c r="M563" s="159" t="s">
        <v>422</v>
      </c>
      <c r="N563" s="23" t="s">
        <v>330</v>
      </c>
      <c r="O563" s="151" t="s">
        <v>963</v>
      </c>
      <c r="P563" s="159" t="s">
        <v>161</v>
      </c>
      <c r="Q563" s="53" t="s">
        <v>805</v>
      </c>
      <c r="R563" s="159" t="s">
        <v>331</v>
      </c>
      <c r="S563" s="159" t="str">
        <f>MID(PAA[[#This Row],[Meta Proyecto de Inversión]],1,4)</f>
        <v>No a</v>
      </c>
      <c r="T563" s="159" t="str">
        <f>MID(PAA[[#This Row],[Meta Proyecto de Inversión]],6,1)</f>
        <v>l</v>
      </c>
      <c r="U563" s="160" t="str">
        <f>IFERROR(VLOOKUP(N563,TD!$B$50:$F$54,2,0)," ")</f>
        <v>NA</v>
      </c>
      <c r="V563" s="160" t="str">
        <f>IFERROR(VLOOKUP(N563,TD!$B$50:$F$54,3,0)," ")</f>
        <v>NA</v>
      </c>
      <c r="W563" s="160" t="str">
        <f>IFERROR(VLOOKUP(N563,TD!$B$50:$F$54,4,0)," ")</f>
        <v>NA</v>
      </c>
      <c r="X563" s="159" t="s">
        <v>335</v>
      </c>
      <c r="Y563" s="160" t="str">
        <f>IFERROR(VLOOKUP(X563,TD!$J$51:$K$64,2,0)," ")</f>
        <v>N/A</v>
      </c>
      <c r="Z563" s="161" t="str">
        <f>CONCATENATE(X563,"-",Y563)</f>
        <v>N/A-N/A</v>
      </c>
      <c r="AA563" s="159" t="s">
        <v>335</v>
      </c>
      <c r="AB563" s="160" t="str">
        <f>IFERROR(VLOOKUP(AA563,TD!$N$51:$O$66,2,0)," ")</f>
        <v>N/A</v>
      </c>
      <c r="AC563" s="161" t="str">
        <f>CONCATENATE(AA563,"_",AB563)</f>
        <v>N/A_N/A</v>
      </c>
      <c r="AD563" s="161" t="str">
        <f>CONCATENATE(Z563," ",AC563)</f>
        <v>N/A-N/A N/A_N/A</v>
      </c>
      <c r="AE563" s="160" t="str">
        <f>CONCATENATE(U563,V563,W563,X563,AA563)</f>
        <v>NANANAN/AN/A</v>
      </c>
      <c r="AF563" s="160" t="str">
        <f>IFERROR(VLOOKUP(AD563,TD!$J$66:$K$89,2,0)," ")</f>
        <v>N/A</v>
      </c>
      <c r="AG563" s="118" t="s">
        <v>332</v>
      </c>
      <c r="AH563" s="168" t="s">
        <v>194</v>
      </c>
      <c r="AI563" s="162" t="str">
        <f>CONCATENATE(PAA[[#This Row],[Id Interno]],"-",PAA[[#This Row],[tipo de Contrato (TH talento humano - B/S bienes y/o servicios)]],"-",S563,"-",T563,"-",PAA[[#This Row],[Objeto de la contratación]])</f>
        <v>20260530-BS-No a-l-Adición y prórroga No. 1 al contrato 491 de 2025 que tiene como objeto “Mantenimiento ascensor nueva Estación de Bomberos de Fontibón-SGC</v>
      </c>
    </row>
    <row r="564" spans="2:35" ht="70" x14ac:dyDescent="0.35">
      <c r="B564" s="23">
        <v>20260531</v>
      </c>
      <c r="C564" s="99" t="s">
        <v>772</v>
      </c>
      <c r="D564" s="23" t="s">
        <v>105</v>
      </c>
      <c r="E564" s="23" t="s">
        <v>402</v>
      </c>
      <c r="F564" s="23" t="s">
        <v>136</v>
      </c>
      <c r="G564" s="129" t="s">
        <v>380</v>
      </c>
      <c r="H564" s="136">
        <v>6</v>
      </c>
      <c r="I564" s="158">
        <v>0</v>
      </c>
      <c r="J564" s="127">
        <v>11700000</v>
      </c>
      <c r="K564" s="88" t="s">
        <v>398</v>
      </c>
      <c r="L564" s="156" t="s">
        <v>155</v>
      </c>
      <c r="M564" s="159" t="s">
        <v>422</v>
      </c>
      <c r="N564" s="23" t="s">
        <v>330</v>
      </c>
      <c r="O564" s="151" t="s">
        <v>963</v>
      </c>
      <c r="P564" s="159" t="s">
        <v>161</v>
      </c>
      <c r="Q564" s="53" t="s">
        <v>805</v>
      </c>
      <c r="R564" s="159" t="s">
        <v>331</v>
      </c>
      <c r="S564" s="159" t="str">
        <f>MID(PAA[[#This Row],[Meta Proyecto de Inversión]],1,4)</f>
        <v>No a</v>
      </c>
      <c r="T564" s="159" t="str">
        <f>MID(PAA[[#This Row],[Meta Proyecto de Inversión]],6,1)</f>
        <v>l</v>
      </c>
      <c r="U564" s="160" t="str">
        <f>IFERROR(VLOOKUP(N564,TD!$B$50:$F$54,2,0)," ")</f>
        <v>NA</v>
      </c>
      <c r="V564" s="160" t="str">
        <f>IFERROR(VLOOKUP(N564,TD!$B$50:$F$54,3,0)," ")</f>
        <v>NA</v>
      </c>
      <c r="W564" s="160" t="str">
        <f>IFERROR(VLOOKUP(N564,TD!$B$50:$F$54,4,0)," ")</f>
        <v>NA</v>
      </c>
      <c r="X564" s="159" t="s">
        <v>335</v>
      </c>
      <c r="Y564" s="160" t="str">
        <f>IFERROR(VLOOKUP(X564,TD!$J$51:$K$64,2,0)," ")</f>
        <v>N/A</v>
      </c>
      <c r="Z564" s="161" t="str">
        <f>CONCATENATE(X564,"-",Y564)</f>
        <v>N/A-N/A</v>
      </c>
      <c r="AA564" s="159" t="s">
        <v>335</v>
      </c>
      <c r="AB564" s="160" t="str">
        <f>IFERROR(VLOOKUP(AA564,TD!$N$51:$O$66,2,0)," ")</f>
        <v>N/A</v>
      </c>
      <c r="AC564" s="161" t="str">
        <f>CONCATENATE(AA564,"_",AB564)</f>
        <v>N/A_N/A</v>
      </c>
      <c r="AD564" s="161" t="str">
        <f>CONCATENATE(Z564," ",AC564)</f>
        <v>N/A-N/A N/A_N/A</v>
      </c>
      <c r="AE564" s="160" t="str">
        <f>CONCATENATE(U564,V564,W564,X564,AA564)</f>
        <v>NANANAN/AN/A</v>
      </c>
      <c r="AF564" s="160" t="str">
        <f>IFERROR(VLOOKUP(AD564,TD!$J$66:$K$89,2,0)," ")</f>
        <v>N/A</v>
      </c>
      <c r="AG564" s="118" t="s">
        <v>332</v>
      </c>
      <c r="AH564" s="168" t="s">
        <v>193</v>
      </c>
      <c r="AI564" s="162" t="str">
        <f>CONCATENATE(PAA[[#This Row],[Id Interno]],"-",PAA[[#This Row],[tipo de Contrato (TH talento humano - B/S bienes y/o servicios)]],"-",S564,"-",T564,"-",PAA[[#This Row],[Objeto de la contratación]])</f>
        <v>20260531-BS-No a-l-Mantenimiento correctivo y preventivo con suministro de repuestos para el ascensor estación de bomberos Fontibón B6 -SGC</v>
      </c>
    </row>
    <row r="565" spans="2:35" ht="70" x14ac:dyDescent="0.35">
      <c r="B565" s="23">
        <v>20260532</v>
      </c>
      <c r="C565" s="99" t="s">
        <v>773</v>
      </c>
      <c r="D565" s="23" t="s">
        <v>105</v>
      </c>
      <c r="E565" s="23" t="s">
        <v>402</v>
      </c>
      <c r="F565" s="23" t="s">
        <v>136</v>
      </c>
      <c r="G565" s="129" t="s">
        <v>376</v>
      </c>
      <c r="H565" s="136">
        <v>2</v>
      </c>
      <c r="I565" s="158">
        <v>0</v>
      </c>
      <c r="J565" s="127">
        <v>5800000</v>
      </c>
      <c r="K565" s="88" t="s">
        <v>398</v>
      </c>
      <c r="L565" s="156" t="s">
        <v>155</v>
      </c>
      <c r="M565" s="159" t="s">
        <v>422</v>
      </c>
      <c r="N565" s="23" t="s">
        <v>330</v>
      </c>
      <c r="O565" s="151" t="s">
        <v>963</v>
      </c>
      <c r="P565" s="159" t="s">
        <v>161</v>
      </c>
      <c r="Q565" s="53" t="s">
        <v>805</v>
      </c>
      <c r="R565" s="159" t="s">
        <v>331</v>
      </c>
      <c r="S565" s="159" t="str">
        <f>MID(PAA[[#This Row],[Meta Proyecto de Inversión]],1,4)</f>
        <v>No a</v>
      </c>
      <c r="T565" s="159" t="str">
        <f>MID(PAA[[#This Row],[Meta Proyecto de Inversión]],6,1)</f>
        <v>l</v>
      </c>
      <c r="U565" s="160" t="str">
        <f>IFERROR(VLOOKUP(N565,TD!$B$50:$F$54,2,0)," ")</f>
        <v>NA</v>
      </c>
      <c r="V565" s="160" t="str">
        <f>IFERROR(VLOOKUP(N565,TD!$B$50:$F$54,3,0)," ")</f>
        <v>NA</v>
      </c>
      <c r="W565" s="160" t="str">
        <f>IFERROR(VLOOKUP(N565,TD!$B$50:$F$54,4,0)," ")</f>
        <v>NA</v>
      </c>
      <c r="X565" s="159" t="s">
        <v>335</v>
      </c>
      <c r="Y565" s="160" t="str">
        <f>IFERROR(VLOOKUP(X565,TD!$J$51:$K$64,2,0)," ")</f>
        <v>N/A</v>
      </c>
      <c r="Z565" s="161" t="str">
        <f>CONCATENATE(X565,"-",Y565)</f>
        <v>N/A-N/A</v>
      </c>
      <c r="AA565" s="159" t="s">
        <v>335</v>
      </c>
      <c r="AB565" s="160" t="str">
        <f>IFERROR(VLOOKUP(AA565,TD!$N$51:$O$66,2,0)," ")</f>
        <v>N/A</v>
      </c>
      <c r="AC565" s="161" t="str">
        <f>CONCATENATE(AA565,"_",AB565)</f>
        <v>N/A_N/A</v>
      </c>
      <c r="AD565" s="161" t="str">
        <f>CONCATENATE(Z565," ",AC565)</f>
        <v>N/A-N/A N/A_N/A</v>
      </c>
      <c r="AE565" s="160" t="str">
        <f>CONCATENATE(U565,V565,W565,X565,AA565)</f>
        <v>NANANAN/AN/A</v>
      </c>
      <c r="AF565" s="160" t="str">
        <f>IFERROR(VLOOKUP(AD565,TD!$J$66:$K$89,2,0)," ")</f>
        <v>N/A</v>
      </c>
      <c r="AG565" s="118" t="s">
        <v>332</v>
      </c>
      <c r="AH565" s="168" t="s">
        <v>194</v>
      </c>
      <c r="AI565" s="162" t="str">
        <f>CONCATENATE(PAA[[#This Row],[Id Interno]],"-",PAA[[#This Row],[tipo de Contrato (TH talento humano - B/S bienes y/o servicios)]],"-",S565,"-",T565,"-",PAA[[#This Row],[Objeto de la contratación]])</f>
        <v>20260532-BS-No a-l-Adición y prórroga No. 1 al contrato 586 de 2025 que tiene como objeto “Mantenimiento correctivo y preventivo con suministro de repuestos para los ascensores edificio comando-SGC</v>
      </c>
    </row>
    <row r="566" spans="2:35" ht="70" x14ac:dyDescent="0.35">
      <c r="B566" s="23">
        <v>20260533</v>
      </c>
      <c r="C566" s="99" t="s">
        <v>774</v>
      </c>
      <c r="D566" s="23" t="s">
        <v>105</v>
      </c>
      <c r="E566" s="23" t="s">
        <v>402</v>
      </c>
      <c r="F566" s="23" t="s">
        <v>136</v>
      </c>
      <c r="G566" s="129" t="s">
        <v>380</v>
      </c>
      <c r="H566" s="136">
        <v>7</v>
      </c>
      <c r="I566" s="158">
        <v>0</v>
      </c>
      <c r="J566" s="127">
        <v>25000000</v>
      </c>
      <c r="K566" s="88" t="s">
        <v>398</v>
      </c>
      <c r="L566" s="156" t="s">
        <v>155</v>
      </c>
      <c r="M566" s="159" t="s">
        <v>422</v>
      </c>
      <c r="N566" s="23" t="s">
        <v>330</v>
      </c>
      <c r="O566" s="151" t="s">
        <v>963</v>
      </c>
      <c r="P566" s="159" t="s">
        <v>161</v>
      </c>
      <c r="Q566" s="53" t="s">
        <v>805</v>
      </c>
      <c r="R566" s="159" t="s">
        <v>331</v>
      </c>
      <c r="S566" s="159" t="str">
        <f>MID(PAA[[#This Row],[Meta Proyecto de Inversión]],1,4)</f>
        <v>No a</v>
      </c>
      <c r="T566" s="159" t="str">
        <f>MID(PAA[[#This Row],[Meta Proyecto de Inversión]],6,1)</f>
        <v>l</v>
      </c>
      <c r="U566" s="160" t="str">
        <f>IFERROR(VLOOKUP(N566,TD!$B$50:$F$54,2,0)," ")</f>
        <v>NA</v>
      </c>
      <c r="V566" s="160" t="str">
        <f>IFERROR(VLOOKUP(N566,TD!$B$50:$F$54,3,0)," ")</f>
        <v>NA</v>
      </c>
      <c r="W566" s="160" t="str">
        <f>IFERROR(VLOOKUP(N566,TD!$B$50:$F$54,4,0)," ")</f>
        <v>NA</v>
      </c>
      <c r="X566" s="159" t="s">
        <v>335</v>
      </c>
      <c r="Y566" s="160" t="str">
        <f>IFERROR(VLOOKUP(X566,TD!$J$51:$K$64,2,0)," ")</f>
        <v>N/A</v>
      </c>
      <c r="Z566" s="161" t="str">
        <f>CONCATENATE(X566,"-",Y566)</f>
        <v>N/A-N/A</v>
      </c>
      <c r="AA566" s="159" t="s">
        <v>335</v>
      </c>
      <c r="AB566" s="160" t="str">
        <f>IFERROR(VLOOKUP(AA566,TD!$N$51:$O$66,2,0)," ")</f>
        <v>N/A</v>
      </c>
      <c r="AC566" s="161" t="str">
        <f>CONCATENATE(AA566,"_",AB566)</f>
        <v>N/A_N/A</v>
      </c>
      <c r="AD566" s="161" t="str">
        <f>CONCATENATE(Z566," ",AC566)</f>
        <v>N/A-N/A N/A_N/A</v>
      </c>
      <c r="AE566" s="160" t="str">
        <f>CONCATENATE(U566,V566,W566,X566,AA566)</f>
        <v>NANANAN/AN/A</v>
      </c>
      <c r="AF566" s="160" t="str">
        <f>IFERROR(VLOOKUP(AD566,TD!$J$66:$K$89,2,0)," ")</f>
        <v>N/A</v>
      </c>
      <c r="AG566" s="118" t="s">
        <v>332</v>
      </c>
      <c r="AH566" s="168" t="s">
        <v>193</v>
      </c>
      <c r="AI566" s="162" t="str">
        <f>CONCATENATE(PAA[[#This Row],[Id Interno]],"-",PAA[[#This Row],[tipo de Contrato (TH talento humano - B/S bienes y/o servicios)]],"-",S566,"-",T566,"-",PAA[[#This Row],[Objeto de la contratación]])</f>
        <v>20260533-BS-No a-l-Mantenimiento correctivo y preventivo con suministro de repuestos para los ascensores edificio comando-SGC</v>
      </c>
    </row>
    <row r="567" spans="2:35" ht="70" x14ac:dyDescent="0.35">
      <c r="B567" s="23">
        <v>20260534</v>
      </c>
      <c r="C567" s="99" t="s">
        <v>775</v>
      </c>
      <c r="D567" s="23" t="s">
        <v>105</v>
      </c>
      <c r="E567" s="23" t="s">
        <v>402</v>
      </c>
      <c r="F567" s="23" t="s">
        <v>136</v>
      </c>
      <c r="G567" s="129" t="s">
        <v>376</v>
      </c>
      <c r="H567" s="136">
        <v>2</v>
      </c>
      <c r="I567" s="158">
        <v>0</v>
      </c>
      <c r="J567" s="127">
        <v>3000000</v>
      </c>
      <c r="K567" s="88" t="s">
        <v>398</v>
      </c>
      <c r="L567" s="156" t="s">
        <v>155</v>
      </c>
      <c r="M567" s="159" t="s">
        <v>422</v>
      </c>
      <c r="N567" s="23" t="s">
        <v>330</v>
      </c>
      <c r="O567" s="151" t="s">
        <v>963</v>
      </c>
      <c r="P567" s="159" t="s">
        <v>161</v>
      </c>
      <c r="Q567" s="53" t="s">
        <v>805</v>
      </c>
      <c r="R567" s="159" t="s">
        <v>331</v>
      </c>
      <c r="S567" s="159" t="str">
        <f>MID(PAA[[#This Row],[Meta Proyecto de Inversión]],1,4)</f>
        <v>No a</v>
      </c>
      <c r="T567" s="159" t="str">
        <f>MID(PAA[[#This Row],[Meta Proyecto de Inversión]],6,1)</f>
        <v>l</v>
      </c>
      <c r="U567" s="160" t="str">
        <f>IFERROR(VLOOKUP(N567,TD!$B$50:$F$54,2,0)," ")</f>
        <v>NA</v>
      </c>
      <c r="V567" s="160" t="str">
        <f>IFERROR(VLOOKUP(N567,TD!$B$50:$F$54,3,0)," ")</f>
        <v>NA</v>
      </c>
      <c r="W567" s="160" t="str">
        <f>IFERROR(VLOOKUP(N567,TD!$B$50:$F$54,4,0)," ")</f>
        <v>NA</v>
      </c>
      <c r="X567" s="159" t="s">
        <v>335</v>
      </c>
      <c r="Y567" s="160" t="str">
        <f>IFERROR(VLOOKUP(X567,TD!$J$51:$K$64,2,0)," ")</f>
        <v>N/A</v>
      </c>
      <c r="Z567" s="161" t="str">
        <f>CONCATENATE(X567,"-",Y567)</f>
        <v>N/A-N/A</v>
      </c>
      <c r="AA567" s="159" t="s">
        <v>335</v>
      </c>
      <c r="AB567" s="160" t="str">
        <f>IFERROR(VLOOKUP(AA567,TD!$N$51:$O$66,2,0)," ")</f>
        <v>N/A</v>
      </c>
      <c r="AC567" s="161" t="str">
        <f>CONCATENATE(AA567,"_",AB567)</f>
        <v>N/A_N/A</v>
      </c>
      <c r="AD567" s="161" t="str">
        <f>CONCATENATE(Z567," ",AC567)</f>
        <v>N/A-N/A N/A_N/A</v>
      </c>
      <c r="AE567" s="160" t="str">
        <f>CONCATENATE(U567,V567,W567,X567,AA567)</f>
        <v>NANANAN/AN/A</v>
      </c>
      <c r="AF567" s="160" t="str">
        <f>IFERROR(VLOOKUP(AD567,TD!$J$66:$K$89,2,0)," ")</f>
        <v>N/A</v>
      </c>
      <c r="AG567" s="118" t="s">
        <v>332</v>
      </c>
      <c r="AH567" s="168" t="s">
        <v>194</v>
      </c>
      <c r="AI567" s="162" t="str">
        <f>CONCATENATE(PAA[[#This Row],[Id Interno]],"-",PAA[[#This Row],[tipo de Contrato (TH talento humano - B/S bienes y/o servicios)]],"-",S567,"-",T567,"-",PAA[[#This Row],[Objeto de la contratación]])</f>
        <v>20260534-BS-No a-l-Adición y prórroga No. 1 al contrato 638 de 2025 que tiene como objeto “Mantenimiento correctivo y preventivo con suministro de repuestos ascensor estación de bomberos Bellavista B-9 - SGC</v>
      </c>
    </row>
    <row r="568" spans="2:35" ht="70" x14ac:dyDescent="0.35">
      <c r="B568" s="23">
        <v>20260535</v>
      </c>
      <c r="C568" s="99" t="s">
        <v>776</v>
      </c>
      <c r="D568" s="23" t="s">
        <v>105</v>
      </c>
      <c r="E568" s="23" t="s">
        <v>402</v>
      </c>
      <c r="F568" s="23" t="s">
        <v>136</v>
      </c>
      <c r="G568" s="129" t="s">
        <v>380</v>
      </c>
      <c r="H568" s="136">
        <v>7</v>
      </c>
      <c r="I568" s="158">
        <v>0</v>
      </c>
      <c r="J568" s="127">
        <v>10800000</v>
      </c>
      <c r="K568" s="88" t="s">
        <v>398</v>
      </c>
      <c r="L568" s="156" t="s">
        <v>155</v>
      </c>
      <c r="M568" s="159" t="s">
        <v>422</v>
      </c>
      <c r="N568" s="23" t="s">
        <v>330</v>
      </c>
      <c r="O568" s="151" t="s">
        <v>963</v>
      </c>
      <c r="P568" s="159" t="s">
        <v>161</v>
      </c>
      <c r="Q568" s="53" t="s">
        <v>805</v>
      </c>
      <c r="R568" s="159" t="s">
        <v>331</v>
      </c>
      <c r="S568" s="159" t="str">
        <f>MID(PAA[[#This Row],[Meta Proyecto de Inversión]],1,4)</f>
        <v>No a</v>
      </c>
      <c r="T568" s="159" t="str">
        <f>MID(PAA[[#This Row],[Meta Proyecto de Inversión]],6,1)</f>
        <v>l</v>
      </c>
      <c r="U568" s="160" t="str">
        <f>IFERROR(VLOOKUP(N568,TD!$B$50:$F$54,2,0)," ")</f>
        <v>NA</v>
      </c>
      <c r="V568" s="160" t="str">
        <f>IFERROR(VLOOKUP(N568,TD!$B$50:$F$54,3,0)," ")</f>
        <v>NA</v>
      </c>
      <c r="W568" s="160" t="str">
        <f>IFERROR(VLOOKUP(N568,TD!$B$50:$F$54,4,0)," ")</f>
        <v>NA</v>
      </c>
      <c r="X568" s="159" t="s">
        <v>335</v>
      </c>
      <c r="Y568" s="160" t="str">
        <f>IFERROR(VLOOKUP(X568,TD!$J$51:$K$64,2,0)," ")</f>
        <v>N/A</v>
      </c>
      <c r="Z568" s="161" t="str">
        <f>CONCATENATE(X568,"-",Y568)</f>
        <v>N/A-N/A</v>
      </c>
      <c r="AA568" s="159" t="s">
        <v>335</v>
      </c>
      <c r="AB568" s="160" t="str">
        <f>IFERROR(VLOOKUP(AA568,TD!$N$51:$O$66,2,0)," ")</f>
        <v>N/A</v>
      </c>
      <c r="AC568" s="161" t="str">
        <f>CONCATENATE(AA568,"_",AB568)</f>
        <v>N/A_N/A</v>
      </c>
      <c r="AD568" s="161" t="str">
        <f>CONCATENATE(Z568," ",AC568)</f>
        <v>N/A-N/A N/A_N/A</v>
      </c>
      <c r="AE568" s="160" t="str">
        <f>CONCATENATE(U568,V568,W568,X568,AA568)</f>
        <v>NANANAN/AN/A</v>
      </c>
      <c r="AF568" s="160" t="str">
        <f>IFERROR(VLOOKUP(AD568,TD!$J$66:$K$89,2,0)," ")</f>
        <v>N/A</v>
      </c>
      <c r="AG568" s="118" t="s">
        <v>332</v>
      </c>
      <c r="AH568" s="168" t="s">
        <v>193</v>
      </c>
      <c r="AI568" s="162" t="str">
        <f>CONCATENATE(PAA[[#This Row],[Id Interno]],"-",PAA[[#This Row],[tipo de Contrato (TH talento humano - B/S bienes y/o servicios)]],"-",S568,"-",T568,"-",PAA[[#This Row],[Objeto de la contratación]])</f>
        <v>20260535-BS-No a-l-Mantenimiento correctivo y preventivo con suministro de repuestos ascensor estación de bomberos Bellavista B-9 - SGC</v>
      </c>
    </row>
    <row r="569" spans="2:35" ht="70" x14ac:dyDescent="0.35">
      <c r="B569" s="23">
        <v>20260536</v>
      </c>
      <c r="C569" s="99" t="s">
        <v>777</v>
      </c>
      <c r="D569" s="23" t="s">
        <v>92</v>
      </c>
      <c r="E569" s="23" t="s">
        <v>402</v>
      </c>
      <c r="F569" s="23" t="s">
        <v>89</v>
      </c>
      <c r="G569" s="129" t="s">
        <v>381</v>
      </c>
      <c r="H569" s="136">
        <v>2</v>
      </c>
      <c r="I569" s="158">
        <v>0</v>
      </c>
      <c r="J569" s="127">
        <v>1500000</v>
      </c>
      <c r="K569" s="88" t="s">
        <v>398</v>
      </c>
      <c r="L569" s="156" t="s">
        <v>155</v>
      </c>
      <c r="M569" s="159" t="s">
        <v>422</v>
      </c>
      <c r="N569" s="23" t="s">
        <v>330</v>
      </c>
      <c r="O569" s="151" t="s">
        <v>963</v>
      </c>
      <c r="P569" s="159" t="s">
        <v>161</v>
      </c>
      <c r="Q569" s="53" t="s">
        <v>806</v>
      </c>
      <c r="R569" s="159" t="s">
        <v>331</v>
      </c>
      <c r="S569" s="159" t="str">
        <f>MID(PAA[[#This Row],[Meta Proyecto de Inversión]],1,4)</f>
        <v>No a</v>
      </c>
      <c r="T569" s="159" t="str">
        <f>MID(PAA[[#This Row],[Meta Proyecto de Inversión]],6,1)</f>
        <v>l</v>
      </c>
      <c r="U569" s="160" t="str">
        <f>IFERROR(VLOOKUP(N569,TD!$B$50:$F$54,2,0)," ")</f>
        <v>NA</v>
      </c>
      <c r="V569" s="160" t="str">
        <f>IFERROR(VLOOKUP(N569,TD!$B$50:$F$54,3,0)," ")</f>
        <v>NA</v>
      </c>
      <c r="W569" s="160" t="str">
        <f>IFERROR(VLOOKUP(N569,TD!$B$50:$F$54,4,0)," ")</f>
        <v>NA</v>
      </c>
      <c r="X569" s="159" t="s">
        <v>335</v>
      </c>
      <c r="Y569" s="160" t="str">
        <f>IFERROR(VLOOKUP(X569,TD!$J$51:$K$64,2,0)," ")</f>
        <v>N/A</v>
      </c>
      <c r="Z569" s="161" t="str">
        <f>CONCATENATE(X569,"-",Y569)</f>
        <v>N/A-N/A</v>
      </c>
      <c r="AA569" s="159" t="s">
        <v>335</v>
      </c>
      <c r="AB569" s="160" t="str">
        <f>IFERROR(VLOOKUP(AA569,TD!$N$51:$O$66,2,0)," ")</f>
        <v>N/A</v>
      </c>
      <c r="AC569" s="161" t="str">
        <f>CONCATENATE(AA569,"_",AB569)</f>
        <v>N/A_N/A</v>
      </c>
      <c r="AD569" s="161" t="str">
        <f>CONCATENATE(Z569," ",AC569)</f>
        <v>N/A-N/A N/A_N/A</v>
      </c>
      <c r="AE569" s="160" t="str">
        <f>CONCATENATE(U569,V569,W569,X569,AA569)</f>
        <v>NANANAN/AN/A</v>
      </c>
      <c r="AF569" s="160" t="str">
        <f>IFERROR(VLOOKUP(AD569,TD!$J$66:$K$89,2,0)," ")</f>
        <v>N/A</v>
      </c>
      <c r="AG569" s="118" t="s">
        <v>332</v>
      </c>
      <c r="AH569" s="168" t="s">
        <v>193</v>
      </c>
      <c r="AI569" s="162" t="str">
        <f>CONCATENATE(PAA[[#This Row],[Id Interno]],"-",PAA[[#This Row],[tipo de Contrato (TH talento humano - B/S bienes y/o servicios)]],"-",S569,"-",T569,"-",PAA[[#This Row],[Objeto de la contratación]])</f>
        <v>20260536-BS-No a-l-Prestación del servicio para inspección y certificación correspondientes a los sistemas de transporte vertical (ascensores) a cargo de la Unidad Administrativa Especial Cuerpo Oficial de Bomberos Bogotá D.C – SGC</v>
      </c>
    </row>
    <row r="570" spans="2:35" ht="70" x14ac:dyDescent="0.35">
      <c r="B570" s="23">
        <v>20260537</v>
      </c>
      <c r="C570" s="99" t="s">
        <v>778</v>
      </c>
      <c r="D570" s="23" t="s">
        <v>78</v>
      </c>
      <c r="E570" s="23" t="s">
        <v>402</v>
      </c>
      <c r="F570" s="23" t="s">
        <v>133</v>
      </c>
      <c r="G570" s="129" t="s">
        <v>376</v>
      </c>
      <c r="H570" s="136">
        <v>12</v>
      </c>
      <c r="I570" s="158">
        <v>0</v>
      </c>
      <c r="J570" s="127">
        <v>6415727800</v>
      </c>
      <c r="K570" s="88" t="s">
        <v>398</v>
      </c>
      <c r="L570" s="156" t="s">
        <v>155</v>
      </c>
      <c r="M570" s="159" t="s">
        <v>422</v>
      </c>
      <c r="N570" s="23" t="s">
        <v>330</v>
      </c>
      <c r="O570" s="151" t="s">
        <v>963</v>
      </c>
      <c r="P570" s="159" t="s">
        <v>161</v>
      </c>
      <c r="Q570" s="53" t="s">
        <v>807</v>
      </c>
      <c r="R570" s="159" t="s">
        <v>331</v>
      </c>
      <c r="S570" s="159" t="str">
        <f>MID(PAA[[#This Row],[Meta Proyecto de Inversión]],1,4)</f>
        <v>No a</v>
      </c>
      <c r="T570" s="159" t="str">
        <f>MID(PAA[[#This Row],[Meta Proyecto de Inversión]],6,1)</f>
        <v>l</v>
      </c>
      <c r="U570" s="160" t="str">
        <f>IFERROR(VLOOKUP(N570,TD!$B$50:$F$54,2,0)," ")</f>
        <v>NA</v>
      </c>
      <c r="V570" s="160" t="str">
        <f>IFERROR(VLOOKUP(N570,TD!$B$50:$F$54,3,0)," ")</f>
        <v>NA</v>
      </c>
      <c r="W570" s="160" t="str">
        <f>IFERROR(VLOOKUP(N570,TD!$B$50:$F$54,4,0)," ")</f>
        <v>NA</v>
      </c>
      <c r="X570" s="159" t="s">
        <v>335</v>
      </c>
      <c r="Y570" s="160" t="str">
        <f>IFERROR(VLOOKUP(X570,TD!$J$51:$K$64,2,0)," ")</f>
        <v>N/A</v>
      </c>
      <c r="Z570" s="161" t="str">
        <f>CONCATENATE(X570,"-",Y570)</f>
        <v>N/A-N/A</v>
      </c>
      <c r="AA570" s="159" t="s">
        <v>335</v>
      </c>
      <c r="AB570" s="160" t="str">
        <f>IFERROR(VLOOKUP(AA570,TD!$N$51:$O$66,2,0)," ")</f>
        <v>N/A</v>
      </c>
      <c r="AC570" s="161" t="str">
        <f>CONCATENATE(AA570,"_",AB570)</f>
        <v>N/A_N/A</v>
      </c>
      <c r="AD570" s="161" t="str">
        <f>CONCATENATE(Z570," ",AC570)</f>
        <v>N/A-N/A N/A_N/A</v>
      </c>
      <c r="AE570" s="160" t="str">
        <f>CONCATENATE(U570,V570,W570,X570,AA570)</f>
        <v>NANANAN/AN/A</v>
      </c>
      <c r="AF570" s="160" t="str">
        <f>IFERROR(VLOOKUP(AD570,TD!$J$66:$K$89,2,0)," ")</f>
        <v>N/A</v>
      </c>
      <c r="AG570" s="118" t="s">
        <v>332</v>
      </c>
      <c r="AH570" s="168" t="s">
        <v>193</v>
      </c>
      <c r="AI570" s="162" t="str">
        <f>CONCATENATE(PAA[[#This Row],[Id Interno]],"-",PAA[[#This Row],[tipo de Contrato (TH talento humano - B/S bienes y/o servicios)]],"-",S570,"-",T570,"-",PAA[[#This Row],[Objeto de la contratación]])</f>
        <v>20260537-BS-No a-l-Seleccionar propuesta para contratar con una o varias compañías de seguros legalmente autorizadas para funcionar en el país, los seguros patrimoniales, generales, drones,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v>
      </c>
    </row>
    <row r="571" spans="2:35" ht="70" x14ac:dyDescent="0.35">
      <c r="B571" s="23">
        <v>20260538</v>
      </c>
      <c r="C571" s="99" t="s">
        <v>702</v>
      </c>
      <c r="D571" s="23" t="s">
        <v>105</v>
      </c>
      <c r="E571" s="23" t="s">
        <v>363</v>
      </c>
      <c r="F571" s="23" t="s">
        <v>144</v>
      </c>
      <c r="G571" s="129" t="s">
        <v>373</v>
      </c>
      <c r="H571" s="136">
        <v>11</v>
      </c>
      <c r="I571" s="158">
        <v>0</v>
      </c>
      <c r="J571" s="127">
        <v>56772000</v>
      </c>
      <c r="K571" s="88" t="s">
        <v>398</v>
      </c>
      <c r="L571" s="156" t="s">
        <v>155</v>
      </c>
      <c r="M571" s="159" t="s">
        <v>422</v>
      </c>
      <c r="N571" s="23" t="s">
        <v>197</v>
      </c>
      <c r="O571" s="151" t="s">
        <v>963</v>
      </c>
      <c r="P571" s="159" t="s">
        <v>348</v>
      </c>
      <c r="Q571" s="53" t="s">
        <v>783</v>
      </c>
      <c r="R571" s="159" t="s">
        <v>208</v>
      </c>
      <c r="S571" s="159" t="str">
        <f>MID(PAA[[#This Row],[Meta Proyecto de Inversión]],1,4)</f>
        <v>8126</v>
      </c>
      <c r="T571" s="159" t="str">
        <f>MID(PAA[[#This Row],[Meta Proyecto de Inversión]],6,1)</f>
        <v>9</v>
      </c>
      <c r="U571" s="160" t="str">
        <f>IFERROR(VLOOKUP(N571,TD!$B$50:$F$54,2,0)," ")</f>
        <v>O230117</v>
      </c>
      <c r="V571" s="160" t="str">
        <f>IFERROR(VLOOKUP(N571,TD!$B$50:$F$54,3,0)," ")</f>
        <v>4599</v>
      </c>
      <c r="W571" s="160">
        <f>IFERROR(VLOOKUP(N571,TD!$B$50:$F$54,4,0)," ")</f>
        <v>20240207</v>
      </c>
      <c r="X571" s="159" t="s">
        <v>174</v>
      </c>
      <c r="Y571" s="160" t="str">
        <f>IFERROR(VLOOKUP(X571,TD!$J$51:$K$64,2,0)," ")</f>
        <v>Infraestructura física, mantenimiento y dotación (Sedes construidas, mantenidas reforzadas)</v>
      </c>
      <c r="Z571" s="161" t="str">
        <f>CONCATENATE(X571,"-",Y571)</f>
        <v>08-Infraestructura física, mantenimiento y dotación (Sedes construidas, mantenidas reforzadas)</v>
      </c>
      <c r="AA571" s="159" t="s">
        <v>227</v>
      </c>
      <c r="AB571" s="160" t="str">
        <f>IFERROR(VLOOKUP(AA571,TD!$N$51:$O$66,2,0)," ")</f>
        <v>Sedes mantenidas</v>
      </c>
      <c r="AC571" s="161" t="str">
        <f>CONCATENATE(AA571,"_",AB571)</f>
        <v>016_Sedes mantenidas</v>
      </c>
      <c r="AD571" s="161" t="str">
        <f>CONCATENATE(Z571," ",AC571)</f>
        <v>08-Infraestructura física, mantenimiento y dotación (Sedes construidas, mantenidas reforzadas) 016_Sedes mantenidas</v>
      </c>
      <c r="AE571" s="160" t="str">
        <f>CONCATENATE(U571,V571,W571,X571,AA571)</f>
        <v>O23011745992024020708016</v>
      </c>
      <c r="AF571" s="160" t="str">
        <f>IFERROR(VLOOKUP(AD571,TD!$J$66:$K$89,2,0)," ")</f>
        <v>PM/0131/0108/45990160207</v>
      </c>
      <c r="AG571" s="118" t="s">
        <v>385</v>
      </c>
      <c r="AH571" s="168" t="s">
        <v>193</v>
      </c>
      <c r="AI571" s="162" t="str">
        <f>CONCATENATE(PAA[[#This Row],[Id Interno]],"-",PAA[[#This Row],[tipo de Contrato (TH talento humano - B/S bienes y/o servicios)]],"-",S571,"-",T571,"-",PAA[[#This Row],[Objeto de la contratación]])</f>
        <v>20260538-TH-8126-9-Prestación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572" spans="2:35" ht="70" x14ac:dyDescent="0.35">
      <c r="B572" s="23">
        <v>20260539</v>
      </c>
      <c r="C572" s="99" t="s">
        <v>779</v>
      </c>
      <c r="D572" s="23" t="s">
        <v>101</v>
      </c>
      <c r="E572" s="23" t="s">
        <v>402</v>
      </c>
      <c r="F572" s="23" t="s">
        <v>92</v>
      </c>
      <c r="G572" s="129" t="s">
        <v>375</v>
      </c>
      <c r="H572" s="136">
        <v>3</v>
      </c>
      <c r="I572" s="158">
        <v>0</v>
      </c>
      <c r="J572" s="127">
        <v>62000000</v>
      </c>
      <c r="K572" s="88" t="s">
        <v>398</v>
      </c>
      <c r="L572" s="156" t="s">
        <v>155</v>
      </c>
      <c r="M572" s="159" t="s">
        <v>422</v>
      </c>
      <c r="N572" s="23" t="s">
        <v>198</v>
      </c>
      <c r="O572" s="151" t="s">
        <v>964</v>
      </c>
      <c r="P572" s="159" t="s">
        <v>348</v>
      </c>
      <c r="Q572" s="53" t="s">
        <v>808</v>
      </c>
      <c r="R572" s="159" t="s">
        <v>351</v>
      </c>
      <c r="S572" s="159" t="str">
        <f>MID(PAA[[#This Row],[Meta Proyecto de Inversión]],1,4)</f>
        <v>8173</v>
      </c>
      <c r="T572" s="159" t="str">
        <f>MID(PAA[[#This Row],[Meta Proyecto de Inversión]],6,1)</f>
        <v>1</v>
      </c>
      <c r="U572" s="160" t="str">
        <f>IFERROR(VLOOKUP(N572,TD!$B$50:$F$54,2,0)," ")</f>
        <v>O230117</v>
      </c>
      <c r="V572" s="160" t="str">
        <f>IFERROR(VLOOKUP(N572,TD!$B$50:$F$54,3,0)," ")</f>
        <v>4503</v>
      </c>
      <c r="W572" s="160">
        <f>IFERROR(VLOOKUP(N572,TD!$B$50:$F$54,4,0)," ")</f>
        <v>20240255</v>
      </c>
      <c r="X572" s="159">
        <v>14</v>
      </c>
      <c r="Y572" s="160" t="str">
        <f>IFERROR(VLOOKUP(X572,TD!$J$51:$K$64,2,0)," ")</f>
        <v xml:space="preserve">Infraestructura física misional construida mantenida y dotada </v>
      </c>
      <c r="Z572" s="161" t="str">
        <f>CONCATENATE(X572,"-",Y572)</f>
        <v xml:space="preserve">14-Infraestructura física misional construida mantenida y dotada </v>
      </c>
      <c r="AA572" s="159" t="s">
        <v>225</v>
      </c>
      <c r="AB572" s="160" t="str">
        <f>IFERROR(VLOOKUP(AA572,TD!$N$51:$O$66,2,0)," ")</f>
        <v>Estaciones de bomberos adecuadas</v>
      </c>
      <c r="AC572" s="161" t="str">
        <f>CONCATENATE(AA572,"_",AB572)</f>
        <v>014_Estaciones de bomberos adecuadas</v>
      </c>
      <c r="AD572" s="161" t="str">
        <f>CONCATENATE(Z572," ",AC572)</f>
        <v>14-Infraestructura física misional construida mantenida y dotada  014_Estaciones de bomberos adecuadas</v>
      </c>
      <c r="AE572" s="160" t="str">
        <f>CONCATENATE(U572,V572,W572,X572,AA572)</f>
        <v>O23011745032024025514014</v>
      </c>
      <c r="AF572" s="160" t="str">
        <f>IFERROR(VLOOKUP(AD572,TD!$J$66:$K$89,2,0)," ")</f>
        <v>PM/0131/0114/45030140255</v>
      </c>
      <c r="AG572" s="118" t="s">
        <v>80</v>
      </c>
      <c r="AH572" s="168" t="s">
        <v>193</v>
      </c>
      <c r="AI572" s="162" t="str">
        <f>CONCATENATE(PAA[[#This Row],[Id Interno]],"-",PAA[[#This Row],[tipo de Contrato (TH talento humano - B/S bienes y/o servicios)]],"-",S572,"-",T572,"-",PAA[[#This Row],[Objeto de la contratación]])</f>
        <v>20260539-BS-8173-1-Adquirir máquinas de grabado láser para el plaqueteo y/o marcación de los bienes devolutivos de la UAECOB, con el fin de garantizar el correcto control del inventario mediante rótulos duraderos y resistentes-SGC</v>
      </c>
    </row>
    <row r="573" spans="2:35" ht="70" x14ac:dyDescent="0.35">
      <c r="B573" s="23">
        <v>20260540</v>
      </c>
      <c r="C573" s="99" t="s">
        <v>809</v>
      </c>
      <c r="D573" s="23" t="s">
        <v>105</v>
      </c>
      <c r="E573" s="23" t="s">
        <v>363</v>
      </c>
      <c r="F573" s="23" t="s">
        <v>144</v>
      </c>
      <c r="G573" s="129" t="s">
        <v>374</v>
      </c>
      <c r="H573" s="136">
        <v>11</v>
      </c>
      <c r="I573" s="136">
        <v>0</v>
      </c>
      <c r="J573" s="127">
        <v>61600000</v>
      </c>
      <c r="K573" s="88" t="s">
        <v>398</v>
      </c>
      <c r="L573" s="156" t="s">
        <v>45</v>
      </c>
      <c r="M573" s="159" t="s">
        <v>401</v>
      </c>
      <c r="N573" s="23" t="s">
        <v>197</v>
      </c>
      <c r="O573" s="151" t="s">
        <v>963</v>
      </c>
      <c r="P573" s="159" t="s">
        <v>348</v>
      </c>
      <c r="Q573" s="53">
        <v>80111600</v>
      </c>
      <c r="R573" s="159" t="s">
        <v>208</v>
      </c>
      <c r="S573" s="159" t="str">
        <f>MID(PAA[[#This Row],[Meta Proyecto de Inversión]],1,4)</f>
        <v>8126</v>
      </c>
      <c r="T573" s="159" t="str">
        <f>MID(PAA[[#This Row],[Meta Proyecto de Inversión]],6,1)</f>
        <v>9</v>
      </c>
      <c r="U573" s="160" t="str">
        <f>IFERROR(VLOOKUP(N573,TD!$B$50:$F$54,2,0)," ")</f>
        <v>O230117</v>
      </c>
      <c r="V573" s="160" t="str">
        <f>IFERROR(VLOOKUP(N573,TD!$B$50:$F$54,3,0)," ")</f>
        <v>4599</v>
      </c>
      <c r="W573" s="160">
        <f>IFERROR(VLOOKUP(N573,TD!$B$50:$F$54,4,0)," ")</f>
        <v>20240207</v>
      </c>
      <c r="X573" s="159" t="s">
        <v>174</v>
      </c>
      <c r="Y573" s="160" t="str">
        <f>IFERROR(VLOOKUP(X573,TD!$J$51:$K$64,2,0)," ")</f>
        <v>Infraestructura física, mantenimiento y dotación (Sedes construidas, mantenidas reforzadas)</v>
      </c>
      <c r="Z573" s="161" t="str">
        <f>CONCATENATE(X573,"-",Y573)</f>
        <v>08-Infraestructura física, mantenimiento y dotación (Sedes construidas, mantenidas reforzadas)</v>
      </c>
      <c r="AA573" s="159" t="s">
        <v>227</v>
      </c>
      <c r="AB573" s="160" t="str">
        <f>IFERROR(VLOOKUP(AA573,TD!$N$51:$O$66,2,0)," ")</f>
        <v>Sedes mantenidas</v>
      </c>
      <c r="AC573" s="161" t="str">
        <f>CONCATENATE(AA573,"_",AB573)</f>
        <v>016_Sedes mantenidas</v>
      </c>
      <c r="AD573" s="161" t="str">
        <f>CONCATENATE(Z573," ",AC573)</f>
        <v>08-Infraestructura física, mantenimiento y dotación (Sedes construidas, mantenidas reforzadas) 016_Sedes mantenidas</v>
      </c>
      <c r="AE573" s="160" t="str">
        <f>CONCATENATE(U573,V573,W573,X573,AA573)</f>
        <v>O23011745992024020708016</v>
      </c>
      <c r="AF573" s="160" t="str">
        <f>IFERROR(VLOOKUP(AD573,TD!$J$66:$K$89,2,0)," ")</f>
        <v>PM/0131/0108/45990160207</v>
      </c>
      <c r="AG573" s="118" t="s">
        <v>385</v>
      </c>
      <c r="AH573" s="168" t="s">
        <v>193</v>
      </c>
      <c r="AI573" s="162" t="str">
        <f>CONCATENATE(PAA[[#This Row],[Id Interno]],"-",PAA[[#This Row],[tipo de Contrato (TH talento humano - B/S bienes y/o servicios)]],"-",S573,"-",T573,"-",PAA[[#This Row],[Objeto de la contratación]])</f>
        <v>20260540-TH-8126-9-Prestación de servicios profesionales jurídicos en virtud de las funciones asignadas a la Dirección General de la UAECOB, para apoyar los procesos contractuales y actividades administrativas requeridas.</v>
      </c>
    </row>
    <row r="574" spans="2:35" ht="70" x14ac:dyDescent="0.35">
      <c r="B574" s="23">
        <v>20260541</v>
      </c>
      <c r="C574" s="99" t="s">
        <v>810</v>
      </c>
      <c r="D574" s="23" t="s">
        <v>105</v>
      </c>
      <c r="E574" s="23" t="s">
        <v>363</v>
      </c>
      <c r="F574" s="23" t="s">
        <v>144</v>
      </c>
      <c r="G574" s="129" t="s">
        <v>374</v>
      </c>
      <c r="H574" s="136">
        <v>11</v>
      </c>
      <c r="I574" s="136">
        <v>0</v>
      </c>
      <c r="J574" s="127">
        <v>88000000</v>
      </c>
      <c r="K574" s="88" t="s">
        <v>398</v>
      </c>
      <c r="L574" s="156" t="s">
        <v>45</v>
      </c>
      <c r="M574" s="159" t="s">
        <v>401</v>
      </c>
      <c r="N574" s="23" t="s">
        <v>197</v>
      </c>
      <c r="O574" s="151" t="s">
        <v>963</v>
      </c>
      <c r="P574" s="159" t="s">
        <v>348</v>
      </c>
      <c r="Q574" s="53">
        <v>80111600</v>
      </c>
      <c r="R574" s="159" t="s">
        <v>208</v>
      </c>
      <c r="S574" s="159" t="str">
        <f>MID(PAA[[#This Row],[Meta Proyecto de Inversión]],1,4)</f>
        <v>8126</v>
      </c>
      <c r="T574" s="159" t="str">
        <f>MID(PAA[[#This Row],[Meta Proyecto de Inversión]],6,1)</f>
        <v>9</v>
      </c>
      <c r="U574" s="160" t="str">
        <f>IFERROR(VLOOKUP(N574,TD!$B$50:$F$54,2,0)," ")</f>
        <v>O230117</v>
      </c>
      <c r="V574" s="160" t="str">
        <f>IFERROR(VLOOKUP(N574,TD!$B$50:$F$54,3,0)," ")</f>
        <v>4599</v>
      </c>
      <c r="W574" s="160">
        <f>IFERROR(VLOOKUP(N574,TD!$B$50:$F$54,4,0)," ")</f>
        <v>20240207</v>
      </c>
      <c r="X574" s="159" t="s">
        <v>174</v>
      </c>
      <c r="Y574" s="160" t="str">
        <f>IFERROR(VLOOKUP(X574,TD!$J$51:$K$64,2,0)," ")</f>
        <v>Infraestructura física, mantenimiento y dotación (Sedes construidas, mantenidas reforzadas)</v>
      </c>
      <c r="Z574" s="161" t="str">
        <f>CONCATENATE(X574,"-",Y574)</f>
        <v>08-Infraestructura física, mantenimiento y dotación (Sedes construidas, mantenidas reforzadas)</v>
      </c>
      <c r="AA574" s="159" t="s">
        <v>227</v>
      </c>
      <c r="AB574" s="160" t="str">
        <f>IFERROR(VLOOKUP(AA574,TD!$N$51:$O$66,2,0)," ")</f>
        <v>Sedes mantenidas</v>
      </c>
      <c r="AC574" s="161" t="str">
        <f>CONCATENATE(AA574,"_",AB574)</f>
        <v>016_Sedes mantenidas</v>
      </c>
      <c r="AD574" s="161" t="str">
        <f>CONCATENATE(Z574," ",AC574)</f>
        <v>08-Infraestructura física, mantenimiento y dotación (Sedes construidas, mantenidas reforzadas) 016_Sedes mantenidas</v>
      </c>
      <c r="AE574" s="160" t="str">
        <f>CONCATENATE(U574,V574,W574,X574,AA574)</f>
        <v>O23011745992024020708016</v>
      </c>
      <c r="AF574" s="160" t="str">
        <f>IFERROR(VLOOKUP(AD574,TD!$J$66:$K$89,2,0)," ")</f>
        <v>PM/0131/0108/45990160207</v>
      </c>
      <c r="AG574" s="118" t="s">
        <v>385</v>
      </c>
      <c r="AH574" s="168" t="s">
        <v>193</v>
      </c>
      <c r="AI574" s="162" t="str">
        <f>CONCATENATE(PAA[[#This Row],[Id Interno]],"-",PAA[[#This Row],[tipo de Contrato (TH talento humano - B/S bienes y/o servicios)]],"-",S574,"-",T574,"-",PAA[[#This Row],[Objeto de la contratación]])</f>
        <v>20260541-TH-8126-9-Prestar servicios profesionales a la Dirección General en actividades de articulación interinstitucional entre las diferentes dependencias, entidades del sector, y demás que estén relacionadas con la misionalidad de la UAECOB.</v>
      </c>
    </row>
    <row r="575" spans="2:35" ht="70" x14ac:dyDescent="0.35">
      <c r="B575" s="23">
        <v>20260542</v>
      </c>
      <c r="C575" s="99" t="s">
        <v>811</v>
      </c>
      <c r="D575" s="23" t="s">
        <v>105</v>
      </c>
      <c r="E575" s="23" t="s">
        <v>363</v>
      </c>
      <c r="F575" s="23" t="s">
        <v>144</v>
      </c>
      <c r="G575" s="129" t="s">
        <v>374</v>
      </c>
      <c r="H575" s="136">
        <v>11</v>
      </c>
      <c r="I575" s="136">
        <v>0</v>
      </c>
      <c r="J575" s="127">
        <v>55700000</v>
      </c>
      <c r="K575" s="88" t="s">
        <v>398</v>
      </c>
      <c r="L575" s="156" t="s">
        <v>45</v>
      </c>
      <c r="M575" s="159" t="s">
        <v>401</v>
      </c>
      <c r="N575" s="23" t="s">
        <v>197</v>
      </c>
      <c r="O575" s="151" t="s">
        <v>963</v>
      </c>
      <c r="P575" s="159" t="s">
        <v>348</v>
      </c>
      <c r="Q575" s="53">
        <v>80111600</v>
      </c>
      <c r="R575" s="159" t="s">
        <v>208</v>
      </c>
      <c r="S575" s="159" t="str">
        <f>MID(PAA[[#This Row],[Meta Proyecto de Inversión]],1,4)</f>
        <v>8126</v>
      </c>
      <c r="T575" s="159" t="str">
        <f>MID(PAA[[#This Row],[Meta Proyecto de Inversión]],6,1)</f>
        <v>9</v>
      </c>
      <c r="U575" s="160" t="str">
        <f>IFERROR(VLOOKUP(N575,TD!$B$50:$F$54,2,0)," ")</f>
        <v>O230117</v>
      </c>
      <c r="V575" s="160" t="str">
        <f>IFERROR(VLOOKUP(N575,TD!$B$50:$F$54,3,0)," ")</f>
        <v>4599</v>
      </c>
      <c r="W575" s="160">
        <f>IFERROR(VLOOKUP(N575,TD!$B$50:$F$54,4,0)," ")</f>
        <v>20240207</v>
      </c>
      <c r="X575" s="159" t="s">
        <v>174</v>
      </c>
      <c r="Y575" s="160" t="str">
        <f>IFERROR(VLOOKUP(X575,TD!$J$51:$K$64,2,0)," ")</f>
        <v>Infraestructura física, mantenimiento y dotación (Sedes construidas, mantenidas reforzadas)</v>
      </c>
      <c r="Z575" s="161" t="str">
        <f>CONCATENATE(X575,"-",Y575)</f>
        <v>08-Infraestructura física, mantenimiento y dotación (Sedes construidas, mantenidas reforzadas)</v>
      </c>
      <c r="AA575" s="159" t="s">
        <v>227</v>
      </c>
      <c r="AB575" s="160" t="str">
        <f>IFERROR(VLOOKUP(AA575,TD!$N$51:$O$66,2,0)," ")</f>
        <v>Sedes mantenidas</v>
      </c>
      <c r="AC575" s="161" t="str">
        <f>CONCATENATE(AA575,"_",AB575)</f>
        <v>016_Sedes mantenidas</v>
      </c>
      <c r="AD575" s="161" t="str">
        <f>CONCATENATE(Z575," ",AC575)</f>
        <v>08-Infraestructura física, mantenimiento y dotación (Sedes construidas, mantenidas reforzadas) 016_Sedes mantenidas</v>
      </c>
      <c r="AE575" s="160" t="str">
        <f>CONCATENATE(U575,V575,W575,X575,AA575)</f>
        <v>O23011745992024020708016</v>
      </c>
      <c r="AF575" s="160" t="str">
        <f>IFERROR(VLOOKUP(AD575,TD!$J$66:$K$89,2,0)," ")</f>
        <v>PM/0131/0108/45990160207</v>
      </c>
      <c r="AG575" s="118" t="s">
        <v>385</v>
      </c>
      <c r="AH575" s="168" t="s">
        <v>193</v>
      </c>
      <c r="AI575" s="162" t="str">
        <f>CONCATENATE(PAA[[#This Row],[Id Interno]],"-",PAA[[#This Row],[tipo de Contrato (TH talento humano - B/S bienes y/o servicios)]],"-",S575,"-",T575,"-",PAA[[#This Row],[Objeto de la contratación]])</f>
        <v>20260542-TH-8126-9-Prestar servicios profesionales especializados en el desarrollo de las actividades y de los diferentes procesos que tiene a su cargo y bajo su seguimiento la Dirección General de la UAE Cuerpo Oficial de Bomberos de Bogotá.</v>
      </c>
    </row>
    <row r="576" spans="2:35" ht="70" x14ac:dyDescent="0.35">
      <c r="B576" s="23">
        <v>20260543</v>
      </c>
      <c r="C576" s="99" t="s">
        <v>812</v>
      </c>
      <c r="D576" s="23" t="s">
        <v>105</v>
      </c>
      <c r="E576" s="23" t="s">
        <v>363</v>
      </c>
      <c r="F576" s="23" t="s">
        <v>144</v>
      </c>
      <c r="G576" s="129" t="s">
        <v>374</v>
      </c>
      <c r="H576" s="136">
        <v>11</v>
      </c>
      <c r="I576" s="136">
        <v>0</v>
      </c>
      <c r="J576" s="127">
        <v>111100000</v>
      </c>
      <c r="K576" s="88" t="s">
        <v>398</v>
      </c>
      <c r="L576" s="156" t="s">
        <v>45</v>
      </c>
      <c r="M576" s="159" t="s">
        <v>401</v>
      </c>
      <c r="N576" s="23" t="s">
        <v>197</v>
      </c>
      <c r="O576" s="151" t="s">
        <v>963</v>
      </c>
      <c r="P576" s="159" t="s">
        <v>348</v>
      </c>
      <c r="Q576" s="53">
        <v>80111600</v>
      </c>
      <c r="R576" s="159" t="s">
        <v>208</v>
      </c>
      <c r="S576" s="159" t="str">
        <f>MID(PAA[[#This Row],[Meta Proyecto de Inversión]],1,4)</f>
        <v>8126</v>
      </c>
      <c r="T576" s="159" t="str">
        <f>MID(PAA[[#This Row],[Meta Proyecto de Inversión]],6,1)</f>
        <v>9</v>
      </c>
      <c r="U576" s="160" t="str">
        <f>IFERROR(VLOOKUP(N576,TD!$B$50:$F$54,2,0)," ")</f>
        <v>O230117</v>
      </c>
      <c r="V576" s="160" t="str">
        <f>IFERROR(VLOOKUP(N576,TD!$B$50:$F$54,3,0)," ")</f>
        <v>4599</v>
      </c>
      <c r="W576" s="160">
        <f>IFERROR(VLOOKUP(N576,TD!$B$50:$F$54,4,0)," ")</f>
        <v>20240207</v>
      </c>
      <c r="X576" s="159" t="s">
        <v>174</v>
      </c>
      <c r="Y576" s="160" t="str">
        <f>IFERROR(VLOOKUP(X576,TD!$J$51:$K$64,2,0)," ")</f>
        <v>Infraestructura física, mantenimiento y dotación (Sedes construidas, mantenidas reforzadas)</v>
      </c>
      <c r="Z576" s="161" t="str">
        <f>CONCATENATE(X576,"-",Y576)</f>
        <v>08-Infraestructura física, mantenimiento y dotación (Sedes construidas, mantenidas reforzadas)</v>
      </c>
      <c r="AA576" s="159" t="s">
        <v>227</v>
      </c>
      <c r="AB576" s="160" t="str">
        <f>IFERROR(VLOOKUP(AA576,TD!$N$51:$O$66,2,0)," ")</f>
        <v>Sedes mantenidas</v>
      </c>
      <c r="AC576" s="161" t="str">
        <f>CONCATENATE(AA576,"_",AB576)</f>
        <v>016_Sedes mantenidas</v>
      </c>
      <c r="AD576" s="161" t="str">
        <f>CONCATENATE(Z576," ",AC576)</f>
        <v>08-Infraestructura física, mantenimiento y dotación (Sedes construidas, mantenidas reforzadas) 016_Sedes mantenidas</v>
      </c>
      <c r="AE576" s="160" t="str">
        <f>CONCATENATE(U576,V576,W576,X576,AA576)</f>
        <v>O23011745992024020708016</v>
      </c>
      <c r="AF576" s="160" t="str">
        <f>IFERROR(VLOOKUP(AD576,TD!$J$66:$K$89,2,0)," ")</f>
        <v>PM/0131/0108/45990160207</v>
      </c>
      <c r="AG576" s="118" t="s">
        <v>385</v>
      </c>
      <c r="AH576" s="168" t="s">
        <v>193</v>
      </c>
      <c r="AI576" s="162" t="str">
        <f>CONCATENATE(PAA[[#This Row],[Id Interno]],"-",PAA[[#This Row],[tipo de Contrato (TH talento humano - B/S bienes y/o servicios)]],"-",S576,"-",T576,"-",PAA[[#This Row],[Objeto de la contratación]])</f>
        <v>20260543-TH-8126-9-Prestar servicios profesionales jurídicos en el desarrollo de las actividades y de los diferentes procesos de la Dirección General de la UAE Cuerpo Oficial de Bomberos de Bogotá</v>
      </c>
    </row>
    <row r="577" spans="2:35" ht="70" x14ac:dyDescent="0.35">
      <c r="B577" s="23">
        <v>20260544</v>
      </c>
      <c r="C577" s="99" t="s">
        <v>813</v>
      </c>
      <c r="D577" s="23" t="s">
        <v>105</v>
      </c>
      <c r="E577" s="23" t="s">
        <v>363</v>
      </c>
      <c r="F577" s="23" t="s">
        <v>144</v>
      </c>
      <c r="G577" s="129" t="s">
        <v>374</v>
      </c>
      <c r="H577" s="136">
        <v>11</v>
      </c>
      <c r="I577" s="136">
        <v>0</v>
      </c>
      <c r="J577" s="127">
        <v>61600000</v>
      </c>
      <c r="K577" s="88" t="s">
        <v>398</v>
      </c>
      <c r="L577" s="156" t="s">
        <v>45</v>
      </c>
      <c r="M577" s="159" t="s">
        <v>401</v>
      </c>
      <c r="N577" s="23" t="s">
        <v>197</v>
      </c>
      <c r="O577" s="151" t="s">
        <v>963</v>
      </c>
      <c r="P577" s="159" t="s">
        <v>348</v>
      </c>
      <c r="Q577" s="53">
        <v>80111600</v>
      </c>
      <c r="R577" s="159" t="s">
        <v>208</v>
      </c>
      <c r="S577" s="159" t="str">
        <f>MID(PAA[[#This Row],[Meta Proyecto de Inversión]],1,4)</f>
        <v>8126</v>
      </c>
      <c r="T577" s="159" t="str">
        <f>MID(PAA[[#This Row],[Meta Proyecto de Inversión]],6,1)</f>
        <v>9</v>
      </c>
      <c r="U577" s="160" t="str">
        <f>IFERROR(VLOOKUP(N577,TD!$B$50:$F$54,2,0)," ")</f>
        <v>O230117</v>
      </c>
      <c r="V577" s="160" t="str">
        <f>IFERROR(VLOOKUP(N577,TD!$B$50:$F$54,3,0)," ")</f>
        <v>4599</v>
      </c>
      <c r="W577" s="160">
        <f>IFERROR(VLOOKUP(N577,TD!$B$50:$F$54,4,0)," ")</f>
        <v>20240207</v>
      </c>
      <c r="X577" s="159" t="s">
        <v>174</v>
      </c>
      <c r="Y577" s="160" t="str">
        <f>IFERROR(VLOOKUP(X577,TD!$J$51:$K$64,2,0)," ")</f>
        <v>Infraestructura física, mantenimiento y dotación (Sedes construidas, mantenidas reforzadas)</v>
      </c>
      <c r="Z577" s="161" t="str">
        <f>CONCATENATE(X577,"-",Y577)</f>
        <v>08-Infraestructura física, mantenimiento y dotación (Sedes construidas, mantenidas reforzadas)</v>
      </c>
      <c r="AA577" s="159" t="s">
        <v>227</v>
      </c>
      <c r="AB577" s="160" t="str">
        <f>IFERROR(VLOOKUP(AA577,TD!$N$51:$O$66,2,0)," ")</f>
        <v>Sedes mantenidas</v>
      </c>
      <c r="AC577" s="161" t="str">
        <f>CONCATENATE(AA577,"_",AB577)</f>
        <v>016_Sedes mantenidas</v>
      </c>
      <c r="AD577" s="161" t="str">
        <f>CONCATENATE(Z577," ",AC577)</f>
        <v>08-Infraestructura física, mantenimiento y dotación (Sedes construidas, mantenidas reforzadas) 016_Sedes mantenidas</v>
      </c>
      <c r="AE577" s="160" t="str">
        <f>CONCATENATE(U577,V577,W577,X577,AA577)</f>
        <v>O23011745992024020708016</v>
      </c>
      <c r="AF577" s="160" t="str">
        <f>IFERROR(VLOOKUP(AD577,TD!$J$66:$K$89,2,0)," ")</f>
        <v>PM/0131/0108/45990160207</v>
      </c>
      <c r="AG577" s="118" t="s">
        <v>385</v>
      </c>
      <c r="AH577" s="168" t="s">
        <v>193</v>
      </c>
      <c r="AI577" s="162" t="str">
        <f>CONCATENATE(PAA[[#This Row],[Id Interno]],"-",PAA[[#This Row],[tipo de Contrato (TH talento humano - B/S bienes y/o servicios)]],"-",S577,"-",T577,"-",PAA[[#This Row],[Objeto de la contratación]])</f>
        <v>20260544-TH-8126-9-Prestar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v>
      </c>
    </row>
    <row r="578" spans="2:35" ht="70" x14ac:dyDescent="0.35">
      <c r="B578" s="23">
        <v>20260545</v>
      </c>
      <c r="C578" s="99" t="s">
        <v>814</v>
      </c>
      <c r="D578" s="23" t="s">
        <v>105</v>
      </c>
      <c r="E578" s="23" t="s">
        <v>363</v>
      </c>
      <c r="F578" s="23" t="s">
        <v>144</v>
      </c>
      <c r="G578" s="129" t="s">
        <v>374</v>
      </c>
      <c r="H578" s="136">
        <v>11</v>
      </c>
      <c r="I578" s="136">
        <v>0</v>
      </c>
      <c r="J578" s="127">
        <v>90750000</v>
      </c>
      <c r="K578" s="88" t="s">
        <v>398</v>
      </c>
      <c r="L578" s="156" t="s">
        <v>45</v>
      </c>
      <c r="M578" s="159" t="s">
        <v>401</v>
      </c>
      <c r="N578" s="23" t="s">
        <v>197</v>
      </c>
      <c r="O578" s="151" t="s">
        <v>963</v>
      </c>
      <c r="P578" s="159" t="s">
        <v>348</v>
      </c>
      <c r="Q578" s="53">
        <v>80111600</v>
      </c>
      <c r="R578" s="159" t="s">
        <v>208</v>
      </c>
      <c r="S578" s="159" t="str">
        <f>MID(PAA[[#This Row],[Meta Proyecto de Inversión]],1,4)</f>
        <v>8126</v>
      </c>
      <c r="T578" s="159" t="str">
        <f>MID(PAA[[#This Row],[Meta Proyecto de Inversión]],6,1)</f>
        <v>9</v>
      </c>
      <c r="U578" s="160" t="str">
        <f>IFERROR(VLOOKUP(N578,TD!$B$50:$F$54,2,0)," ")</f>
        <v>O230117</v>
      </c>
      <c r="V578" s="160" t="str">
        <f>IFERROR(VLOOKUP(N578,TD!$B$50:$F$54,3,0)," ")</f>
        <v>4599</v>
      </c>
      <c r="W578" s="160">
        <f>IFERROR(VLOOKUP(N578,TD!$B$50:$F$54,4,0)," ")</f>
        <v>20240207</v>
      </c>
      <c r="X578" s="159" t="s">
        <v>174</v>
      </c>
      <c r="Y578" s="160" t="str">
        <f>IFERROR(VLOOKUP(X578,TD!$J$51:$K$64,2,0)," ")</f>
        <v>Infraestructura física, mantenimiento y dotación (Sedes construidas, mantenidas reforzadas)</v>
      </c>
      <c r="Z578" s="161" t="str">
        <f>CONCATENATE(X578,"-",Y578)</f>
        <v>08-Infraestructura física, mantenimiento y dotación (Sedes construidas, mantenidas reforzadas)</v>
      </c>
      <c r="AA578" s="159" t="s">
        <v>227</v>
      </c>
      <c r="AB578" s="160" t="str">
        <f>IFERROR(VLOOKUP(AA578,TD!$N$51:$O$66,2,0)," ")</f>
        <v>Sedes mantenidas</v>
      </c>
      <c r="AC578" s="161" t="str">
        <f>CONCATENATE(AA578,"_",AB578)</f>
        <v>016_Sedes mantenidas</v>
      </c>
      <c r="AD578" s="161" t="str">
        <f>CONCATENATE(Z578," ",AC578)</f>
        <v>08-Infraestructura física, mantenimiento y dotación (Sedes construidas, mantenidas reforzadas) 016_Sedes mantenidas</v>
      </c>
      <c r="AE578" s="160" t="str">
        <f>CONCATENATE(U578,V578,W578,X578,AA578)</f>
        <v>O23011745992024020708016</v>
      </c>
      <c r="AF578" s="160" t="str">
        <f>IFERROR(VLOOKUP(AD578,TD!$J$66:$K$89,2,0)," ")</f>
        <v>PM/0131/0108/45990160207</v>
      </c>
      <c r="AG578" s="118" t="s">
        <v>385</v>
      </c>
      <c r="AH578" s="168" t="s">
        <v>193</v>
      </c>
      <c r="AI578" s="162" t="str">
        <f>CONCATENATE(PAA[[#This Row],[Id Interno]],"-",PAA[[#This Row],[tipo de Contrato (TH talento humano - B/S bienes y/o servicios)]],"-",S578,"-",T578,"-",PAA[[#This Row],[Objeto de la contratación]])</f>
        <v>20260545-TH-8126-9-Prestar servicios profesionales jurídicos en la Dirección General de la UAECOB en la revisión, gestión y seguimiento de temas a cargo de la dirección, contratación y estratégicos de la misionalidad de la Entidad</v>
      </c>
    </row>
    <row r="579" spans="2:35" ht="70" x14ac:dyDescent="0.35">
      <c r="B579" s="23">
        <v>20260546</v>
      </c>
      <c r="C579" s="99" t="s">
        <v>815</v>
      </c>
      <c r="D579" s="23" t="s">
        <v>105</v>
      </c>
      <c r="E579" s="23" t="s">
        <v>363</v>
      </c>
      <c r="F579" s="23" t="s">
        <v>145</v>
      </c>
      <c r="G579" s="129" t="s">
        <v>374</v>
      </c>
      <c r="H579" s="136">
        <v>11</v>
      </c>
      <c r="I579" s="136">
        <v>0</v>
      </c>
      <c r="J579" s="127">
        <v>50600000</v>
      </c>
      <c r="K579" s="88" t="s">
        <v>398</v>
      </c>
      <c r="L579" s="156" t="s">
        <v>45</v>
      </c>
      <c r="M579" s="159" t="s">
        <v>401</v>
      </c>
      <c r="N579" s="23" t="s">
        <v>197</v>
      </c>
      <c r="O579" s="151" t="s">
        <v>963</v>
      </c>
      <c r="P579" s="159" t="s">
        <v>348</v>
      </c>
      <c r="Q579" s="53">
        <v>80111600</v>
      </c>
      <c r="R579" s="159" t="s">
        <v>208</v>
      </c>
      <c r="S579" s="159" t="str">
        <f>MID(PAA[[#This Row],[Meta Proyecto de Inversión]],1,4)</f>
        <v>8126</v>
      </c>
      <c r="T579" s="159" t="str">
        <f>MID(PAA[[#This Row],[Meta Proyecto de Inversión]],6,1)</f>
        <v>9</v>
      </c>
      <c r="U579" s="160" t="str">
        <f>IFERROR(VLOOKUP(N579,TD!$B$50:$F$54,2,0)," ")</f>
        <v>O230117</v>
      </c>
      <c r="V579" s="160" t="str">
        <f>IFERROR(VLOOKUP(N579,TD!$B$50:$F$54,3,0)," ")</f>
        <v>4599</v>
      </c>
      <c r="W579" s="160">
        <f>IFERROR(VLOOKUP(N579,TD!$B$50:$F$54,4,0)," ")</f>
        <v>20240207</v>
      </c>
      <c r="X579" s="159" t="s">
        <v>174</v>
      </c>
      <c r="Y579" s="160" t="str">
        <f>IFERROR(VLOOKUP(X579,TD!$J$51:$K$64,2,0)," ")</f>
        <v>Infraestructura física, mantenimiento y dotación (Sedes construidas, mantenidas reforzadas)</v>
      </c>
      <c r="Z579" s="161" t="str">
        <f>CONCATENATE(X579,"-",Y579)</f>
        <v>08-Infraestructura física, mantenimiento y dotación (Sedes construidas, mantenidas reforzadas)</v>
      </c>
      <c r="AA579" s="159" t="s">
        <v>227</v>
      </c>
      <c r="AB579" s="160" t="str">
        <f>IFERROR(VLOOKUP(AA579,TD!$N$51:$O$66,2,0)," ")</f>
        <v>Sedes mantenidas</v>
      </c>
      <c r="AC579" s="161" t="str">
        <f>CONCATENATE(AA579,"_",AB579)</f>
        <v>016_Sedes mantenidas</v>
      </c>
      <c r="AD579" s="161" t="str">
        <f>CONCATENATE(Z579," ",AC579)</f>
        <v>08-Infraestructura física, mantenimiento y dotación (Sedes construidas, mantenidas reforzadas) 016_Sedes mantenidas</v>
      </c>
      <c r="AE579" s="160" t="str">
        <f>CONCATENATE(U579,V579,W579,X579,AA579)</f>
        <v>O23011745992024020708016</v>
      </c>
      <c r="AF579" s="160" t="str">
        <f>IFERROR(VLOOKUP(AD579,TD!$J$66:$K$89,2,0)," ")</f>
        <v>PM/0131/0108/45990160207</v>
      </c>
      <c r="AG579" s="118" t="s">
        <v>385</v>
      </c>
      <c r="AH579" s="168" t="s">
        <v>193</v>
      </c>
      <c r="AI579" s="162" t="str">
        <f>CONCATENATE(PAA[[#This Row],[Id Interno]],"-",PAA[[#This Row],[tipo de Contrato (TH talento humano - B/S bienes y/o servicios)]],"-",S579,"-",T579,"-",PAA[[#This Row],[Objeto de la contratación]])</f>
        <v>20260546-TH-8126-9-Prestar servicios de apoyo a la gestión en la UAECOB, en asuntos administrativos y asistenciales requeridos, especificamente en el seguimiento de la información.</v>
      </c>
    </row>
    <row r="580" spans="2:35" ht="56" x14ac:dyDescent="0.35">
      <c r="B580" s="142">
        <v>20260547</v>
      </c>
      <c r="C580" s="121" t="s">
        <v>816</v>
      </c>
      <c r="D580" s="130" t="s">
        <v>105</v>
      </c>
      <c r="E580" s="130" t="s">
        <v>363</v>
      </c>
      <c r="F580" s="130" t="s">
        <v>144</v>
      </c>
      <c r="G580" s="131" t="s">
        <v>374</v>
      </c>
      <c r="H580" s="137">
        <v>11</v>
      </c>
      <c r="I580" s="137">
        <v>0</v>
      </c>
      <c r="J580" s="132">
        <v>90750000</v>
      </c>
      <c r="K580" s="133" t="s">
        <v>398</v>
      </c>
      <c r="L580" s="173" t="s">
        <v>45</v>
      </c>
      <c r="M580" s="171" t="s">
        <v>401</v>
      </c>
      <c r="N580" s="130" t="s">
        <v>197</v>
      </c>
      <c r="O580" s="151" t="s">
        <v>963</v>
      </c>
      <c r="P580" s="171" t="s">
        <v>348</v>
      </c>
      <c r="Q580" s="134">
        <v>80111600</v>
      </c>
      <c r="R580" s="171" t="s">
        <v>208</v>
      </c>
      <c r="S580" s="171" t="str">
        <f>MID(PAA[[#This Row],[Meta Proyecto de Inversión]],1,4)</f>
        <v>8126</v>
      </c>
      <c r="T580" s="171" t="str">
        <f>MID(PAA[[#This Row],[Meta Proyecto de Inversión]],6,1)</f>
        <v>9</v>
      </c>
      <c r="U580" s="174" t="str">
        <f>IFERROR(VLOOKUP(N580,TD!$B$50:$F$54,2,0)," ")</f>
        <v>O230117</v>
      </c>
      <c r="V580" s="174" t="str">
        <f>IFERROR(VLOOKUP(N580,TD!$B$50:$F$54,3,0)," ")</f>
        <v>4599</v>
      </c>
      <c r="W580" s="174">
        <f>IFERROR(VLOOKUP(N580,TD!$B$50:$F$54,4,0)," ")</f>
        <v>20240207</v>
      </c>
      <c r="X580" s="171" t="s">
        <v>174</v>
      </c>
      <c r="Y580" s="160" t="str">
        <f>IFERROR(VLOOKUP(X580,TD!$J$51:$K$64,2,0)," ")</f>
        <v>Infraestructura física, mantenimiento y dotación (Sedes construidas, mantenidas reforzadas)</v>
      </c>
      <c r="Z580" s="172" t="str">
        <f>CONCATENATE(X580,"-",Y580)</f>
        <v>08-Infraestructura física, mantenimiento y dotación (Sedes construidas, mantenidas reforzadas)</v>
      </c>
      <c r="AA580" s="159" t="s">
        <v>227</v>
      </c>
      <c r="AB580" s="160" t="str">
        <f>IFERROR(VLOOKUP(AA580,TD!$N$51:$O$66,2,0)," ")</f>
        <v>Sedes mantenidas</v>
      </c>
      <c r="AC580" s="172" t="str">
        <f>CONCATENATE(AA580,"_",AB580)</f>
        <v>016_Sedes mantenidas</v>
      </c>
      <c r="AD580" s="172" t="str">
        <f>CONCATENATE(Z580," ",AC580)</f>
        <v>08-Infraestructura física, mantenimiento y dotación (Sedes construidas, mantenidas reforzadas) 016_Sedes mantenidas</v>
      </c>
      <c r="AE580" s="174" t="str">
        <f>CONCATENATE(U580,V580,W580,X580,AA580)</f>
        <v>O23011745992024020708016</v>
      </c>
      <c r="AF580" s="160" t="str">
        <f>IFERROR(VLOOKUP(AD580,TD!$J$66:$K$89,2,0)," ")</f>
        <v>PM/0131/0108/45990160207</v>
      </c>
      <c r="AG580" s="118" t="s">
        <v>385</v>
      </c>
      <c r="AH580" s="168" t="s">
        <v>193</v>
      </c>
      <c r="AI580" s="162" t="str">
        <f>CONCATENATE(PAA[[#This Row],[Id Interno]],"-",PAA[[#This Row],[tipo de Contrato (TH talento humano - B/S bienes y/o servicios)]],"-",S580,"-",T580,"-",PAA[[#This Row],[Objeto de la contratación]])</f>
        <v>20260547-TH-8126-9-Prestar servicios profesionales en el desarrollo de los diferentes procesos que tiene a su cargo la Dirección General de la UAE Cuerpo Oficial de Bomberos de Bogotá.</v>
      </c>
    </row>
    <row r="581" spans="2:35" ht="56" x14ac:dyDescent="0.35">
      <c r="B581" s="142">
        <v>20260548</v>
      </c>
      <c r="C581" s="121" t="s">
        <v>817</v>
      </c>
      <c r="D581" s="130" t="s">
        <v>105</v>
      </c>
      <c r="E581" s="130" t="s">
        <v>363</v>
      </c>
      <c r="F581" s="130" t="s">
        <v>145</v>
      </c>
      <c r="G581" s="131" t="s">
        <v>374</v>
      </c>
      <c r="H581" s="137">
        <v>11</v>
      </c>
      <c r="I581" s="137">
        <v>0</v>
      </c>
      <c r="J581" s="132">
        <v>43450000</v>
      </c>
      <c r="K581" s="133" t="s">
        <v>398</v>
      </c>
      <c r="L581" s="173" t="s">
        <v>45</v>
      </c>
      <c r="M581" s="171" t="s">
        <v>401</v>
      </c>
      <c r="N581" s="130" t="s">
        <v>197</v>
      </c>
      <c r="O581" s="151" t="s">
        <v>963</v>
      </c>
      <c r="P581" s="171" t="s">
        <v>348</v>
      </c>
      <c r="Q581" s="134">
        <v>80111600</v>
      </c>
      <c r="R581" s="171" t="s">
        <v>208</v>
      </c>
      <c r="S581" s="171" t="str">
        <f>MID(PAA[[#This Row],[Meta Proyecto de Inversión]],1,4)</f>
        <v>8126</v>
      </c>
      <c r="T581" s="171" t="str">
        <f>MID(PAA[[#This Row],[Meta Proyecto de Inversión]],6,1)</f>
        <v>9</v>
      </c>
      <c r="U581" s="174" t="str">
        <f>IFERROR(VLOOKUP(N581,TD!$B$50:$F$54,2,0)," ")</f>
        <v>O230117</v>
      </c>
      <c r="V581" s="174" t="str">
        <f>IFERROR(VLOOKUP(N581,TD!$B$50:$F$54,3,0)," ")</f>
        <v>4599</v>
      </c>
      <c r="W581" s="174">
        <f>IFERROR(VLOOKUP(N581,TD!$B$50:$F$54,4,0)," ")</f>
        <v>20240207</v>
      </c>
      <c r="X581" s="171" t="s">
        <v>174</v>
      </c>
      <c r="Y581" s="160" t="str">
        <f>IFERROR(VLOOKUP(X581,TD!$J$51:$K$64,2,0)," ")</f>
        <v>Infraestructura física, mantenimiento y dotación (Sedes construidas, mantenidas reforzadas)</v>
      </c>
      <c r="Z581" s="172" t="str">
        <f>CONCATENATE(X581,"-",Y581)</f>
        <v>08-Infraestructura física, mantenimiento y dotación (Sedes construidas, mantenidas reforzadas)</v>
      </c>
      <c r="AA581" s="159" t="s">
        <v>227</v>
      </c>
      <c r="AB581" s="160" t="str">
        <f>IFERROR(VLOOKUP(AA581,TD!$N$51:$O$66,2,0)," ")</f>
        <v>Sedes mantenidas</v>
      </c>
      <c r="AC581" s="172" t="str">
        <f>CONCATENATE(AA581,"_",AB581)</f>
        <v>016_Sedes mantenidas</v>
      </c>
      <c r="AD581" s="172" t="str">
        <f>CONCATENATE(Z581," ",AC581)</f>
        <v>08-Infraestructura física, mantenimiento y dotación (Sedes construidas, mantenidas reforzadas) 016_Sedes mantenidas</v>
      </c>
      <c r="AE581" s="174" t="str">
        <f>CONCATENATE(U581,V581,W581,X581,AA581)</f>
        <v>O23011745992024020708016</v>
      </c>
      <c r="AF581" s="160" t="str">
        <f>IFERROR(VLOOKUP(AD581,TD!$J$66:$K$89,2,0)," ")</f>
        <v>PM/0131/0108/45990160207</v>
      </c>
      <c r="AG581" s="118" t="s">
        <v>385</v>
      </c>
      <c r="AH581" s="168" t="s">
        <v>193</v>
      </c>
      <c r="AI581" s="162" t="str">
        <f>CONCATENATE(PAA[[#This Row],[Id Interno]],"-",PAA[[#This Row],[tipo de Contrato (TH talento humano - B/S bienes y/o servicios)]],"-",S581,"-",T581,"-",PAA[[#This Row],[Objeto de la contratación]])</f>
        <v>20260548-TH-8126-9-Prestar servicios como conductor a la UAECOB, para facilitar el transporte de recursos humanos y demás que le sean indicados en la Dirección General en concordancia al marco de sus funciones</v>
      </c>
    </row>
    <row r="582" spans="2:35" ht="56" x14ac:dyDescent="0.35">
      <c r="B582" s="142">
        <v>20260549</v>
      </c>
      <c r="C582" s="121" t="s">
        <v>818</v>
      </c>
      <c r="D582" s="130" t="s">
        <v>105</v>
      </c>
      <c r="E582" s="130" t="s">
        <v>363</v>
      </c>
      <c r="F582" s="130" t="s">
        <v>144</v>
      </c>
      <c r="G582" s="131" t="s">
        <v>374</v>
      </c>
      <c r="H582" s="137">
        <v>10</v>
      </c>
      <c r="I582" s="137">
        <v>0</v>
      </c>
      <c r="J582" s="132">
        <v>36000000</v>
      </c>
      <c r="K582" s="133" t="s">
        <v>398</v>
      </c>
      <c r="L582" s="173" t="s">
        <v>45</v>
      </c>
      <c r="M582" s="171" t="s">
        <v>401</v>
      </c>
      <c r="N582" s="130" t="s">
        <v>197</v>
      </c>
      <c r="O582" s="151" t="s">
        <v>963</v>
      </c>
      <c r="P582" s="171" t="s">
        <v>348</v>
      </c>
      <c r="Q582" s="134">
        <v>80111600</v>
      </c>
      <c r="R582" s="171" t="s">
        <v>208</v>
      </c>
      <c r="S582" s="171" t="str">
        <f>MID(PAA[[#This Row],[Meta Proyecto de Inversión]],1,4)</f>
        <v>8126</v>
      </c>
      <c r="T582" s="171" t="str">
        <f>MID(PAA[[#This Row],[Meta Proyecto de Inversión]],6,1)</f>
        <v>9</v>
      </c>
      <c r="U582" s="174" t="str">
        <f>IFERROR(VLOOKUP(N582,TD!$B$50:$F$54,2,0)," ")</f>
        <v>O230117</v>
      </c>
      <c r="V582" s="174" t="str">
        <f>IFERROR(VLOOKUP(N582,TD!$B$50:$F$54,3,0)," ")</f>
        <v>4599</v>
      </c>
      <c r="W582" s="174">
        <f>IFERROR(VLOOKUP(N582,TD!$B$50:$F$54,4,0)," ")</f>
        <v>20240207</v>
      </c>
      <c r="X582" s="171" t="s">
        <v>174</v>
      </c>
      <c r="Y582" s="160" t="str">
        <f>IFERROR(VLOOKUP(X582,TD!$J$51:$K$64,2,0)," ")</f>
        <v>Infraestructura física, mantenimiento y dotación (Sedes construidas, mantenidas reforzadas)</v>
      </c>
      <c r="Z582" s="172" t="str">
        <f>CONCATENATE(X582,"-",Y582)</f>
        <v>08-Infraestructura física, mantenimiento y dotación (Sedes construidas, mantenidas reforzadas)</v>
      </c>
      <c r="AA582" s="159" t="s">
        <v>227</v>
      </c>
      <c r="AB582" s="160" t="str">
        <f>IFERROR(VLOOKUP(AA582,TD!$N$51:$O$66,2,0)," ")</f>
        <v>Sedes mantenidas</v>
      </c>
      <c r="AC582" s="172" t="str">
        <f>CONCATENATE(AA582,"_",AB582)</f>
        <v>016_Sedes mantenidas</v>
      </c>
      <c r="AD582" s="172" t="str">
        <f>CONCATENATE(Z582," ",AC582)</f>
        <v>08-Infraestructura física, mantenimiento y dotación (Sedes construidas, mantenidas reforzadas) 016_Sedes mantenidas</v>
      </c>
      <c r="AE582" s="174" t="str">
        <f>CONCATENATE(U582,V582,W582,X582,AA582)</f>
        <v>O23011745992024020708016</v>
      </c>
      <c r="AF582" s="160" t="str">
        <f>IFERROR(VLOOKUP(AD582,TD!$J$66:$K$89,2,0)," ")</f>
        <v>PM/0131/0108/45990160207</v>
      </c>
      <c r="AG582" s="118" t="s">
        <v>385</v>
      </c>
      <c r="AH582" s="168" t="s">
        <v>193</v>
      </c>
      <c r="AI582" s="246" t="str">
        <f>CONCATENATE(PAA[[#This Row],[Id Interno]],"-",PAA[[#This Row],[tipo de Contrato (TH talento humano - B/S bienes y/o servicios)]],"-",S582,"-",T582,"-",PAA[[#This Row],[Objeto de la contratación]])</f>
        <v>20260549-TH-8126-9-Prestar servicios profesionales jurídicos en el desarrollo de las actividades estrategicas de la Dirección General de la UAE Cuerpo Oficial de Bomberos de Bogotá</v>
      </c>
    </row>
    <row r="583" spans="2:35" ht="84" x14ac:dyDescent="0.35">
      <c r="B583" s="142">
        <v>20260550</v>
      </c>
      <c r="C583" s="121" t="s">
        <v>819</v>
      </c>
      <c r="D583" s="130" t="s">
        <v>105</v>
      </c>
      <c r="E583" s="130" t="s">
        <v>363</v>
      </c>
      <c r="F583" s="130" t="s">
        <v>144</v>
      </c>
      <c r="G583" s="131" t="s">
        <v>374</v>
      </c>
      <c r="H583" s="137">
        <v>11</v>
      </c>
      <c r="I583" s="137">
        <v>0</v>
      </c>
      <c r="J583" s="132">
        <v>101200000</v>
      </c>
      <c r="K583" s="133" t="s">
        <v>398</v>
      </c>
      <c r="L583" s="173" t="s">
        <v>45</v>
      </c>
      <c r="M583" s="171" t="s">
        <v>401</v>
      </c>
      <c r="N583" s="130" t="s">
        <v>197</v>
      </c>
      <c r="O583" s="151" t="s">
        <v>963</v>
      </c>
      <c r="P583" s="171" t="s">
        <v>348</v>
      </c>
      <c r="Q583" s="134">
        <v>80111600</v>
      </c>
      <c r="R583" s="171" t="s">
        <v>208</v>
      </c>
      <c r="S583" s="171" t="str">
        <f>MID(PAA[[#This Row],[Meta Proyecto de Inversión]],1,4)</f>
        <v>8126</v>
      </c>
      <c r="T583" s="171" t="str">
        <f>MID(PAA[[#This Row],[Meta Proyecto de Inversión]],6,1)</f>
        <v>9</v>
      </c>
      <c r="U583" s="174" t="str">
        <f>IFERROR(VLOOKUP(N583,TD!$B$50:$F$54,2,0)," ")</f>
        <v>O230117</v>
      </c>
      <c r="V583" s="174" t="str">
        <f>IFERROR(VLOOKUP(N583,TD!$B$50:$F$54,3,0)," ")</f>
        <v>4599</v>
      </c>
      <c r="W583" s="174">
        <f>IFERROR(VLOOKUP(N583,TD!$B$50:$F$54,4,0)," ")</f>
        <v>20240207</v>
      </c>
      <c r="X583" s="171" t="s">
        <v>174</v>
      </c>
      <c r="Y583" s="160" t="str">
        <f>IFERROR(VLOOKUP(X583,TD!$J$51:$K$64,2,0)," ")</f>
        <v>Infraestructura física, mantenimiento y dotación (Sedes construidas, mantenidas reforzadas)</v>
      </c>
      <c r="Z583" s="172" t="str">
        <f>CONCATENATE(X583,"-",Y583)</f>
        <v>08-Infraestructura física, mantenimiento y dotación (Sedes construidas, mantenidas reforzadas)</v>
      </c>
      <c r="AA583" s="159" t="s">
        <v>227</v>
      </c>
      <c r="AB583" s="160" t="str">
        <f>IFERROR(VLOOKUP(AA583,TD!$N$51:$O$66,2,0)," ")</f>
        <v>Sedes mantenidas</v>
      </c>
      <c r="AC583" s="172" t="str">
        <f>CONCATENATE(AA583,"_",AB583)</f>
        <v>016_Sedes mantenidas</v>
      </c>
      <c r="AD583" s="172" t="str">
        <f>CONCATENATE(Z583," ",AC583)</f>
        <v>08-Infraestructura física, mantenimiento y dotación (Sedes construidas, mantenidas reforzadas) 016_Sedes mantenidas</v>
      </c>
      <c r="AE583" s="174" t="str">
        <f>CONCATENATE(U583,V583,W583,X583,AA583)</f>
        <v>O23011745992024020708016</v>
      </c>
      <c r="AF583" s="160" t="str">
        <f>IFERROR(VLOOKUP(AD583,TD!$J$66:$K$89,2,0)," ")</f>
        <v>PM/0131/0108/45990160207</v>
      </c>
      <c r="AG583" s="118" t="s">
        <v>385</v>
      </c>
      <c r="AH583" s="168" t="s">
        <v>193</v>
      </c>
      <c r="AI583" s="246" t="str">
        <f>CONCATENATE(PAA[[#This Row],[Id Interno]],"-",PAA[[#This Row],[tipo de Contrato (TH talento humano - B/S bienes y/o servicios)]],"-",S583,"-",T583,"-",PAA[[#This Row],[Objeto de la contratación]])</f>
        <v>20260550-TH-8126-9-Prestar servicios profesionales jurídicos en la Dirección General de la UAECOB en la revisión, gestión y seguimiento de temas de infraestructura, POT, plan maestro de equipamiento y procesos contractuales y estratégicos de la misionalidad de la Entidad</v>
      </c>
    </row>
    <row r="584" spans="2:35" ht="70" x14ac:dyDescent="0.35">
      <c r="B584" s="142">
        <v>20260551</v>
      </c>
      <c r="C584" s="121" t="s">
        <v>820</v>
      </c>
      <c r="D584" s="130" t="s">
        <v>105</v>
      </c>
      <c r="E584" s="130" t="s">
        <v>363</v>
      </c>
      <c r="F584" s="130" t="s">
        <v>144</v>
      </c>
      <c r="G584" s="131" t="s">
        <v>374</v>
      </c>
      <c r="H584" s="137">
        <v>11</v>
      </c>
      <c r="I584" s="137">
        <v>0</v>
      </c>
      <c r="J584" s="132">
        <v>90750000</v>
      </c>
      <c r="K584" s="133" t="s">
        <v>398</v>
      </c>
      <c r="L584" s="173" t="s">
        <v>45</v>
      </c>
      <c r="M584" s="171" t="s">
        <v>401</v>
      </c>
      <c r="N584" s="130" t="s">
        <v>197</v>
      </c>
      <c r="O584" s="151" t="s">
        <v>963</v>
      </c>
      <c r="P584" s="171" t="s">
        <v>348</v>
      </c>
      <c r="Q584" s="134">
        <v>80111600</v>
      </c>
      <c r="R584" s="171" t="s">
        <v>208</v>
      </c>
      <c r="S584" s="171" t="str">
        <f>MID(PAA[[#This Row],[Meta Proyecto de Inversión]],1,4)</f>
        <v>8126</v>
      </c>
      <c r="T584" s="171" t="str">
        <f>MID(PAA[[#This Row],[Meta Proyecto de Inversión]],6,1)</f>
        <v>9</v>
      </c>
      <c r="U584" s="174" t="str">
        <f>IFERROR(VLOOKUP(N584,TD!$B$50:$F$54,2,0)," ")</f>
        <v>O230117</v>
      </c>
      <c r="V584" s="174" t="str">
        <f>IFERROR(VLOOKUP(N584,TD!$B$50:$F$54,3,0)," ")</f>
        <v>4599</v>
      </c>
      <c r="W584" s="174">
        <f>IFERROR(VLOOKUP(N584,TD!$B$50:$F$54,4,0)," ")</f>
        <v>20240207</v>
      </c>
      <c r="X584" s="171" t="s">
        <v>174</v>
      </c>
      <c r="Y584" s="160" t="str">
        <f>IFERROR(VLOOKUP(X584,TD!$J$51:$K$64,2,0)," ")</f>
        <v>Infraestructura física, mantenimiento y dotación (Sedes construidas, mantenidas reforzadas)</v>
      </c>
      <c r="Z584" s="172" t="str">
        <f>CONCATENATE(X584,"-",Y584)</f>
        <v>08-Infraestructura física, mantenimiento y dotación (Sedes construidas, mantenidas reforzadas)</v>
      </c>
      <c r="AA584" s="159" t="s">
        <v>227</v>
      </c>
      <c r="AB584" s="160" t="str">
        <f>IFERROR(VLOOKUP(AA584,TD!$N$51:$O$66,2,0)," ")</f>
        <v>Sedes mantenidas</v>
      </c>
      <c r="AC584" s="172" t="str">
        <f>CONCATENATE(AA584,"_",AB584)</f>
        <v>016_Sedes mantenidas</v>
      </c>
      <c r="AD584" s="172" t="str">
        <f>CONCATENATE(Z584," ",AC584)</f>
        <v>08-Infraestructura física, mantenimiento y dotación (Sedes construidas, mantenidas reforzadas) 016_Sedes mantenidas</v>
      </c>
      <c r="AE584" s="174" t="str">
        <f>CONCATENATE(U584,V584,W584,X584,AA584)</f>
        <v>O23011745992024020708016</v>
      </c>
      <c r="AF584" s="160" t="str">
        <f>IFERROR(VLOOKUP(AD584,TD!$J$66:$K$89,2,0)," ")</f>
        <v>PM/0131/0108/45990160207</v>
      </c>
      <c r="AG584" s="118" t="s">
        <v>385</v>
      </c>
      <c r="AH584" s="168" t="s">
        <v>193</v>
      </c>
      <c r="AI584" s="246" t="str">
        <f>CONCATENATE(PAA[[#This Row],[Id Interno]],"-",PAA[[#This Row],[tipo de Contrato (TH talento humano - B/S bienes y/o servicios)]],"-",S584,"-",T584,"-",PAA[[#This Row],[Objeto de la contratación]])</f>
        <v>20260551-TH-8126-9-Prestar servicios profesionales de apoyo a la Dirección General en la gestión de actividades de cooperación técnica internacional y articulación interinstitucional, orientadas al fortalecimiento institucional y al cumplimiento de los objetivos estratégicos del Cuerpo Oficial de Bomberos de Bogotá</v>
      </c>
    </row>
    <row r="585" spans="2:35" ht="84" x14ac:dyDescent="0.35">
      <c r="B585" s="142">
        <v>20260552</v>
      </c>
      <c r="C585" s="121" t="s">
        <v>821</v>
      </c>
      <c r="D585" s="130" t="s">
        <v>105</v>
      </c>
      <c r="E585" s="130" t="s">
        <v>363</v>
      </c>
      <c r="F585" s="130" t="s">
        <v>144</v>
      </c>
      <c r="G585" s="131" t="s">
        <v>374</v>
      </c>
      <c r="H585" s="137">
        <v>11</v>
      </c>
      <c r="I585" s="137">
        <v>0</v>
      </c>
      <c r="J585" s="132">
        <v>110000000</v>
      </c>
      <c r="K585" s="133" t="s">
        <v>398</v>
      </c>
      <c r="L585" s="173" t="s">
        <v>45</v>
      </c>
      <c r="M585" s="171" t="s">
        <v>401</v>
      </c>
      <c r="N585" s="130" t="s">
        <v>197</v>
      </c>
      <c r="O585" s="151" t="s">
        <v>963</v>
      </c>
      <c r="P585" s="171" t="s">
        <v>348</v>
      </c>
      <c r="Q585" s="134">
        <v>80111600</v>
      </c>
      <c r="R585" s="171" t="s">
        <v>208</v>
      </c>
      <c r="S585" s="171" t="str">
        <f>MID(PAA[[#This Row],[Meta Proyecto de Inversión]],1,4)</f>
        <v>8126</v>
      </c>
      <c r="T585" s="171" t="str">
        <f>MID(PAA[[#This Row],[Meta Proyecto de Inversión]],6,1)</f>
        <v>9</v>
      </c>
      <c r="U585" s="174" t="str">
        <f>IFERROR(VLOOKUP(N585,TD!$B$50:$F$54,2,0)," ")</f>
        <v>O230117</v>
      </c>
      <c r="V585" s="174" t="str">
        <f>IFERROR(VLOOKUP(N585,TD!$B$50:$F$54,3,0)," ")</f>
        <v>4599</v>
      </c>
      <c r="W585" s="174">
        <f>IFERROR(VLOOKUP(N585,TD!$B$50:$F$54,4,0)," ")</f>
        <v>20240207</v>
      </c>
      <c r="X585" s="171" t="s">
        <v>174</v>
      </c>
      <c r="Y585" s="160" t="str">
        <f>IFERROR(VLOOKUP(X585,TD!$J$51:$K$64,2,0)," ")</f>
        <v>Infraestructura física, mantenimiento y dotación (Sedes construidas, mantenidas reforzadas)</v>
      </c>
      <c r="Z585" s="172" t="str">
        <f>CONCATENATE(X585,"-",Y585)</f>
        <v>08-Infraestructura física, mantenimiento y dotación (Sedes construidas, mantenidas reforzadas)</v>
      </c>
      <c r="AA585" s="171" t="s">
        <v>227</v>
      </c>
      <c r="AB585" s="160" t="str">
        <f>IFERROR(VLOOKUP(AA585,TD!$N$51:$O$66,2,0)," ")</f>
        <v>Sedes mantenidas</v>
      </c>
      <c r="AC585" s="172" t="str">
        <f>CONCATENATE(AA585,"_",AB585)</f>
        <v>016_Sedes mantenidas</v>
      </c>
      <c r="AD585" s="172" t="str">
        <f>CONCATENATE(Z585," ",AC585)</f>
        <v>08-Infraestructura física, mantenimiento y dotación (Sedes construidas, mantenidas reforzadas) 016_Sedes mantenidas</v>
      </c>
      <c r="AE585" s="174" t="str">
        <f>CONCATENATE(U585,V585,W585,X585,AA585)</f>
        <v>O23011745992024020708016</v>
      </c>
      <c r="AF585" s="160" t="str">
        <f>IFERROR(VLOOKUP(AD585,TD!$J$66:$K$89,2,0)," ")</f>
        <v>PM/0131/0108/45990160207</v>
      </c>
      <c r="AG585" s="135" t="s">
        <v>385</v>
      </c>
      <c r="AH585" s="168" t="s">
        <v>193</v>
      </c>
      <c r="AI585" s="246" t="str">
        <f>CONCATENATE(PAA[[#This Row],[Id Interno]],"-",PAA[[#This Row],[tipo de Contrato (TH talento humano - B/S bienes y/o servicios)]],"-",S585,"-",T585,"-",PAA[[#This Row],[Objeto de la contratación]])</f>
        <v>20260552-TH-8126-9-Prestar servicios profesionales especializados en la Dirección General de la UAECOB en la organización y liderazgo de los asuntos relacionados con cooperación técnica internacional y articulación interinstitucional de conformidad a la misionalidad de la entidad.</v>
      </c>
    </row>
    <row r="586" spans="2:35" ht="84" x14ac:dyDescent="0.35">
      <c r="B586" s="142">
        <v>20260553</v>
      </c>
      <c r="C586" s="121" t="s">
        <v>822</v>
      </c>
      <c r="D586" s="130" t="s">
        <v>105</v>
      </c>
      <c r="E586" s="130" t="s">
        <v>363</v>
      </c>
      <c r="F586" s="130" t="s">
        <v>144</v>
      </c>
      <c r="G586" s="131" t="s">
        <v>374</v>
      </c>
      <c r="H586" s="137">
        <v>11</v>
      </c>
      <c r="I586" s="137">
        <v>0</v>
      </c>
      <c r="J586" s="132">
        <v>90750000</v>
      </c>
      <c r="K586" s="133" t="s">
        <v>398</v>
      </c>
      <c r="L586" s="173" t="s">
        <v>45</v>
      </c>
      <c r="M586" s="171" t="s">
        <v>401</v>
      </c>
      <c r="N586" s="130" t="s">
        <v>197</v>
      </c>
      <c r="O586" s="151" t="s">
        <v>963</v>
      </c>
      <c r="P586" s="171" t="s">
        <v>348</v>
      </c>
      <c r="Q586" s="134">
        <v>80111600</v>
      </c>
      <c r="R586" s="171" t="s">
        <v>208</v>
      </c>
      <c r="S586" s="171" t="str">
        <f>MID(PAA[[#This Row],[Meta Proyecto de Inversión]],1,4)</f>
        <v>8126</v>
      </c>
      <c r="T586" s="171" t="str">
        <f>MID(PAA[[#This Row],[Meta Proyecto de Inversión]],6,1)</f>
        <v>9</v>
      </c>
      <c r="U586" s="174" t="str">
        <f>IFERROR(VLOOKUP(N586,TD!$B$50:$F$54,2,0)," ")</f>
        <v>O230117</v>
      </c>
      <c r="V586" s="174" t="str">
        <f>IFERROR(VLOOKUP(N586,TD!$B$50:$F$54,3,0)," ")</f>
        <v>4599</v>
      </c>
      <c r="W586" s="174">
        <f>IFERROR(VLOOKUP(N586,TD!$B$50:$F$54,4,0)," ")</f>
        <v>20240207</v>
      </c>
      <c r="X586" s="171" t="s">
        <v>174</v>
      </c>
      <c r="Y586" s="160" t="str">
        <f>IFERROR(VLOOKUP(X586,TD!$J$51:$K$64,2,0)," ")</f>
        <v>Infraestructura física, mantenimiento y dotación (Sedes construidas, mantenidas reforzadas)</v>
      </c>
      <c r="Z586" s="172" t="str">
        <f>CONCATENATE(X586,"-",Y586)</f>
        <v>08-Infraestructura física, mantenimiento y dotación (Sedes construidas, mantenidas reforzadas)</v>
      </c>
      <c r="AA586" s="171" t="s">
        <v>227</v>
      </c>
      <c r="AB586" s="160" t="str">
        <f>IFERROR(VLOOKUP(AA586,TD!$N$51:$O$66,2,0)," ")</f>
        <v>Sedes mantenidas</v>
      </c>
      <c r="AC586" s="172" t="str">
        <f>CONCATENATE(AA586,"_",AB586)</f>
        <v>016_Sedes mantenidas</v>
      </c>
      <c r="AD586" s="172" t="str">
        <f>CONCATENATE(Z586," ",AC586)</f>
        <v>08-Infraestructura física, mantenimiento y dotación (Sedes construidas, mantenidas reforzadas) 016_Sedes mantenidas</v>
      </c>
      <c r="AE586" s="174" t="str">
        <f>CONCATENATE(U586,V586,W586,X586,AA586)</f>
        <v>O23011745992024020708016</v>
      </c>
      <c r="AF586" s="160" t="str">
        <f>IFERROR(VLOOKUP(AD586,TD!$J$66:$K$89,2,0)," ")</f>
        <v>PM/0131/0108/45990160207</v>
      </c>
      <c r="AG586" s="135" t="s">
        <v>385</v>
      </c>
      <c r="AH586" s="168" t="s">
        <v>193</v>
      </c>
      <c r="AI586" s="246" t="str">
        <f>CONCATENATE(PAA[[#This Row],[Id Interno]],"-",PAA[[#This Row],[tipo de Contrato (TH talento humano - B/S bienes y/o servicios)]],"-",S586,"-",T586,"-",PAA[[#This Row],[Objeto de la contratación]])</f>
        <v>20260553-TH-8126-9-Prestación de servicios profesionales para gestionar las actividades de articulación interinstitucional, protocolo y demás que le sean indicados en la Dirección General en concordancia al marco de sus funciones</v>
      </c>
    </row>
    <row r="587" spans="2:35" ht="84" x14ac:dyDescent="0.35">
      <c r="B587" s="142">
        <v>20260554</v>
      </c>
      <c r="C587" s="121" t="s">
        <v>823</v>
      </c>
      <c r="D587" s="130" t="s">
        <v>105</v>
      </c>
      <c r="E587" s="130" t="s">
        <v>363</v>
      </c>
      <c r="F587" s="130" t="s">
        <v>144</v>
      </c>
      <c r="G587" s="131" t="s">
        <v>374</v>
      </c>
      <c r="H587" s="137">
        <v>10</v>
      </c>
      <c r="I587" s="137">
        <v>0</v>
      </c>
      <c r="J587" s="132">
        <v>78300000</v>
      </c>
      <c r="K587" s="133" t="s">
        <v>398</v>
      </c>
      <c r="L587" s="173" t="s">
        <v>45</v>
      </c>
      <c r="M587" s="171" t="s">
        <v>401</v>
      </c>
      <c r="N587" s="130" t="s">
        <v>197</v>
      </c>
      <c r="O587" s="151" t="s">
        <v>963</v>
      </c>
      <c r="P587" s="171" t="s">
        <v>348</v>
      </c>
      <c r="Q587" s="134">
        <v>80111600</v>
      </c>
      <c r="R587" s="171" t="s">
        <v>208</v>
      </c>
      <c r="S587" s="171" t="str">
        <f>MID(PAA[[#This Row],[Meta Proyecto de Inversión]],1,4)</f>
        <v>8126</v>
      </c>
      <c r="T587" s="171" t="str">
        <f>MID(PAA[[#This Row],[Meta Proyecto de Inversión]],6,1)</f>
        <v>9</v>
      </c>
      <c r="U587" s="174" t="str">
        <f>IFERROR(VLOOKUP(N587,TD!$B$50:$F$54,2,0)," ")</f>
        <v>O230117</v>
      </c>
      <c r="V587" s="174" t="str">
        <f>IFERROR(VLOOKUP(N587,TD!$B$50:$F$54,3,0)," ")</f>
        <v>4599</v>
      </c>
      <c r="W587" s="174">
        <f>IFERROR(VLOOKUP(N587,TD!$B$50:$F$54,4,0)," ")</f>
        <v>20240207</v>
      </c>
      <c r="X587" s="171" t="s">
        <v>174</v>
      </c>
      <c r="Y587" s="160" t="str">
        <f>IFERROR(VLOOKUP(X587,TD!$J$51:$K$64,2,0)," ")</f>
        <v>Infraestructura física, mantenimiento y dotación (Sedes construidas, mantenidas reforzadas)</v>
      </c>
      <c r="Z587" s="172" t="str">
        <f>CONCATENATE(X587,"-",Y587)</f>
        <v>08-Infraestructura física, mantenimiento y dotación (Sedes construidas, mantenidas reforzadas)</v>
      </c>
      <c r="AA587" s="171" t="s">
        <v>227</v>
      </c>
      <c r="AB587" s="160" t="str">
        <f>IFERROR(VLOOKUP(AA587,TD!$N$51:$O$66,2,0)," ")</f>
        <v>Sedes mantenidas</v>
      </c>
      <c r="AC587" s="172" t="str">
        <f>CONCATENATE(AA587,"_",AB587)</f>
        <v>016_Sedes mantenidas</v>
      </c>
      <c r="AD587" s="172" t="str">
        <f>CONCATENATE(Z587," ",AC587)</f>
        <v>08-Infraestructura física, mantenimiento y dotación (Sedes construidas, mantenidas reforzadas) 016_Sedes mantenidas</v>
      </c>
      <c r="AE587" s="174" t="str">
        <f>CONCATENATE(U587,V587,W587,X587,AA587)</f>
        <v>O23011745992024020708016</v>
      </c>
      <c r="AF587" s="160" t="str">
        <f>IFERROR(VLOOKUP(AD587,TD!$J$66:$K$89,2,0)," ")</f>
        <v>PM/0131/0108/45990160207</v>
      </c>
      <c r="AG587" s="135" t="s">
        <v>385</v>
      </c>
      <c r="AH587" s="168" t="s">
        <v>193</v>
      </c>
      <c r="AI587" s="246" t="str">
        <f>CONCATENATE(PAA[[#This Row],[Id Interno]],"-",PAA[[#This Row],[tipo de Contrato (TH talento humano - B/S bienes y/o servicios)]],"-",S587,"-",T587,"-",PAA[[#This Row],[Objeto de la contratación]])</f>
        <v>20260554-TH-8126-9-Prestar servicios profesionales para promover, consolidar y administrar alianzas estratégicas con organismos internacionales, agencias de cooperación y entidades homólogas, con el fin de potenciar la proyección internacional y la gestión de recursos del Cuerpo Oficial de Bomberos de Bogotá.</v>
      </c>
    </row>
    <row r="588" spans="2:35" ht="84" x14ac:dyDescent="0.35">
      <c r="B588" s="142">
        <v>20260555</v>
      </c>
      <c r="C588" s="121" t="s">
        <v>824</v>
      </c>
      <c r="D588" s="130" t="s">
        <v>105</v>
      </c>
      <c r="E588" s="130" t="s">
        <v>363</v>
      </c>
      <c r="F588" s="130" t="s">
        <v>144</v>
      </c>
      <c r="G588" s="131" t="s">
        <v>374</v>
      </c>
      <c r="H588" s="137">
        <v>10</v>
      </c>
      <c r="I588" s="137">
        <v>0</v>
      </c>
      <c r="J588" s="132">
        <v>107000000</v>
      </c>
      <c r="K588" s="133" t="s">
        <v>398</v>
      </c>
      <c r="L588" s="173" t="s">
        <v>150</v>
      </c>
      <c r="M588" s="171" t="s">
        <v>401</v>
      </c>
      <c r="N588" s="130" t="s">
        <v>197</v>
      </c>
      <c r="O588" s="151" t="s">
        <v>963</v>
      </c>
      <c r="P588" s="171" t="s">
        <v>348</v>
      </c>
      <c r="Q588" s="134">
        <v>80111600</v>
      </c>
      <c r="R588" s="171" t="s">
        <v>209</v>
      </c>
      <c r="S588" s="171" t="str">
        <f>MID(PAA[[#This Row],[Meta Proyecto de Inversión]],1,4)</f>
        <v>8126</v>
      </c>
      <c r="T588" s="171" t="str">
        <f>MID(PAA[[#This Row],[Meta Proyecto de Inversión]],6,1)</f>
        <v>1</v>
      </c>
      <c r="U588" s="174" t="str">
        <f>IFERROR(VLOOKUP(N588,TD!$B$50:$F$54,2,0)," ")</f>
        <v>O230117</v>
      </c>
      <c r="V588" s="174" t="str">
        <f>IFERROR(VLOOKUP(N588,TD!$B$50:$F$54,3,0)," ")</f>
        <v>4599</v>
      </c>
      <c r="W588" s="174">
        <f>IFERROR(VLOOKUP(N588,TD!$B$50:$F$54,4,0)," ")</f>
        <v>20240207</v>
      </c>
      <c r="X588" s="171" t="s">
        <v>182</v>
      </c>
      <c r="Y588" s="160" t="str">
        <f>IFERROR(VLOOKUP(X588,TD!$J$51:$K$64,2,0)," ")</f>
        <v>Servicios para la planeación y sistemas de gestión y comunicación estratégica</v>
      </c>
      <c r="Z588" s="172" t="str">
        <f>CONCATENATE(X588,"-",Y588)</f>
        <v>13-Servicios para la planeación y sistemas de gestión y comunicación estratégica</v>
      </c>
      <c r="AA588" s="171" t="s">
        <v>231</v>
      </c>
      <c r="AB588" s="160" t="str">
        <f>IFERROR(VLOOKUP(AA588,TD!$N$51:$O$66,2,0)," ")</f>
        <v>Documentos de planeación</v>
      </c>
      <c r="AC588" s="172" t="str">
        <f>CONCATENATE(AA588,"_",AB588)</f>
        <v>019_Documentos de planeación</v>
      </c>
      <c r="AD588" s="172" t="str">
        <f>CONCATENATE(Z588," ",AC588)</f>
        <v>13-Servicios para la planeación y sistemas de gestión y comunicación estratégica 019_Documentos de planeación</v>
      </c>
      <c r="AE588" s="174" t="str">
        <f>CONCATENATE(U588,V588,W588,X588,AA588)</f>
        <v>O23011745992024020713019</v>
      </c>
      <c r="AF588" s="160" t="str">
        <f>IFERROR(VLOOKUP(AD588,TD!$J$66:$K$89,2,0)," ")</f>
        <v>PM/0131/0113/45990190207</v>
      </c>
      <c r="AG588" s="135" t="s">
        <v>385</v>
      </c>
      <c r="AH588" s="168" t="s">
        <v>193</v>
      </c>
      <c r="AI588" s="246" t="str">
        <f>CONCATENATE(PAA[[#This Row],[Id Interno]],"-",PAA[[#This Row],[tipo de Contrato (TH talento humano - B/S bienes y/o servicios)]],"-",S588,"-",T588,"-",PAA[[#This Row],[Objeto de la contratación]])</f>
        <v>20260555-TH-8126-1-Prestar servicios profesionales especializados en la Dirección General de la UAECOB en la organización y liderazgo de los asuntos relacionados con comunicaciones de conformidad a la misionalidad de la entidad.</v>
      </c>
    </row>
    <row r="589" spans="2:35" ht="84" x14ac:dyDescent="0.35">
      <c r="B589" s="142">
        <v>20260557</v>
      </c>
      <c r="C589" s="121" t="s">
        <v>826</v>
      </c>
      <c r="D589" s="130" t="s">
        <v>105</v>
      </c>
      <c r="E589" s="130" t="s">
        <v>363</v>
      </c>
      <c r="F589" s="130" t="s">
        <v>145</v>
      </c>
      <c r="G589" s="131" t="s">
        <v>374</v>
      </c>
      <c r="H589" s="137">
        <v>10</v>
      </c>
      <c r="I589" s="137">
        <v>0</v>
      </c>
      <c r="J589" s="132">
        <f>23500000</f>
        <v>23500000</v>
      </c>
      <c r="K589" s="133" t="s">
        <v>398</v>
      </c>
      <c r="L589" s="173" t="s">
        <v>150</v>
      </c>
      <c r="M589" s="171" t="s">
        <v>401</v>
      </c>
      <c r="N589" s="130" t="s">
        <v>197</v>
      </c>
      <c r="O589" s="151" t="s">
        <v>963</v>
      </c>
      <c r="P589" s="171" t="s">
        <v>348</v>
      </c>
      <c r="Q589" s="134">
        <v>80111600</v>
      </c>
      <c r="R589" s="171" t="s">
        <v>209</v>
      </c>
      <c r="S589" s="171" t="str">
        <f>MID(PAA[[#This Row],[Meta Proyecto de Inversión]],1,4)</f>
        <v>8126</v>
      </c>
      <c r="T589" s="171" t="str">
        <f>MID(PAA[[#This Row],[Meta Proyecto de Inversión]],6,1)</f>
        <v>1</v>
      </c>
      <c r="U589" s="174" t="str">
        <f>IFERROR(VLOOKUP(N589,TD!$B$50:$F$54,2,0)," ")</f>
        <v>O230117</v>
      </c>
      <c r="V589" s="174" t="str">
        <f>IFERROR(VLOOKUP(N589,TD!$B$50:$F$54,3,0)," ")</f>
        <v>4599</v>
      </c>
      <c r="W589" s="174">
        <f>IFERROR(VLOOKUP(N589,TD!$B$50:$F$54,4,0)," ")</f>
        <v>20240207</v>
      </c>
      <c r="X589" s="171" t="s">
        <v>182</v>
      </c>
      <c r="Y589" s="160" t="str">
        <f>IFERROR(VLOOKUP(X589,TD!$J$51:$K$64,2,0)," ")</f>
        <v>Servicios para la planeación y sistemas de gestión y comunicación estratégica</v>
      </c>
      <c r="Z589" s="172" t="str">
        <f>CONCATENATE(X589,"-",Y589)</f>
        <v>13-Servicios para la planeación y sistemas de gestión y comunicación estratégica</v>
      </c>
      <c r="AA589" s="171" t="s">
        <v>231</v>
      </c>
      <c r="AB589" s="160" t="str">
        <f>IFERROR(VLOOKUP(AA589,TD!$N$51:$O$66,2,0)," ")</f>
        <v>Documentos de planeación</v>
      </c>
      <c r="AC589" s="172" t="str">
        <f>CONCATENATE(AA589,"_",AB589)</f>
        <v>019_Documentos de planeación</v>
      </c>
      <c r="AD589" s="172" t="str">
        <f>CONCATENATE(Z589," ",AC589)</f>
        <v>13-Servicios para la planeación y sistemas de gestión y comunicación estratégica 019_Documentos de planeación</v>
      </c>
      <c r="AE589" s="174" t="str">
        <f>CONCATENATE(U589,V589,W589,X589,AA589)</f>
        <v>O23011745992024020713019</v>
      </c>
      <c r="AF589" s="160" t="str">
        <f>IFERROR(VLOOKUP(AD589,TD!$J$66:$K$89,2,0)," ")</f>
        <v>PM/0131/0113/45990190207</v>
      </c>
      <c r="AG589" s="135" t="s">
        <v>385</v>
      </c>
      <c r="AH589" s="168" t="s">
        <v>193</v>
      </c>
      <c r="AI589" s="246" t="str">
        <f>CONCATENATE(PAA[[#This Row],[Id Interno]],"-",PAA[[#This Row],[tipo de Contrato (TH talento humano - B/S bienes y/o servicios)]],"-",S589,"-",T589,"-",PAA[[#This Row],[Objeto de la contratación]])</f>
        <v>20260557-TH-8126-1-Prestar servicios de apoyo para la gestión en asuntos de comunicaciones y prensa en la Dirección General, y demás acciones encaminadas al cumplimiento de las estrategias comunicacionales de la UAECOB</v>
      </c>
    </row>
    <row r="590" spans="2:35" ht="84" x14ac:dyDescent="0.35">
      <c r="B590" s="142">
        <v>20260558</v>
      </c>
      <c r="C590" s="121" t="s">
        <v>827</v>
      </c>
      <c r="D590" s="130" t="s">
        <v>105</v>
      </c>
      <c r="E590" s="130" t="s">
        <v>363</v>
      </c>
      <c r="F590" s="130" t="s">
        <v>144</v>
      </c>
      <c r="G590" s="131" t="s">
        <v>374</v>
      </c>
      <c r="H590" s="137">
        <v>10</v>
      </c>
      <c r="I590" s="137">
        <v>0</v>
      </c>
      <c r="J590" s="132">
        <v>70000000</v>
      </c>
      <c r="K590" s="133" t="s">
        <v>398</v>
      </c>
      <c r="L590" s="173" t="s">
        <v>150</v>
      </c>
      <c r="M590" s="171" t="s">
        <v>401</v>
      </c>
      <c r="N590" s="130" t="s">
        <v>197</v>
      </c>
      <c r="O590" s="151" t="s">
        <v>963</v>
      </c>
      <c r="P590" s="171" t="s">
        <v>348</v>
      </c>
      <c r="Q590" s="134">
        <v>80111600</v>
      </c>
      <c r="R590" s="171" t="s">
        <v>209</v>
      </c>
      <c r="S590" s="171" t="str">
        <f>MID(PAA[[#This Row],[Meta Proyecto de Inversión]],1,4)</f>
        <v>8126</v>
      </c>
      <c r="T590" s="171" t="str">
        <f>MID(PAA[[#This Row],[Meta Proyecto de Inversión]],6,1)</f>
        <v>1</v>
      </c>
      <c r="U590" s="174" t="str">
        <f>IFERROR(VLOOKUP(N590,TD!$B$50:$F$54,2,0)," ")</f>
        <v>O230117</v>
      </c>
      <c r="V590" s="174" t="str">
        <f>IFERROR(VLOOKUP(N590,TD!$B$50:$F$54,3,0)," ")</f>
        <v>4599</v>
      </c>
      <c r="W590" s="174">
        <f>IFERROR(VLOOKUP(N590,TD!$B$50:$F$54,4,0)," ")</f>
        <v>20240207</v>
      </c>
      <c r="X590" s="171" t="s">
        <v>182</v>
      </c>
      <c r="Y590" s="160" t="str">
        <f>IFERROR(VLOOKUP(X590,TD!$J$51:$K$64,2,0)," ")</f>
        <v>Servicios para la planeación y sistemas de gestión y comunicación estratégica</v>
      </c>
      <c r="Z590" s="172" t="str">
        <f>CONCATENATE(X590,"-",Y590)</f>
        <v>13-Servicios para la planeación y sistemas de gestión y comunicación estratégica</v>
      </c>
      <c r="AA590" s="171" t="s">
        <v>231</v>
      </c>
      <c r="AB590" s="160" t="str">
        <f>IFERROR(VLOOKUP(AA590,TD!$N$51:$O$66,2,0)," ")</f>
        <v>Documentos de planeación</v>
      </c>
      <c r="AC590" s="172" t="str">
        <f>CONCATENATE(AA590,"_",AB590)</f>
        <v>019_Documentos de planeación</v>
      </c>
      <c r="AD590" s="172" t="str">
        <f>CONCATENATE(Z590," ",AC590)</f>
        <v>13-Servicios para la planeación y sistemas de gestión y comunicación estratégica 019_Documentos de planeación</v>
      </c>
      <c r="AE590" s="174" t="str">
        <f>CONCATENATE(U590,V590,W590,X590,AA590)</f>
        <v>O23011745992024020713019</v>
      </c>
      <c r="AF590" s="160" t="str">
        <f>IFERROR(VLOOKUP(AD590,TD!$J$66:$K$89,2,0)," ")</f>
        <v>PM/0131/0113/45990190207</v>
      </c>
      <c r="AG590" s="135" t="s">
        <v>385</v>
      </c>
      <c r="AH590" s="168" t="s">
        <v>193</v>
      </c>
      <c r="AI590" s="246" t="str">
        <f>CONCATENATE(PAA[[#This Row],[Id Interno]],"-",PAA[[#This Row],[tipo de Contrato (TH talento humano - B/S bienes y/o servicios)]],"-",S590,"-",T590,"-",PAA[[#This Row],[Objeto de la contratación]])</f>
        <v>20260558-TH-8126-1-Prestación de servicios profesionales en asuntos de comunicaciones y prensa para apoyar la divulgación y socialización de la información relacionada con la misionalidad de la UAECOB de manera interna y externa</v>
      </c>
    </row>
    <row r="591" spans="2:35" ht="112" x14ac:dyDescent="0.35">
      <c r="B591" s="142">
        <v>20260559</v>
      </c>
      <c r="C591" s="121" t="s">
        <v>828</v>
      </c>
      <c r="D591" s="130" t="s">
        <v>105</v>
      </c>
      <c r="E591" s="130" t="s">
        <v>363</v>
      </c>
      <c r="F591" s="130" t="s">
        <v>144</v>
      </c>
      <c r="G591" s="131" t="s">
        <v>374</v>
      </c>
      <c r="H591" s="137">
        <v>10</v>
      </c>
      <c r="I591" s="137">
        <v>0</v>
      </c>
      <c r="J591" s="132">
        <v>82500000</v>
      </c>
      <c r="K591" s="133" t="s">
        <v>398</v>
      </c>
      <c r="L591" s="173" t="s">
        <v>150</v>
      </c>
      <c r="M591" s="171" t="s">
        <v>401</v>
      </c>
      <c r="N591" s="130" t="s">
        <v>197</v>
      </c>
      <c r="O591" s="151" t="s">
        <v>963</v>
      </c>
      <c r="P591" s="171" t="s">
        <v>348</v>
      </c>
      <c r="Q591" s="134">
        <v>80111600</v>
      </c>
      <c r="R591" s="171" t="s">
        <v>209</v>
      </c>
      <c r="S591" s="171" t="str">
        <f>MID(PAA[[#This Row],[Meta Proyecto de Inversión]],1,4)</f>
        <v>8126</v>
      </c>
      <c r="T591" s="171" t="str">
        <f>MID(PAA[[#This Row],[Meta Proyecto de Inversión]],6,1)</f>
        <v>1</v>
      </c>
      <c r="U591" s="174" t="str">
        <f>IFERROR(VLOOKUP(N591,TD!$B$50:$F$54,2,0)," ")</f>
        <v>O230117</v>
      </c>
      <c r="V591" s="174" t="str">
        <f>IFERROR(VLOOKUP(N591,TD!$B$50:$F$54,3,0)," ")</f>
        <v>4599</v>
      </c>
      <c r="W591" s="174">
        <f>IFERROR(VLOOKUP(N591,TD!$B$50:$F$54,4,0)," ")</f>
        <v>20240207</v>
      </c>
      <c r="X591" s="171" t="s">
        <v>182</v>
      </c>
      <c r="Y591" s="160" t="str">
        <f>IFERROR(VLOOKUP(X591,TD!$J$51:$K$64,2,0)," ")</f>
        <v>Servicios para la planeación y sistemas de gestión y comunicación estratégica</v>
      </c>
      <c r="Z591" s="172" t="str">
        <f>CONCATENATE(X591,"-",Y591)</f>
        <v>13-Servicios para la planeación y sistemas de gestión y comunicación estratégica</v>
      </c>
      <c r="AA591" s="171" t="s">
        <v>231</v>
      </c>
      <c r="AB591" s="160" t="str">
        <f>IFERROR(VLOOKUP(AA591,TD!$N$51:$O$66,2,0)," ")</f>
        <v>Documentos de planeación</v>
      </c>
      <c r="AC591" s="172" t="str">
        <f>CONCATENATE(AA591,"_",AB591)</f>
        <v>019_Documentos de planeación</v>
      </c>
      <c r="AD591" s="172" t="str">
        <f>CONCATENATE(Z591," ",AC591)</f>
        <v>13-Servicios para la planeación y sistemas de gestión y comunicación estratégica 019_Documentos de planeación</v>
      </c>
      <c r="AE591" s="174" t="str">
        <f>CONCATENATE(U591,V591,W591,X591,AA591)</f>
        <v>O23011745992024020713019</v>
      </c>
      <c r="AF591" s="160" t="str">
        <f>IFERROR(VLOOKUP(AD591,TD!$J$66:$K$89,2,0)," ")</f>
        <v>PM/0131/0113/45990190207</v>
      </c>
      <c r="AG591" s="135" t="s">
        <v>385</v>
      </c>
      <c r="AH591" s="168" t="s">
        <v>193</v>
      </c>
      <c r="AI591" s="246" t="str">
        <f>CONCATENATE(PAA[[#This Row],[Id Interno]],"-",PAA[[#This Row],[tipo de Contrato (TH talento humano - B/S bienes y/o servicios)]],"-",S591,"-",T591,"-",PAA[[#This Row],[Objeto de la contratación]])</f>
        <v>20260559-TH-8126-1-Prestar servicios profesionales para apoyar el desarrollo de estrategias de la dirección general, en asuntos relacionados con comunicaciones y prensa, encaminadas al posicionamiento, imagen y divulgación corporativa de la entidad y dirigidas a sus públicos internos</v>
      </c>
    </row>
    <row r="592" spans="2:35" ht="56" x14ac:dyDescent="0.35">
      <c r="B592" s="142">
        <v>20260560</v>
      </c>
      <c r="C592" s="121" t="s">
        <v>829</v>
      </c>
      <c r="D592" s="130" t="s">
        <v>105</v>
      </c>
      <c r="E592" s="130" t="s">
        <v>363</v>
      </c>
      <c r="F592" s="130" t="s">
        <v>144</v>
      </c>
      <c r="G592" s="131" t="s">
        <v>374</v>
      </c>
      <c r="H592" s="137">
        <v>10</v>
      </c>
      <c r="I592" s="137">
        <v>0</v>
      </c>
      <c r="J592" s="132">
        <v>65000000</v>
      </c>
      <c r="K592" s="133" t="s">
        <v>398</v>
      </c>
      <c r="L592" s="173" t="s">
        <v>150</v>
      </c>
      <c r="M592" s="171" t="s">
        <v>401</v>
      </c>
      <c r="N592" s="130" t="s">
        <v>197</v>
      </c>
      <c r="O592" s="151" t="s">
        <v>963</v>
      </c>
      <c r="P592" s="171" t="s">
        <v>348</v>
      </c>
      <c r="Q592" s="134">
        <v>80111600</v>
      </c>
      <c r="R592" s="171" t="s">
        <v>209</v>
      </c>
      <c r="S592" s="171" t="str">
        <f>MID(PAA[[#This Row],[Meta Proyecto de Inversión]],1,4)</f>
        <v>8126</v>
      </c>
      <c r="T592" s="171" t="str">
        <f>MID(PAA[[#This Row],[Meta Proyecto de Inversión]],6,1)</f>
        <v>1</v>
      </c>
      <c r="U592" s="174" t="str">
        <f>IFERROR(VLOOKUP(N592,TD!$B$50:$F$54,2,0)," ")</f>
        <v>O230117</v>
      </c>
      <c r="V592" s="174" t="str">
        <f>IFERROR(VLOOKUP(N592,TD!$B$50:$F$54,3,0)," ")</f>
        <v>4599</v>
      </c>
      <c r="W592" s="174">
        <f>IFERROR(VLOOKUP(N592,TD!$B$50:$F$54,4,0)," ")</f>
        <v>20240207</v>
      </c>
      <c r="X592" s="171" t="s">
        <v>182</v>
      </c>
      <c r="Y592" s="160" t="str">
        <f>IFERROR(VLOOKUP(X592,TD!$J$51:$K$64,2,0)," ")</f>
        <v>Servicios para la planeación y sistemas de gestión y comunicación estratégica</v>
      </c>
      <c r="Z592" s="172" t="str">
        <f>CONCATENATE(X592,"-",Y592)</f>
        <v>13-Servicios para la planeación y sistemas de gestión y comunicación estratégica</v>
      </c>
      <c r="AA592" s="171" t="s">
        <v>231</v>
      </c>
      <c r="AB592" s="160" t="str">
        <f>IFERROR(VLOOKUP(AA592,TD!$N$51:$O$66,2,0)," ")</f>
        <v>Documentos de planeación</v>
      </c>
      <c r="AC592" s="172" t="str">
        <f>CONCATENATE(AA592,"_",AB592)</f>
        <v>019_Documentos de planeación</v>
      </c>
      <c r="AD592" s="172" t="str">
        <f>CONCATENATE(Z592," ",AC592)</f>
        <v>13-Servicios para la planeación y sistemas de gestión y comunicación estratégica 019_Documentos de planeación</v>
      </c>
      <c r="AE592" s="174" t="str">
        <f>CONCATENATE(U592,V592,W592,X592,AA592)</f>
        <v>O23011745992024020713019</v>
      </c>
      <c r="AF592" s="160" t="str">
        <f>IFERROR(VLOOKUP(AD592,TD!$J$66:$K$89,2,0)," ")</f>
        <v>PM/0131/0113/45990190207</v>
      </c>
      <c r="AG592" s="135" t="s">
        <v>385</v>
      </c>
      <c r="AH592" s="168" t="s">
        <v>193</v>
      </c>
      <c r="AI592" s="246" t="str">
        <f>CONCATENATE(PAA[[#This Row],[Id Interno]],"-",PAA[[#This Row],[tipo de Contrato (TH talento humano - B/S bienes y/o servicios)]],"-",S592,"-",T592,"-",PAA[[#This Row],[Objeto de la contratación]])</f>
        <v>20260560-TH-8126-1-Prestar servicios profesionales en la Dirección General para  el manejo de redes sociales de la entidad y apoyo periodistico requerido en el marco de la estrategia de comunicaciones y prensa de la UEACOB.</v>
      </c>
    </row>
    <row r="593" spans="2:35" ht="56" x14ac:dyDescent="0.35">
      <c r="B593" s="142">
        <v>20260561</v>
      </c>
      <c r="C593" s="121" t="s">
        <v>830</v>
      </c>
      <c r="D593" s="130" t="s">
        <v>105</v>
      </c>
      <c r="E593" s="130" t="s">
        <v>363</v>
      </c>
      <c r="F593" s="130" t="s">
        <v>144</v>
      </c>
      <c r="G593" s="131" t="s">
        <v>374</v>
      </c>
      <c r="H593" s="137">
        <v>10</v>
      </c>
      <c r="I593" s="137">
        <v>0</v>
      </c>
      <c r="J593" s="132">
        <f>62000000</f>
        <v>62000000</v>
      </c>
      <c r="K593" s="133" t="s">
        <v>398</v>
      </c>
      <c r="L593" s="173" t="s">
        <v>150</v>
      </c>
      <c r="M593" s="171" t="s">
        <v>401</v>
      </c>
      <c r="N593" s="130" t="s">
        <v>197</v>
      </c>
      <c r="O593" s="151" t="s">
        <v>963</v>
      </c>
      <c r="P593" s="171" t="s">
        <v>348</v>
      </c>
      <c r="Q593" s="134">
        <v>80111600</v>
      </c>
      <c r="R593" s="171" t="s">
        <v>209</v>
      </c>
      <c r="S593" s="171" t="str">
        <f>MID(PAA[[#This Row],[Meta Proyecto de Inversión]],1,4)</f>
        <v>8126</v>
      </c>
      <c r="T593" s="171" t="str">
        <f>MID(PAA[[#This Row],[Meta Proyecto de Inversión]],6,1)</f>
        <v>1</v>
      </c>
      <c r="U593" s="174" t="str">
        <f>IFERROR(VLOOKUP(N593,TD!$B$50:$F$54,2,0)," ")</f>
        <v>O230117</v>
      </c>
      <c r="V593" s="174" t="str">
        <f>IFERROR(VLOOKUP(N593,TD!$B$50:$F$54,3,0)," ")</f>
        <v>4599</v>
      </c>
      <c r="W593" s="174">
        <f>IFERROR(VLOOKUP(N593,TD!$B$50:$F$54,4,0)," ")</f>
        <v>20240207</v>
      </c>
      <c r="X593" s="171" t="s">
        <v>182</v>
      </c>
      <c r="Y593" s="160" t="str">
        <f>IFERROR(VLOOKUP(X593,TD!$J$51:$K$64,2,0)," ")</f>
        <v>Servicios para la planeación y sistemas de gestión y comunicación estratégica</v>
      </c>
      <c r="Z593" s="172" t="str">
        <f>CONCATENATE(X593,"-",Y593)</f>
        <v>13-Servicios para la planeación y sistemas de gestión y comunicación estratégica</v>
      </c>
      <c r="AA593" s="171" t="s">
        <v>231</v>
      </c>
      <c r="AB593" s="160" t="str">
        <f>IFERROR(VLOOKUP(AA593,TD!$N$51:$O$66,2,0)," ")</f>
        <v>Documentos de planeación</v>
      </c>
      <c r="AC593" s="172" t="str">
        <f>CONCATENATE(AA593,"_",AB593)</f>
        <v>019_Documentos de planeación</v>
      </c>
      <c r="AD593" s="172" t="str">
        <f>CONCATENATE(Z593," ",AC593)</f>
        <v>13-Servicios para la planeación y sistemas de gestión y comunicación estratégica 019_Documentos de planeación</v>
      </c>
      <c r="AE593" s="174" t="str">
        <f>CONCATENATE(U593,V593,W593,X593,AA593)</f>
        <v>O23011745992024020713019</v>
      </c>
      <c r="AF593" s="160" t="str">
        <f>IFERROR(VLOOKUP(AD593,TD!$J$66:$K$89,2,0)," ")</f>
        <v>PM/0131/0113/45990190207</v>
      </c>
      <c r="AG593" s="135" t="s">
        <v>385</v>
      </c>
      <c r="AH593" s="168" t="s">
        <v>193</v>
      </c>
      <c r="AI593" s="246" t="str">
        <f>CONCATENATE(PAA[[#This Row],[Id Interno]],"-",PAA[[#This Row],[tipo de Contrato (TH talento humano - B/S bienes y/o servicios)]],"-",S593,"-",T593,"-",PAA[[#This Row],[Objeto de la contratación]])</f>
        <v>20260561-TH-8126-1-Prestar servicios profesionales en la Dirección General para el manejo de redes sociales, divulgación, socialización de información y apoyo periodístico, requerido en el marco de la estrategia de comunicaciones y prensa de la UAECOB.</v>
      </c>
    </row>
    <row r="594" spans="2:35" ht="84" x14ac:dyDescent="0.35">
      <c r="B594" s="142">
        <v>20260562</v>
      </c>
      <c r="C594" s="121" t="s">
        <v>831</v>
      </c>
      <c r="D594" s="130" t="s">
        <v>105</v>
      </c>
      <c r="E594" s="130" t="s">
        <v>363</v>
      </c>
      <c r="F594" s="130" t="s">
        <v>144</v>
      </c>
      <c r="G594" s="131" t="s">
        <v>374</v>
      </c>
      <c r="H594" s="137">
        <v>10</v>
      </c>
      <c r="I594" s="137">
        <v>0</v>
      </c>
      <c r="J594" s="132">
        <v>65000000</v>
      </c>
      <c r="K594" s="133" t="s">
        <v>398</v>
      </c>
      <c r="L594" s="173" t="s">
        <v>150</v>
      </c>
      <c r="M594" s="171" t="s">
        <v>401</v>
      </c>
      <c r="N594" s="130" t="s">
        <v>197</v>
      </c>
      <c r="O594" s="151" t="s">
        <v>963</v>
      </c>
      <c r="P594" s="171" t="s">
        <v>348</v>
      </c>
      <c r="Q594" s="134">
        <v>80111600</v>
      </c>
      <c r="R594" s="171" t="s">
        <v>209</v>
      </c>
      <c r="S594" s="171" t="str">
        <f>MID(PAA[[#This Row],[Meta Proyecto de Inversión]],1,4)</f>
        <v>8126</v>
      </c>
      <c r="T594" s="171" t="str">
        <f>MID(PAA[[#This Row],[Meta Proyecto de Inversión]],6,1)</f>
        <v>1</v>
      </c>
      <c r="U594" s="174" t="str">
        <f>IFERROR(VLOOKUP(N594,TD!$B$50:$F$54,2,0)," ")</f>
        <v>O230117</v>
      </c>
      <c r="V594" s="174" t="str">
        <f>IFERROR(VLOOKUP(N594,TD!$B$50:$F$54,3,0)," ")</f>
        <v>4599</v>
      </c>
      <c r="W594" s="174">
        <f>IFERROR(VLOOKUP(N594,TD!$B$50:$F$54,4,0)," ")</f>
        <v>20240207</v>
      </c>
      <c r="X594" s="171" t="s">
        <v>182</v>
      </c>
      <c r="Y594" s="160" t="str">
        <f>IFERROR(VLOOKUP(X594,TD!$J$51:$K$64,2,0)," ")</f>
        <v>Servicios para la planeación y sistemas de gestión y comunicación estratégica</v>
      </c>
      <c r="Z594" s="172" t="str">
        <f>CONCATENATE(X594,"-",Y594)</f>
        <v>13-Servicios para la planeación y sistemas de gestión y comunicación estratégica</v>
      </c>
      <c r="AA594" s="171" t="s">
        <v>231</v>
      </c>
      <c r="AB594" s="160" t="str">
        <f>IFERROR(VLOOKUP(AA594,TD!$N$51:$O$66,2,0)," ")</f>
        <v>Documentos de planeación</v>
      </c>
      <c r="AC594" s="172" t="str">
        <f>CONCATENATE(AA594,"_",AB594)</f>
        <v>019_Documentos de planeación</v>
      </c>
      <c r="AD594" s="172" t="str">
        <f>CONCATENATE(Z594," ",AC594)</f>
        <v>13-Servicios para la planeación y sistemas de gestión y comunicación estratégica 019_Documentos de planeación</v>
      </c>
      <c r="AE594" s="174" t="str">
        <f>CONCATENATE(U594,V594,W594,X594,AA594)</f>
        <v>O23011745992024020713019</v>
      </c>
      <c r="AF594" s="160" t="str">
        <f>IFERROR(VLOOKUP(AD594,TD!$J$66:$K$89,2,0)," ")</f>
        <v>PM/0131/0113/45990190207</v>
      </c>
      <c r="AG594" s="135" t="s">
        <v>385</v>
      </c>
      <c r="AH594" s="168" t="s">
        <v>193</v>
      </c>
      <c r="AI594" s="246" t="str">
        <f>CONCATENATE(PAA[[#This Row],[Id Interno]],"-",PAA[[#This Row],[tipo de Contrato (TH talento humano - B/S bienes y/o servicios)]],"-",S594,"-",T594,"-",PAA[[#This Row],[Objeto de la contratación]])</f>
        <v>20260562-TH-8126-1-Prestación de servicios profesionales para apoyar a la Dirección en la elaboración, diseño y diagramación de piezas requeridas para los planes, programas, proyectos y procedimientos</v>
      </c>
    </row>
    <row r="595" spans="2:35" ht="98" x14ac:dyDescent="0.35">
      <c r="B595" s="142">
        <v>20260563</v>
      </c>
      <c r="C595" s="121" t="s">
        <v>832</v>
      </c>
      <c r="D595" s="130" t="s">
        <v>105</v>
      </c>
      <c r="E595" s="130" t="s">
        <v>363</v>
      </c>
      <c r="F595" s="130" t="s">
        <v>145</v>
      </c>
      <c r="G595" s="131" t="s">
        <v>374</v>
      </c>
      <c r="H595" s="137">
        <v>10</v>
      </c>
      <c r="I595" s="137">
        <v>0</v>
      </c>
      <c r="J595" s="132">
        <f>23500000</f>
        <v>23500000</v>
      </c>
      <c r="K595" s="133" t="s">
        <v>398</v>
      </c>
      <c r="L595" s="173" t="s">
        <v>150</v>
      </c>
      <c r="M595" s="171" t="s">
        <v>401</v>
      </c>
      <c r="N595" s="130" t="s">
        <v>197</v>
      </c>
      <c r="O595" s="151" t="s">
        <v>963</v>
      </c>
      <c r="P595" s="171" t="s">
        <v>348</v>
      </c>
      <c r="Q595" s="134">
        <v>80111600</v>
      </c>
      <c r="R595" s="171" t="s">
        <v>209</v>
      </c>
      <c r="S595" s="171" t="str">
        <f>MID(PAA[[#This Row],[Meta Proyecto de Inversión]],1,4)</f>
        <v>8126</v>
      </c>
      <c r="T595" s="171" t="str">
        <f>MID(PAA[[#This Row],[Meta Proyecto de Inversión]],6,1)</f>
        <v>1</v>
      </c>
      <c r="U595" s="174" t="str">
        <f>IFERROR(VLOOKUP(N595,TD!$B$50:$F$54,2,0)," ")</f>
        <v>O230117</v>
      </c>
      <c r="V595" s="174" t="str">
        <f>IFERROR(VLOOKUP(N595,TD!$B$50:$F$54,3,0)," ")</f>
        <v>4599</v>
      </c>
      <c r="W595" s="174">
        <f>IFERROR(VLOOKUP(N595,TD!$B$50:$F$54,4,0)," ")</f>
        <v>20240207</v>
      </c>
      <c r="X595" s="171" t="s">
        <v>182</v>
      </c>
      <c r="Y595" s="160" t="str">
        <f>IFERROR(VLOOKUP(X595,TD!$J$51:$K$64,2,0)," ")</f>
        <v>Servicios para la planeación y sistemas de gestión y comunicación estratégica</v>
      </c>
      <c r="Z595" s="172" t="str">
        <f>CONCATENATE(X595,"-",Y595)</f>
        <v>13-Servicios para la planeación y sistemas de gestión y comunicación estratégica</v>
      </c>
      <c r="AA595" s="171" t="s">
        <v>231</v>
      </c>
      <c r="AB595" s="160" t="str">
        <f>IFERROR(VLOOKUP(AA595,TD!$N$51:$O$66,2,0)," ")</f>
        <v>Documentos de planeación</v>
      </c>
      <c r="AC595" s="172" t="str">
        <f>CONCATENATE(AA595,"_",AB595)</f>
        <v>019_Documentos de planeación</v>
      </c>
      <c r="AD595" s="172" t="str">
        <f>CONCATENATE(Z595," ",AC595)</f>
        <v>13-Servicios para la planeación y sistemas de gestión y comunicación estratégica 019_Documentos de planeación</v>
      </c>
      <c r="AE595" s="174" t="str">
        <f>CONCATENATE(U595,V595,W595,X595,AA595)</f>
        <v>O23011745992024020713019</v>
      </c>
      <c r="AF595" s="160" t="str">
        <f>IFERROR(VLOOKUP(AD595,TD!$J$66:$K$89,2,0)," ")</f>
        <v>PM/0131/0113/45990190207</v>
      </c>
      <c r="AG595" s="135" t="s">
        <v>385</v>
      </c>
      <c r="AH595" s="168" t="s">
        <v>193</v>
      </c>
      <c r="AI595" s="246" t="str">
        <f>CONCATENATE(PAA[[#This Row],[Id Interno]],"-",PAA[[#This Row],[tipo de Contrato (TH talento humano - B/S bienes y/o servicios)]],"-",S595,"-",T595,"-",PAA[[#This Row],[Objeto de la contratación]])</f>
        <v>20260563-TH-8126-1-Prestar apoyo técnico en la Dirección, en asuntos de comunicaciones y prensa, para la producción, diseño y edición de material audiovisual de la UAECOB.</v>
      </c>
    </row>
    <row r="596" spans="2:35" ht="56" x14ac:dyDescent="0.35">
      <c r="B596" s="142">
        <v>20260564</v>
      </c>
      <c r="C596" s="121" t="s">
        <v>833</v>
      </c>
      <c r="D596" s="130" t="s">
        <v>105</v>
      </c>
      <c r="E596" s="130" t="s">
        <v>363</v>
      </c>
      <c r="F596" s="130" t="s">
        <v>144</v>
      </c>
      <c r="G596" s="131" t="s">
        <v>374</v>
      </c>
      <c r="H596" s="137">
        <v>10</v>
      </c>
      <c r="I596" s="137">
        <v>0</v>
      </c>
      <c r="J596" s="132">
        <v>100000000</v>
      </c>
      <c r="K596" s="133" t="s">
        <v>398</v>
      </c>
      <c r="L596" s="173" t="s">
        <v>150</v>
      </c>
      <c r="M596" s="171" t="s">
        <v>401</v>
      </c>
      <c r="N596" s="130" t="s">
        <v>197</v>
      </c>
      <c r="O596" s="151" t="s">
        <v>963</v>
      </c>
      <c r="P596" s="171" t="s">
        <v>348</v>
      </c>
      <c r="Q596" s="134">
        <v>80111600</v>
      </c>
      <c r="R596" s="171" t="s">
        <v>209</v>
      </c>
      <c r="S596" s="171" t="str">
        <f>MID(PAA[[#This Row],[Meta Proyecto de Inversión]],1,4)</f>
        <v>8126</v>
      </c>
      <c r="T596" s="171" t="str">
        <f>MID(PAA[[#This Row],[Meta Proyecto de Inversión]],6,1)</f>
        <v>1</v>
      </c>
      <c r="U596" s="174" t="str">
        <f>IFERROR(VLOOKUP(N596,TD!$B$50:$F$54,2,0)," ")</f>
        <v>O230117</v>
      </c>
      <c r="V596" s="174" t="str">
        <f>IFERROR(VLOOKUP(N596,TD!$B$50:$F$54,3,0)," ")</f>
        <v>4599</v>
      </c>
      <c r="W596" s="174">
        <f>IFERROR(VLOOKUP(N596,TD!$B$50:$F$54,4,0)," ")</f>
        <v>20240207</v>
      </c>
      <c r="X596" s="171" t="s">
        <v>182</v>
      </c>
      <c r="Y596" s="160" t="str">
        <f>IFERROR(VLOOKUP(X596,TD!$J$51:$K$64,2,0)," ")</f>
        <v>Servicios para la planeación y sistemas de gestión y comunicación estratégica</v>
      </c>
      <c r="Z596" s="172" t="str">
        <f>CONCATENATE(X596,"-",Y596)</f>
        <v>13-Servicios para la planeación y sistemas de gestión y comunicación estratégica</v>
      </c>
      <c r="AA596" s="171" t="s">
        <v>231</v>
      </c>
      <c r="AB596" s="160" t="str">
        <f>IFERROR(VLOOKUP(AA596,TD!$N$51:$O$66,2,0)," ")</f>
        <v>Documentos de planeación</v>
      </c>
      <c r="AC596" s="172" t="str">
        <f>CONCATENATE(AA596,"_",AB596)</f>
        <v>019_Documentos de planeación</v>
      </c>
      <c r="AD596" s="172" t="str">
        <f>CONCATENATE(Z596," ",AC596)</f>
        <v>13-Servicios para la planeación y sistemas de gestión y comunicación estratégica 019_Documentos de planeación</v>
      </c>
      <c r="AE596" s="174" t="str">
        <f>CONCATENATE(U596,V596,W596,X596,AA596)</f>
        <v>O23011745992024020713019</v>
      </c>
      <c r="AF596" s="160" t="str">
        <f>IFERROR(VLOOKUP(AD596,TD!$J$66:$K$89,2,0)," ")</f>
        <v>PM/0131/0113/45990190207</v>
      </c>
      <c r="AG596" s="135" t="s">
        <v>385</v>
      </c>
      <c r="AH596" s="176" t="s">
        <v>193</v>
      </c>
      <c r="AI596" s="246" t="str">
        <f>CONCATENATE(PAA[[#This Row],[Id Interno]],"-",PAA[[#This Row],[tipo de Contrato (TH talento humano - B/S bienes y/o servicios)]],"-",S596,"-",T596,"-",PAA[[#This Row],[Objeto de la contratación]])</f>
        <v>20260564-TH-8126-1-Prestar servicios profesionales especializados a la Dirección General de la UAECOB en la construcción ,acompañamiento, seguimiento y fortalecimiento de las estrategias de comunicación que adelante la entidad dentro del Distrito Capital</v>
      </c>
    </row>
    <row r="597" spans="2:35" ht="42" x14ac:dyDescent="0.35">
      <c r="B597" s="142">
        <v>20260565</v>
      </c>
      <c r="C597" s="121" t="s">
        <v>834</v>
      </c>
      <c r="D597" s="130" t="s">
        <v>105</v>
      </c>
      <c r="E597" s="130" t="s">
        <v>363</v>
      </c>
      <c r="F597" s="130" t="s">
        <v>144</v>
      </c>
      <c r="G597" s="131" t="s">
        <v>374</v>
      </c>
      <c r="H597" s="137">
        <v>10</v>
      </c>
      <c r="I597" s="137">
        <v>0</v>
      </c>
      <c r="J597" s="132">
        <v>54000000</v>
      </c>
      <c r="K597" s="133" t="s">
        <v>398</v>
      </c>
      <c r="L597" s="173" t="s">
        <v>150</v>
      </c>
      <c r="M597" s="171" t="s">
        <v>401</v>
      </c>
      <c r="N597" s="130" t="s">
        <v>197</v>
      </c>
      <c r="O597" s="151" t="s">
        <v>963</v>
      </c>
      <c r="P597" s="171" t="s">
        <v>348</v>
      </c>
      <c r="Q597" s="134">
        <v>80111600</v>
      </c>
      <c r="R597" s="171" t="s">
        <v>209</v>
      </c>
      <c r="S597" s="171" t="str">
        <f>MID(PAA[[#This Row],[Meta Proyecto de Inversión]],1,4)</f>
        <v>8126</v>
      </c>
      <c r="T597" s="171" t="str">
        <f>MID(PAA[[#This Row],[Meta Proyecto de Inversión]],6,1)</f>
        <v>1</v>
      </c>
      <c r="U597" s="174" t="str">
        <f>IFERROR(VLOOKUP(N597,TD!$B$50:$F$54,2,0)," ")</f>
        <v>O230117</v>
      </c>
      <c r="V597" s="174" t="str">
        <f>IFERROR(VLOOKUP(N597,TD!$B$50:$F$54,3,0)," ")</f>
        <v>4599</v>
      </c>
      <c r="W597" s="174">
        <f>IFERROR(VLOOKUP(N597,TD!$B$50:$F$54,4,0)," ")</f>
        <v>20240207</v>
      </c>
      <c r="X597" s="171" t="s">
        <v>182</v>
      </c>
      <c r="Y597" s="160" t="str">
        <f>IFERROR(VLOOKUP(X597,TD!$J$51:$K$64,2,0)," ")</f>
        <v>Servicios para la planeación y sistemas de gestión y comunicación estratégica</v>
      </c>
      <c r="Z597" s="172" t="str">
        <f>CONCATENATE(X597,"-",Y597)</f>
        <v>13-Servicios para la planeación y sistemas de gestión y comunicación estratégica</v>
      </c>
      <c r="AA597" s="171" t="s">
        <v>231</v>
      </c>
      <c r="AB597" s="160" t="str">
        <f>IFERROR(VLOOKUP(AA597,TD!$N$51:$O$66,2,0)," ")</f>
        <v>Documentos de planeación</v>
      </c>
      <c r="AC597" s="172" t="str">
        <f>CONCATENATE(AA597,"_",AB597)</f>
        <v>019_Documentos de planeación</v>
      </c>
      <c r="AD597" s="172" t="str">
        <f>CONCATENATE(Z597," ",AC597)</f>
        <v>13-Servicios para la planeación y sistemas de gestión y comunicación estratégica 019_Documentos de planeación</v>
      </c>
      <c r="AE597" s="174" t="str">
        <f>CONCATENATE(U597,V597,W597,X597,AA597)</f>
        <v>O23011745992024020713019</v>
      </c>
      <c r="AF597" s="160" t="str">
        <f>IFERROR(VLOOKUP(AD597,TD!$J$66:$K$89,2,0)," ")</f>
        <v>PM/0131/0113/45990190207</v>
      </c>
      <c r="AG597" s="135" t="s">
        <v>385</v>
      </c>
      <c r="AH597" s="176" t="s">
        <v>193</v>
      </c>
      <c r="AI597" s="246" t="str">
        <f>CONCATENATE(PAA[[#This Row],[Id Interno]],"-",PAA[[#This Row],[tipo de Contrato (TH talento humano - B/S bienes y/o servicios)]],"-",S597,"-",T597,"-",PAA[[#This Row],[Objeto de la contratación]])</f>
        <v>20260565-TH-8126-1-Prestación de servicios profesionales en asuntos de comunicaciones y prensa para apoyar las labores de reportería, periodismo y de divulgación de información y campañas, de acuerdo con la misionalidad de la UAECOB</v>
      </c>
    </row>
    <row r="598" spans="2:35" ht="70" x14ac:dyDescent="0.35">
      <c r="B598" s="142">
        <v>20260566</v>
      </c>
      <c r="C598" s="121" t="s">
        <v>913</v>
      </c>
      <c r="D598" s="130" t="s">
        <v>105</v>
      </c>
      <c r="E598" s="130" t="s">
        <v>363</v>
      </c>
      <c r="F598" s="130" t="s">
        <v>144</v>
      </c>
      <c r="G598" s="131" t="s">
        <v>374</v>
      </c>
      <c r="H598" s="137">
        <v>10</v>
      </c>
      <c r="I598" s="137">
        <v>0</v>
      </c>
      <c r="J598" s="132">
        <v>54000000</v>
      </c>
      <c r="K598" s="133" t="s">
        <v>398</v>
      </c>
      <c r="L598" s="173" t="s">
        <v>150</v>
      </c>
      <c r="M598" s="171" t="s">
        <v>401</v>
      </c>
      <c r="N598" s="130" t="s">
        <v>197</v>
      </c>
      <c r="O598" s="151" t="s">
        <v>963</v>
      </c>
      <c r="P598" s="171" t="s">
        <v>348</v>
      </c>
      <c r="Q598" s="134">
        <v>80111600</v>
      </c>
      <c r="R598" s="171" t="s">
        <v>209</v>
      </c>
      <c r="S598" s="171" t="str">
        <f>MID(PAA[[#This Row],[Meta Proyecto de Inversión]],1,4)</f>
        <v>8126</v>
      </c>
      <c r="T598" s="171" t="str">
        <f>MID(PAA[[#This Row],[Meta Proyecto de Inversión]],6,1)</f>
        <v>1</v>
      </c>
      <c r="U598" s="174" t="str">
        <f>IFERROR(VLOOKUP(N598,TD!$B$50:$F$54,2,0)," ")</f>
        <v>O230117</v>
      </c>
      <c r="V598" s="174" t="str">
        <f>IFERROR(VLOOKUP(N598,TD!$B$50:$F$54,3,0)," ")</f>
        <v>4599</v>
      </c>
      <c r="W598" s="174">
        <f>IFERROR(VLOOKUP(N598,TD!$B$50:$F$54,4,0)," ")</f>
        <v>20240207</v>
      </c>
      <c r="X598" s="171" t="s">
        <v>182</v>
      </c>
      <c r="Y598" s="160" t="str">
        <f>IFERROR(VLOOKUP(X598,TD!$J$51:$K$64,2,0)," ")</f>
        <v>Servicios para la planeación y sistemas de gestión y comunicación estratégica</v>
      </c>
      <c r="Z598" s="172" t="str">
        <f>CONCATENATE(X598,"-",Y598)</f>
        <v>13-Servicios para la planeación y sistemas de gestión y comunicación estratégica</v>
      </c>
      <c r="AA598" s="171" t="s">
        <v>231</v>
      </c>
      <c r="AB598" s="160" t="str">
        <f>IFERROR(VLOOKUP(AA598,TD!$N$51:$O$66,2,0)," ")</f>
        <v>Documentos de planeación</v>
      </c>
      <c r="AC598" s="172" t="str">
        <f>CONCATENATE(AA598,"_",AB598)</f>
        <v>019_Documentos de planeación</v>
      </c>
      <c r="AD598" s="172" t="str">
        <f>CONCATENATE(Z598," ",AC598)</f>
        <v>13-Servicios para la planeación y sistemas de gestión y comunicación estratégica 019_Documentos de planeación</v>
      </c>
      <c r="AE598" s="174" t="str">
        <f>CONCATENATE(U598,V598,W598,X598,AA598)</f>
        <v>O23011745992024020713019</v>
      </c>
      <c r="AF598" s="160" t="str">
        <f>IFERROR(VLOOKUP(AD598,TD!$J$66:$K$89,2,0)," ")</f>
        <v>PM/0131/0113/45990190207</v>
      </c>
      <c r="AG598" s="135" t="s">
        <v>385</v>
      </c>
      <c r="AH598" s="176" t="s">
        <v>193</v>
      </c>
      <c r="AI598" s="246" t="str">
        <f>CONCATENATE(PAA[[#This Row],[Id Interno]],"-",PAA[[#This Row],[tipo de Contrato (TH talento humano - B/S bienes y/o servicios)]],"-",S598,"-",T598,"-",PAA[[#This Row],[Objeto de la contratación]])</f>
        <v>20260566-TH-8126-1-Prestar servicios profesionales en comunicación y prensa para apoyar la producción y difusión de contenidos periodísticos y audiovisuales de la UAECOB</v>
      </c>
    </row>
    <row r="599" spans="2:35" ht="56" x14ac:dyDescent="0.35">
      <c r="B599" s="142">
        <v>20260570</v>
      </c>
      <c r="C599" s="121" t="s">
        <v>925</v>
      </c>
      <c r="D599" s="130" t="s">
        <v>105</v>
      </c>
      <c r="E599" s="130" t="s">
        <v>363</v>
      </c>
      <c r="F599" s="130" t="s">
        <v>144</v>
      </c>
      <c r="G599" s="131" t="s">
        <v>374</v>
      </c>
      <c r="H599" s="137">
        <v>6</v>
      </c>
      <c r="I599" s="137">
        <v>0</v>
      </c>
      <c r="J599" s="132">
        <v>55200000</v>
      </c>
      <c r="K599" s="133" t="s">
        <v>398</v>
      </c>
      <c r="L599" s="173" t="s">
        <v>150</v>
      </c>
      <c r="M599" s="171" t="s">
        <v>401</v>
      </c>
      <c r="N599" s="130" t="s">
        <v>197</v>
      </c>
      <c r="O599" s="151" t="s">
        <v>963</v>
      </c>
      <c r="P599" s="171" t="s">
        <v>348</v>
      </c>
      <c r="Q599" s="134">
        <v>80111600</v>
      </c>
      <c r="R599" s="171" t="s">
        <v>209</v>
      </c>
      <c r="S599" s="171" t="str">
        <f>MID(PAA[[#This Row],[Meta Proyecto de Inversión]],1,4)</f>
        <v>8126</v>
      </c>
      <c r="T599" s="171" t="str">
        <f>MID(PAA[[#This Row],[Meta Proyecto de Inversión]],6,1)</f>
        <v>1</v>
      </c>
      <c r="U599" s="174" t="str">
        <f>IFERROR(VLOOKUP(N599,TD!$B$50:$F$54,2,0)," ")</f>
        <v>O230117</v>
      </c>
      <c r="V599" s="174" t="str">
        <f>IFERROR(VLOOKUP(N599,TD!$B$50:$F$54,3,0)," ")</f>
        <v>4599</v>
      </c>
      <c r="W599" s="174">
        <f>IFERROR(VLOOKUP(N599,TD!$B$50:$F$54,4,0)," ")</f>
        <v>20240207</v>
      </c>
      <c r="X599" s="171" t="s">
        <v>182</v>
      </c>
      <c r="Y599" s="160" t="str">
        <f>IFERROR(VLOOKUP(X599,TD!$J$51:$K$64,2,0)," ")</f>
        <v>Servicios para la planeación y sistemas de gestión y comunicación estratégica</v>
      </c>
      <c r="Z599" s="172" t="str">
        <f>CONCATENATE(X599,"-",Y599)</f>
        <v>13-Servicios para la planeación y sistemas de gestión y comunicación estratégica</v>
      </c>
      <c r="AA599" s="171" t="s">
        <v>231</v>
      </c>
      <c r="AB599" s="160" t="str">
        <f>IFERROR(VLOOKUP(AA599,TD!$N$51:$O$66,2,0)," ")</f>
        <v>Documentos de planeación</v>
      </c>
      <c r="AC599" s="172" t="str">
        <f>CONCATENATE(AA599,"_",AB599)</f>
        <v>019_Documentos de planeación</v>
      </c>
      <c r="AD599" s="172" t="str">
        <f>CONCATENATE(Z599," ",AC599)</f>
        <v>13-Servicios para la planeación y sistemas de gestión y comunicación estratégica 019_Documentos de planeación</v>
      </c>
      <c r="AE599" s="174" t="str">
        <f>CONCATENATE(U599,V599,W599,X599,AA599)</f>
        <v>O23011745992024020713019</v>
      </c>
      <c r="AF599" s="160" t="str">
        <f>IFERROR(VLOOKUP(AD599,TD!$J$66:$K$89,2,0)," ")</f>
        <v>PM/0131/0113/45990190207</v>
      </c>
      <c r="AG599" s="135" t="s">
        <v>385</v>
      </c>
      <c r="AH599" s="176" t="s">
        <v>193</v>
      </c>
      <c r="AI599" s="246" t="str">
        <f>CONCATENATE(PAA[[#This Row],[Id Interno]],"-",PAA[[#This Row],[tipo de Contrato (TH talento humano - B/S bienes y/o servicios)]],"-",S599,"-",T599,"-",PAA[[#This Row],[Objeto de la contratación]])</f>
        <v>20260570-TH-8126-1-Prestación de servicios profesionales en asuntos de comunicaciones y prensa para revisar los procesos de comunicación de entidad con el fin de evaluar su eficacia interna y externa y detectar ineficiencias en los canales de comunicación</v>
      </c>
    </row>
    <row r="600" spans="2:35" ht="56" x14ac:dyDescent="0.35">
      <c r="B600" s="142">
        <v>20260571</v>
      </c>
      <c r="C600" s="121" t="s">
        <v>837</v>
      </c>
      <c r="D600" s="130" t="s">
        <v>83</v>
      </c>
      <c r="E600" s="130" t="s">
        <v>402</v>
      </c>
      <c r="F600" s="130" t="s">
        <v>143</v>
      </c>
      <c r="G600" s="131" t="s">
        <v>376</v>
      </c>
      <c r="H600" s="137">
        <v>10</v>
      </c>
      <c r="I600" s="137">
        <v>0</v>
      </c>
      <c r="J600" s="132">
        <v>400000000</v>
      </c>
      <c r="K600" s="133" t="s">
        <v>398</v>
      </c>
      <c r="L600" s="173" t="s">
        <v>45</v>
      </c>
      <c r="M600" s="171" t="s">
        <v>401</v>
      </c>
      <c r="N600" s="130" t="s">
        <v>197</v>
      </c>
      <c r="O600" s="151" t="s">
        <v>963</v>
      </c>
      <c r="P600" s="171" t="s">
        <v>348</v>
      </c>
      <c r="Q600" s="134" t="s">
        <v>838</v>
      </c>
      <c r="R600" s="171" t="s">
        <v>208</v>
      </c>
      <c r="S600" s="171" t="str">
        <f>MID(PAA[[#This Row],[Meta Proyecto de Inversión]],1,4)</f>
        <v>8126</v>
      </c>
      <c r="T600" s="171" t="str">
        <f>MID(PAA[[#This Row],[Meta Proyecto de Inversión]],6,1)</f>
        <v>9</v>
      </c>
      <c r="U600" s="174" t="str">
        <f>IFERROR(VLOOKUP(N600,TD!$B$50:$F$54,2,0)," ")</f>
        <v>O230117</v>
      </c>
      <c r="V600" s="174" t="str">
        <f>IFERROR(VLOOKUP(N600,TD!$B$50:$F$54,3,0)," ")</f>
        <v>4599</v>
      </c>
      <c r="W600" s="174">
        <f>IFERROR(VLOOKUP(N600,TD!$B$50:$F$54,4,0)," ")</f>
        <v>20240207</v>
      </c>
      <c r="X600" s="171" t="s">
        <v>174</v>
      </c>
      <c r="Y600" s="160" t="str">
        <f>IFERROR(VLOOKUP(X600,TD!$J$51:$K$64,2,0)," ")</f>
        <v>Infraestructura física, mantenimiento y dotación (Sedes construidas, mantenidas reforzadas)</v>
      </c>
      <c r="Z600" s="172" t="str">
        <f>CONCATENATE(X600,"-",Y600)</f>
        <v>08-Infraestructura física, mantenimiento y dotación (Sedes construidas, mantenidas reforzadas)</v>
      </c>
      <c r="AA600" s="171" t="s">
        <v>227</v>
      </c>
      <c r="AB600" s="160" t="str">
        <f>IFERROR(VLOOKUP(AA600,TD!$N$51:$O$66,2,0)," ")</f>
        <v>Sedes mantenidas</v>
      </c>
      <c r="AC600" s="172" t="str">
        <f>CONCATENATE(AA600,"_",AB600)</f>
        <v>016_Sedes mantenidas</v>
      </c>
      <c r="AD600" s="172" t="str">
        <f>CONCATENATE(Z600," ",AC600)</f>
        <v>08-Infraestructura física, mantenimiento y dotación (Sedes construidas, mantenidas reforzadas) 016_Sedes mantenidas</v>
      </c>
      <c r="AE600" s="174" t="str">
        <f>CONCATENATE(U600,V600,W600,X600,AA600)</f>
        <v>O23011745992024020708016</v>
      </c>
      <c r="AF600" s="160" t="str">
        <f>IFERROR(VLOOKUP(AD600,TD!$J$66:$K$89,2,0)," ")</f>
        <v>PM/0131/0108/45990160207</v>
      </c>
      <c r="AG600" s="135" t="s">
        <v>937</v>
      </c>
      <c r="AH600" s="176" t="s">
        <v>193</v>
      </c>
      <c r="AI600" s="246" t="str">
        <f>CONCATENATE(PAA[[#This Row],[Id Interno]],"-",PAA[[#This Row],[tipo de Contrato (TH talento humano - B/S bienes y/o servicios)]],"-",S600,"-",T600,"-",PAA[[#This Row],[Objeto de la contratación]])</f>
        <v>20260571-BS-8126-9-Prestación de servicios como operador logístico, relacionados con la organización, administración y ejecución de las diferentes temáticas que fortalezcan la misionalidad de la entidad a través de la protección de la vida, el medio ambiente y el patrimonio</v>
      </c>
    </row>
    <row r="601" spans="2:35" ht="84" x14ac:dyDescent="0.35">
      <c r="B601" s="142">
        <v>20260572</v>
      </c>
      <c r="C601" s="121" t="s">
        <v>570</v>
      </c>
      <c r="D601" s="130" t="s">
        <v>105</v>
      </c>
      <c r="E601" s="130" t="s">
        <v>363</v>
      </c>
      <c r="F601" s="130" t="s">
        <v>144</v>
      </c>
      <c r="G601" s="131" t="s">
        <v>373</v>
      </c>
      <c r="H601" s="137">
        <v>6</v>
      </c>
      <c r="I601" s="137">
        <v>0</v>
      </c>
      <c r="J601" s="132">
        <v>30000000</v>
      </c>
      <c r="K601" s="133" t="s">
        <v>398</v>
      </c>
      <c r="L601" s="173" t="s">
        <v>156</v>
      </c>
      <c r="M601" s="171" t="s">
        <v>513</v>
      </c>
      <c r="N601" s="130" t="s">
        <v>198</v>
      </c>
      <c r="O601" s="151" t="s">
        <v>964</v>
      </c>
      <c r="P601" s="171" t="s">
        <v>348</v>
      </c>
      <c r="Q601" s="134">
        <v>80111600</v>
      </c>
      <c r="R601" s="171" t="s">
        <v>214</v>
      </c>
      <c r="S601" s="171" t="str">
        <f>MID(PAA[[#This Row],[Meta Proyecto de Inversión]],1,4)</f>
        <v>8173</v>
      </c>
      <c r="T601" s="171" t="str">
        <f>MID(PAA[[#This Row],[Meta Proyecto de Inversión]],6,1)</f>
        <v>5</v>
      </c>
      <c r="U601" s="174" t="str">
        <f>IFERROR(VLOOKUP(N601,TD!$B$50:$F$54,2,0)," ")</f>
        <v>O230117</v>
      </c>
      <c r="V601" s="174" t="str">
        <f>IFERROR(VLOOKUP(N601,TD!$B$50:$F$54,3,0)," ")</f>
        <v>4503</v>
      </c>
      <c r="W601" s="174">
        <f>IFERROR(VLOOKUP(N601,TD!$B$50:$F$54,4,0)," ")</f>
        <v>20240255</v>
      </c>
      <c r="X601" s="171">
        <v>16</v>
      </c>
      <c r="Y601" s="160" t="str">
        <f>IFERROR(VLOOKUP(X601,TD!$J$51:$K$64,2,0)," ")</f>
        <v>Servicio de monitoreo y seguimiento para la gestión del riesgo</v>
      </c>
      <c r="Z601" s="172" t="str">
        <f>CONCATENATE(X601,"-",Y601)</f>
        <v>16-Servicio de monitoreo y seguimiento para la gestión del riesgo</v>
      </c>
      <c r="AA601" s="171" t="s">
        <v>224</v>
      </c>
      <c r="AB601" s="160" t="str">
        <f>IFERROR(VLOOKUP(AA601,TD!$N$51:$O$66,2,0)," ")</f>
        <v>Servicio de monitoreo y seguimiento para la gestión del riesgo</v>
      </c>
      <c r="AC601" s="172" t="str">
        <f>CONCATENATE(AA601,"_",AB601)</f>
        <v>018_Servicio de monitoreo y seguimiento para la gestión del riesgo</v>
      </c>
      <c r="AD601" s="172" t="str">
        <f>CONCATENATE(Z601," ",AC601)</f>
        <v>16-Servicio de monitoreo y seguimiento para la gestión del riesgo 018_Servicio de monitoreo y seguimiento para la gestión del riesgo</v>
      </c>
      <c r="AE601" s="174" t="str">
        <f>CONCATENATE(U601,V601,W601,X601,AA601)</f>
        <v>O23011745032024025516018</v>
      </c>
      <c r="AF601" s="160" t="str">
        <f>IFERROR(VLOOKUP(AD601,TD!$J$66:$K$89,2,0)," ")</f>
        <v>PM/0131/0116/45030180255</v>
      </c>
      <c r="AG601" s="135" t="s">
        <v>385</v>
      </c>
      <c r="AH601" s="176" t="s">
        <v>193</v>
      </c>
      <c r="AI601" s="246" t="str">
        <f>CONCATENATE(PAA[[#This Row],[Id Interno]],"-",PAA[[#This Row],[tipo de Contrato (TH talento humano - B/S bienes y/o servicios)]],"-",S601,"-",T601,"-",PAA[[#This Row],[Objeto de la contratación]])</f>
        <v>20260572-TH-8173-5-Prestar  servicios profesionales  en las actividades de proyeccion e innovacion para la Subdirección de Gestión del Riesgo._SGR</v>
      </c>
    </row>
    <row r="602" spans="2:35" ht="140" x14ac:dyDescent="0.35">
      <c r="B602" s="142">
        <v>20260573</v>
      </c>
      <c r="C602" s="121" t="s">
        <v>570</v>
      </c>
      <c r="D602" s="130" t="s">
        <v>105</v>
      </c>
      <c r="E602" s="130" t="s">
        <v>363</v>
      </c>
      <c r="F602" s="130" t="s">
        <v>144</v>
      </c>
      <c r="G602" s="131" t="s">
        <v>373</v>
      </c>
      <c r="H602" s="137">
        <v>6</v>
      </c>
      <c r="I602" s="137">
        <v>0</v>
      </c>
      <c r="J602" s="132">
        <v>36000000</v>
      </c>
      <c r="K602" s="133" t="s">
        <v>398</v>
      </c>
      <c r="L602" s="173" t="s">
        <v>156</v>
      </c>
      <c r="M602" s="171" t="s">
        <v>513</v>
      </c>
      <c r="N602" s="130" t="s">
        <v>198</v>
      </c>
      <c r="O602" s="151" t="s">
        <v>964</v>
      </c>
      <c r="P602" s="171" t="s">
        <v>348</v>
      </c>
      <c r="Q602" s="134">
        <v>80111600</v>
      </c>
      <c r="R602" s="171" t="s">
        <v>214</v>
      </c>
      <c r="S602" s="171" t="str">
        <f>MID(PAA[[#This Row],[Meta Proyecto de Inversión]],1,4)</f>
        <v>8173</v>
      </c>
      <c r="T602" s="171" t="str">
        <f>MID(PAA[[#This Row],[Meta Proyecto de Inversión]],6,1)</f>
        <v>5</v>
      </c>
      <c r="U602" s="174" t="str">
        <f>IFERROR(VLOOKUP(N602,TD!$B$50:$F$54,2,0)," ")</f>
        <v>O230117</v>
      </c>
      <c r="V602" s="174" t="str">
        <f>IFERROR(VLOOKUP(N602,TD!$B$50:$F$54,3,0)," ")</f>
        <v>4503</v>
      </c>
      <c r="W602" s="174">
        <f>IFERROR(VLOOKUP(N602,TD!$B$50:$F$54,4,0)," ")</f>
        <v>20240255</v>
      </c>
      <c r="X602" s="171">
        <v>16</v>
      </c>
      <c r="Y602" s="160" t="str">
        <f>IFERROR(VLOOKUP(X602,TD!$J$51:$K$64,2,0)," ")</f>
        <v>Servicio de monitoreo y seguimiento para la gestión del riesgo</v>
      </c>
      <c r="Z602" s="172" t="str">
        <f>CONCATENATE(X602,"-",Y602)</f>
        <v>16-Servicio de monitoreo y seguimiento para la gestión del riesgo</v>
      </c>
      <c r="AA602" s="171" t="s">
        <v>224</v>
      </c>
      <c r="AB602" s="160" t="str">
        <f>IFERROR(VLOOKUP(AA602,TD!$N$51:$O$66,2,0)," ")</f>
        <v>Servicio de monitoreo y seguimiento para la gestión del riesgo</v>
      </c>
      <c r="AC602" s="172" t="str">
        <f>CONCATENATE(AA602,"_",AB602)</f>
        <v>018_Servicio de monitoreo y seguimiento para la gestión del riesgo</v>
      </c>
      <c r="AD602" s="172" t="str">
        <f>CONCATENATE(Z602," ",AC602)</f>
        <v>16-Servicio de monitoreo y seguimiento para la gestión del riesgo 018_Servicio de monitoreo y seguimiento para la gestión del riesgo</v>
      </c>
      <c r="AE602" s="174" t="str">
        <f>CONCATENATE(U602,V602,W602,X602,AA602)</f>
        <v>O23011745032024025516018</v>
      </c>
      <c r="AF602" s="160" t="str">
        <f>IFERROR(VLOOKUP(AD602,TD!$J$66:$K$89,2,0)," ")</f>
        <v>PM/0131/0116/45030180255</v>
      </c>
      <c r="AG602" s="135" t="s">
        <v>385</v>
      </c>
      <c r="AH602" s="176" t="s">
        <v>193</v>
      </c>
      <c r="AI602" s="246" t="str">
        <f>CONCATENATE(PAA[[#This Row],[Id Interno]],"-",PAA[[#This Row],[tipo de Contrato (TH talento humano - B/S bienes y/o servicios)]],"-",S602,"-",T602,"-",PAA[[#This Row],[Objeto de la contratación]])</f>
        <v>20260573-TH-8173-5-Prestar  servicios profesionales  en las actividades de proyeccion e innovacion para la Subdirección de Gestión del Riesgo._SGR</v>
      </c>
    </row>
    <row r="603" spans="2:35" ht="140" x14ac:dyDescent="0.35">
      <c r="B603" s="142">
        <v>20260574</v>
      </c>
      <c r="C603" s="121" t="s">
        <v>570</v>
      </c>
      <c r="D603" s="130" t="s">
        <v>105</v>
      </c>
      <c r="E603" s="130" t="s">
        <v>363</v>
      </c>
      <c r="F603" s="130" t="s">
        <v>144</v>
      </c>
      <c r="G603" s="131" t="s">
        <v>373</v>
      </c>
      <c r="H603" s="137">
        <v>6</v>
      </c>
      <c r="I603" s="137">
        <v>0</v>
      </c>
      <c r="J603" s="132">
        <v>54600000</v>
      </c>
      <c r="K603" s="133" t="s">
        <v>398</v>
      </c>
      <c r="L603" s="173" t="s">
        <v>156</v>
      </c>
      <c r="M603" s="171" t="s">
        <v>513</v>
      </c>
      <c r="N603" s="130" t="s">
        <v>198</v>
      </c>
      <c r="O603" s="151" t="s">
        <v>964</v>
      </c>
      <c r="P603" s="171" t="s">
        <v>348</v>
      </c>
      <c r="Q603" s="134">
        <v>80111600</v>
      </c>
      <c r="R603" s="171" t="s">
        <v>214</v>
      </c>
      <c r="S603" s="171" t="str">
        <f>MID(PAA[[#This Row],[Meta Proyecto de Inversión]],1,4)</f>
        <v>8173</v>
      </c>
      <c r="T603" s="171" t="str">
        <f>MID(PAA[[#This Row],[Meta Proyecto de Inversión]],6,1)</f>
        <v>5</v>
      </c>
      <c r="U603" s="174" t="str">
        <f>IFERROR(VLOOKUP(N603,TD!$B$50:$F$54,2,0)," ")</f>
        <v>O230117</v>
      </c>
      <c r="V603" s="174" t="str">
        <f>IFERROR(VLOOKUP(N603,TD!$B$50:$F$54,3,0)," ")</f>
        <v>4503</v>
      </c>
      <c r="W603" s="174">
        <f>IFERROR(VLOOKUP(N603,TD!$B$50:$F$54,4,0)," ")</f>
        <v>20240255</v>
      </c>
      <c r="X603" s="171">
        <v>16</v>
      </c>
      <c r="Y603" s="160" t="str">
        <f>IFERROR(VLOOKUP(X603,TD!$J$51:$K$64,2,0)," ")</f>
        <v>Servicio de monitoreo y seguimiento para la gestión del riesgo</v>
      </c>
      <c r="Z603" s="172" t="str">
        <f>CONCATENATE(X603,"-",Y603)</f>
        <v>16-Servicio de monitoreo y seguimiento para la gestión del riesgo</v>
      </c>
      <c r="AA603" s="171" t="s">
        <v>224</v>
      </c>
      <c r="AB603" s="160" t="str">
        <f>IFERROR(VLOOKUP(AA603,TD!$N$51:$O$66,2,0)," ")</f>
        <v>Servicio de monitoreo y seguimiento para la gestión del riesgo</v>
      </c>
      <c r="AC603" s="172" t="str">
        <f>CONCATENATE(AA603,"_",AB603)</f>
        <v>018_Servicio de monitoreo y seguimiento para la gestión del riesgo</v>
      </c>
      <c r="AD603" s="172" t="str">
        <f>CONCATENATE(Z603," ",AC603)</f>
        <v>16-Servicio de monitoreo y seguimiento para la gestión del riesgo 018_Servicio de monitoreo y seguimiento para la gestión del riesgo</v>
      </c>
      <c r="AE603" s="174" t="str">
        <f>CONCATENATE(U603,V603,W603,X603,AA603)</f>
        <v>O23011745032024025516018</v>
      </c>
      <c r="AF603" s="160" t="str">
        <f>IFERROR(VLOOKUP(AD603,TD!$J$66:$K$89,2,0)," ")</f>
        <v>PM/0131/0116/45030180255</v>
      </c>
      <c r="AG603" s="135" t="s">
        <v>385</v>
      </c>
      <c r="AH603" s="176" t="s">
        <v>193</v>
      </c>
      <c r="AI603" s="177" t="str">
        <f>CONCATENATE(PAA[[#This Row],[Id Interno]],"-",PAA[[#This Row],[tipo de Contrato (TH talento humano - B/S bienes y/o servicios)]],"-",S603,"-",T603,"-",PAA[[#This Row],[Objeto de la contratación]])</f>
        <v>20260574-TH-8173-5-Prestar  servicios profesionales  en las actividades de proyeccion e innovacion para la Subdirección de Gestión del Riesgo._SGR</v>
      </c>
    </row>
    <row r="604" spans="2:35" ht="56" x14ac:dyDescent="0.35">
      <c r="B604" s="142">
        <v>20260575</v>
      </c>
      <c r="C604" s="121" t="s">
        <v>927</v>
      </c>
      <c r="D604" s="130" t="s">
        <v>105</v>
      </c>
      <c r="E604" s="130" t="s">
        <v>363</v>
      </c>
      <c r="F604" s="130" t="s">
        <v>144</v>
      </c>
      <c r="G604" s="131" t="s">
        <v>373</v>
      </c>
      <c r="H604" s="137">
        <v>8</v>
      </c>
      <c r="I604" s="137">
        <v>0</v>
      </c>
      <c r="J604" s="132">
        <v>56000000</v>
      </c>
      <c r="K604" s="133" t="s">
        <v>398</v>
      </c>
      <c r="L604" s="173" t="s">
        <v>154</v>
      </c>
      <c r="M604" s="171" t="s">
        <v>460</v>
      </c>
      <c r="N604" s="130" t="s">
        <v>198</v>
      </c>
      <c r="O604" s="151" t="s">
        <v>964</v>
      </c>
      <c r="P604" s="171" t="s">
        <v>348</v>
      </c>
      <c r="Q604" s="134">
        <v>80111600</v>
      </c>
      <c r="R604" s="171" t="s">
        <v>218</v>
      </c>
      <c r="S604" s="171" t="str">
        <f>MID(PAA[[#This Row],[Meta Proyecto de Inversión]],1,4)</f>
        <v>8173</v>
      </c>
      <c r="T604" s="171" t="str">
        <f>MID(PAA[[#This Row],[Meta Proyecto de Inversión]],6,1)</f>
        <v>9</v>
      </c>
      <c r="U604" s="174" t="str">
        <f>IFERROR(VLOOKUP(N604,TD!$B$50:$F$54,2,0)," ")</f>
        <v>O230117</v>
      </c>
      <c r="V604" s="174" t="str">
        <f>IFERROR(VLOOKUP(N604,TD!$B$50:$F$54,3,0)," ")</f>
        <v>4503</v>
      </c>
      <c r="W604" s="174">
        <f>IFERROR(VLOOKUP(N604,TD!$B$50:$F$54,4,0)," ")</f>
        <v>20240255</v>
      </c>
      <c r="X604" s="171" t="s">
        <v>172</v>
      </c>
      <c r="Y604" s="160" t="str">
        <f>IFERROR(VLOOKUP(X604,TD!$J$51:$K$64,2,0)," ")</f>
        <v>Servicio de formación en gestión del riesgo de incendios para el personal UAECOB</v>
      </c>
      <c r="Z604" s="172" t="str">
        <f>CONCATENATE(X604,"-",Y604)</f>
        <v>07-Servicio de formación en gestión del riesgo de incendios para el personal UAECOB</v>
      </c>
      <c r="AA604" s="171" t="s">
        <v>222</v>
      </c>
      <c r="AB604" s="160" t="str">
        <f>IFERROR(VLOOKUP(AA604,TD!$N$51:$O$66,2,0)," ")</f>
        <v>Servicio de educación informal</v>
      </c>
      <c r="AC604" s="172" t="str">
        <f>CONCATENATE(AA604,"_",AB604)</f>
        <v>002_Servicio de educación informal</v>
      </c>
      <c r="AD604" s="172" t="str">
        <f>CONCATENATE(Z604," ",AC604)</f>
        <v>07-Servicio de formación en gestión del riesgo de incendios para el personal UAECOB 002_Servicio de educación informal</v>
      </c>
      <c r="AE604" s="174" t="str">
        <f>CONCATENATE(U604,V604,W604,X604,AA604)</f>
        <v>O23011745032024025507002</v>
      </c>
      <c r="AF604" s="160" t="str">
        <f>IFERROR(VLOOKUP(AD604,TD!$J$66:$K$89,2,0)," ")</f>
        <v>PM/0131/0107/45030020255</v>
      </c>
      <c r="AG604" s="135" t="s">
        <v>385</v>
      </c>
      <c r="AH604" s="176" t="s">
        <v>193</v>
      </c>
      <c r="AI604" s="177" t="str">
        <f>CONCATENATE(PAA[[#This Row],[Id Interno]],"-",PAA[[#This Row],[tipo de Contrato (TH talento humano - B/S bienes y/o servicios)]],"-",S604,"-",T604,"-",PAA[[#This Row],[Objeto de la contratación]])</f>
        <v>20260575-TH-8173-9-SGH - Prestar sus servicios profesionales a la Subdirección de Gestión Humana de la UAE Cuerpo Oficial de Bomberos en el desarrollo de las actividades administrativas y de análisis relacionadas con la reorganización de conformación de las estaciones y grupos especializados como parte del fortalecimiento de la formación y la capacidad institucional.</v>
      </c>
    </row>
    <row r="605" spans="2:35" ht="56" x14ac:dyDescent="0.35">
      <c r="B605" s="142">
        <v>20260576</v>
      </c>
      <c r="C605" s="121" t="s">
        <v>926</v>
      </c>
      <c r="D605" s="130" t="s">
        <v>105</v>
      </c>
      <c r="E605" s="130" t="s">
        <v>363</v>
      </c>
      <c r="F605" s="130" t="s">
        <v>144</v>
      </c>
      <c r="G605" s="131" t="s">
        <v>374</v>
      </c>
      <c r="H605" s="137">
        <v>6</v>
      </c>
      <c r="I605" s="137">
        <v>0</v>
      </c>
      <c r="J605" s="132">
        <v>40800000</v>
      </c>
      <c r="K605" s="133" t="s">
        <v>398</v>
      </c>
      <c r="L605" s="173" t="s">
        <v>150</v>
      </c>
      <c r="M605" s="171" t="s">
        <v>401</v>
      </c>
      <c r="N605" s="130" t="s">
        <v>197</v>
      </c>
      <c r="O605" s="151" t="s">
        <v>963</v>
      </c>
      <c r="P605" s="171" t="s">
        <v>348</v>
      </c>
      <c r="Q605" s="134">
        <v>80111600</v>
      </c>
      <c r="R605" s="171" t="s">
        <v>209</v>
      </c>
      <c r="S605" s="171" t="str">
        <f>MID(PAA[[#This Row],[Meta Proyecto de Inversión]],1,4)</f>
        <v>8126</v>
      </c>
      <c r="T605" s="171" t="str">
        <f>MID(PAA[[#This Row],[Meta Proyecto de Inversión]],6,1)</f>
        <v>1</v>
      </c>
      <c r="U605" s="174" t="str">
        <f>IFERROR(VLOOKUP(N605,TD!$B$50:$F$54,2,0)," ")</f>
        <v>O230117</v>
      </c>
      <c r="V605" s="174" t="str">
        <f>IFERROR(VLOOKUP(N605,TD!$B$50:$F$54,3,0)," ")</f>
        <v>4599</v>
      </c>
      <c r="W605" s="174">
        <f>IFERROR(VLOOKUP(N605,TD!$B$50:$F$54,4,0)," ")</f>
        <v>20240207</v>
      </c>
      <c r="X605" s="171" t="s">
        <v>182</v>
      </c>
      <c r="Y605" s="160" t="str">
        <f>IFERROR(VLOOKUP(X605,TD!$J$51:$K$64,2,0)," ")</f>
        <v>Servicios para la planeación y sistemas de gestión y comunicación estratégica</v>
      </c>
      <c r="Z605" s="172" t="str">
        <f>CONCATENATE(X605,"-",Y605)</f>
        <v>13-Servicios para la planeación y sistemas de gestión y comunicación estratégica</v>
      </c>
      <c r="AA605" s="171" t="s">
        <v>231</v>
      </c>
      <c r="AB605" s="160" t="str">
        <f>IFERROR(VLOOKUP(AA605,TD!$N$51:$O$66,2,0)," ")</f>
        <v>Documentos de planeación</v>
      </c>
      <c r="AC605" s="172" t="str">
        <f>CONCATENATE(AA605,"_",AB605)</f>
        <v>019_Documentos de planeación</v>
      </c>
      <c r="AD605" s="172" t="str">
        <f>CONCATENATE(Z605," ",AC605)</f>
        <v>13-Servicios para la planeación y sistemas de gestión y comunicación estratégica 019_Documentos de planeación</v>
      </c>
      <c r="AE605" s="174" t="str">
        <f>CONCATENATE(U605,V605,W605,X605,AA605)</f>
        <v>O23011745992024020713019</v>
      </c>
      <c r="AF605" s="160" t="str">
        <f>IFERROR(VLOOKUP(AD605,TD!$J$66:$K$89,2,0)," ")</f>
        <v>PM/0131/0113/45990190207</v>
      </c>
      <c r="AG605" s="135" t="s">
        <v>385</v>
      </c>
      <c r="AH605" s="176" t="s">
        <v>193</v>
      </c>
      <c r="AI605" s="177" t="str">
        <f>CONCATENATE(PAA[[#This Row],[Id Interno]],"-",PAA[[#This Row],[tipo de Contrato (TH talento humano - B/S bienes y/o servicios)]],"-",S605,"-",T605,"-",PAA[[#This Row],[Objeto de la contratación]])</f>
        <v>20260576-TH-8126-1-Prestación de servicios profesionales en asuntos de comunicaciones y prensa para detectar las necesidades de la Entidad y facilitar la inserción de nuevas estrategias de comunicación</v>
      </c>
    </row>
    <row r="606" spans="2:35" ht="56" x14ac:dyDescent="0.35">
      <c r="B606" s="142">
        <v>20260577</v>
      </c>
      <c r="C606" s="121" t="s">
        <v>928</v>
      </c>
      <c r="D606" s="130" t="s">
        <v>105</v>
      </c>
      <c r="E606" s="130" t="s">
        <v>363</v>
      </c>
      <c r="F606" s="130" t="s">
        <v>145</v>
      </c>
      <c r="G606" s="131" t="s">
        <v>373</v>
      </c>
      <c r="H606" s="137">
        <v>6</v>
      </c>
      <c r="I606" s="137">
        <v>0</v>
      </c>
      <c r="J606" s="132">
        <v>21600000</v>
      </c>
      <c r="K606" s="133" t="s">
        <v>398</v>
      </c>
      <c r="L606" s="173" t="s">
        <v>157</v>
      </c>
      <c r="M606" s="171" t="s">
        <v>512</v>
      </c>
      <c r="N606" s="130" t="s">
        <v>198</v>
      </c>
      <c r="O606" s="151" t="s">
        <v>964</v>
      </c>
      <c r="P606" s="171" t="s">
        <v>348</v>
      </c>
      <c r="Q606" s="134">
        <v>80111600</v>
      </c>
      <c r="R606" s="171" t="s">
        <v>213</v>
      </c>
      <c r="S606" s="171" t="str">
        <f>MID(PAA[[#This Row],[Meta Proyecto de Inversión]],1,4)</f>
        <v>8173</v>
      </c>
      <c r="T606" s="171" t="str">
        <f>MID(PAA[[#This Row],[Meta Proyecto de Inversión]],6,1)</f>
        <v>4</v>
      </c>
      <c r="U606" s="174" t="str">
        <f>IFERROR(VLOOKUP(N606,TD!$B$50:$F$54,2,0)," ")</f>
        <v>O230117</v>
      </c>
      <c r="V606" s="174" t="str">
        <f>IFERROR(VLOOKUP(N606,TD!$B$50:$F$54,3,0)," ")</f>
        <v>4503</v>
      </c>
      <c r="W606" s="174">
        <f>IFERROR(VLOOKUP(N606,TD!$B$50:$F$54,4,0)," ")</f>
        <v>20240255</v>
      </c>
      <c r="X606" s="171" t="s">
        <v>176</v>
      </c>
      <c r="Y606" s="160" t="str">
        <f>IFERROR(VLOOKUP(X606,TD!$J$51:$K$64,2,0)," ")</f>
        <v>Servicio de mantenimiento, dotación (HEA´s y equipo menor) y adquisición de vehiculos   especializados para la atención de emergencias.</v>
      </c>
      <c r="Z606" s="172" t="str">
        <f>CONCATENATE(X606,"-",Y606)</f>
        <v>09-Servicio de mantenimiento, dotación (HEA´s y equipo menor) y adquisición de vehiculos   especializados para la atención de emergencias.</v>
      </c>
      <c r="AA606" s="171" t="s">
        <v>221</v>
      </c>
      <c r="AB606" s="160" t="str">
        <f>IFERROR(VLOOKUP(AA606,TD!$N$51:$O$66,2,0)," ")</f>
        <v>Servicio de atención a emergencias y desastres</v>
      </c>
      <c r="AC606" s="172" t="str">
        <f>CONCATENATE(AA606,"_",AB606)</f>
        <v>004_Servicio de atención a emergencias y desastres</v>
      </c>
      <c r="AD606" s="172" t="str">
        <f>CONCATENATE(Z606," ",AC606)</f>
        <v>09-Servicio de mantenimiento, dotación (HEA´s y equipo menor) y adquisición de vehiculos   especializados para la atención de emergencias. 004_Servicio de atención a emergencias y desastres</v>
      </c>
      <c r="AE606" s="174" t="str">
        <f>CONCATENATE(U606,V606,W606,X606,AA606)</f>
        <v>O23011745032024025509004</v>
      </c>
      <c r="AF606" s="160" t="str">
        <f>IFERROR(VLOOKUP(AD606,TD!$J$66:$K$89,2,0)," ")</f>
        <v>PM/0131/0109/45030040255</v>
      </c>
      <c r="AG606" s="135" t="s">
        <v>385</v>
      </c>
      <c r="AH606" s="176" t="s">
        <v>193</v>
      </c>
      <c r="AI606" s="177" t="str">
        <f>CONCATENATE(PAA[[#This Row],[Id Interno]],"-",PAA[[#This Row],[tipo de Contrato (TH talento humano - B/S bienes y/o servicios)]],"-",S606,"-",T606,"-",PAA[[#This Row],[Objeto de la contratación]])</f>
        <v>20260577-TH-8173-4-Prestar servicios de apoyo técnico en las herramientas tecnologicas para el desarrollo de las estrategias de la Subdirección  Logística-SBLG</v>
      </c>
    </row>
    <row r="607" spans="2:35" ht="70" x14ac:dyDescent="0.35">
      <c r="B607" s="142">
        <v>20260578</v>
      </c>
      <c r="C607" s="121" t="s">
        <v>929</v>
      </c>
      <c r="D607" s="130" t="s">
        <v>105</v>
      </c>
      <c r="E607" s="130" t="s">
        <v>363</v>
      </c>
      <c r="F607" s="130" t="s">
        <v>145</v>
      </c>
      <c r="G607" s="131" t="s">
        <v>373</v>
      </c>
      <c r="H607" s="137">
        <v>5</v>
      </c>
      <c r="I607" s="137">
        <v>0</v>
      </c>
      <c r="J607" s="132">
        <v>16400000</v>
      </c>
      <c r="K607" s="133" t="s">
        <v>398</v>
      </c>
      <c r="L607" s="173" t="s">
        <v>157</v>
      </c>
      <c r="M607" s="171" t="s">
        <v>512</v>
      </c>
      <c r="N607" s="130" t="s">
        <v>198</v>
      </c>
      <c r="O607" s="151" t="s">
        <v>964</v>
      </c>
      <c r="P607" s="171" t="s">
        <v>348</v>
      </c>
      <c r="Q607" s="134">
        <v>80111600</v>
      </c>
      <c r="R607" s="171" t="s">
        <v>213</v>
      </c>
      <c r="S607" s="171" t="str">
        <f>MID(PAA[[#This Row],[Meta Proyecto de Inversión]],1,4)</f>
        <v>8173</v>
      </c>
      <c r="T607" s="171" t="str">
        <f>MID(PAA[[#This Row],[Meta Proyecto de Inversión]],6,1)</f>
        <v>4</v>
      </c>
      <c r="U607" s="174" t="str">
        <f>IFERROR(VLOOKUP(N607,TD!$B$50:$F$54,2,0)," ")</f>
        <v>O230117</v>
      </c>
      <c r="V607" s="174" t="str">
        <f>IFERROR(VLOOKUP(N607,TD!$B$50:$F$54,3,0)," ")</f>
        <v>4503</v>
      </c>
      <c r="W607" s="174">
        <f>IFERROR(VLOOKUP(N607,TD!$B$50:$F$54,4,0)," ")</f>
        <v>20240255</v>
      </c>
      <c r="X607" s="171" t="s">
        <v>176</v>
      </c>
      <c r="Y607" s="160" t="str">
        <f>IFERROR(VLOOKUP(X607,TD!$J$51:$K$64,2,0)," ")</f>
        <v>Servicio de mantenimiento, dotación (HEA´s y equipo menor) y adquisición de vehiculos   especializados para la atención de emergencias.</v>
      </c>
      <c r="Z607" s="172" t="str">
        <f>CONCATENATE(X607,"-",Y607)</f>
        <v>09-Servicio de mantenimiento, dotación (HEA´s y equipo menor) y adquisición de vehiculos   especializados para la atención de emergencias.</v>
      </c>
      <c r="AA607" s="171" t="s">
        <v>221</v>
      </c>
      <c r="AB607" s="160" t="str">
        <f>IFERROR(VLOOKUP(AA607,TD!$N$51:$O$66,2,0)," ")</f>
        <v>Servicio de atención a emergencias y desastres</v>
      </c>
      <c r="AC607" s="172" t="str">
        <f>CONCATENATE(AA607,"_",AB607)</f>
        <v>004_Servicio de atención a emergencias y desastres</v>
      </c>
      <c r="AD607" s="172" t="str">
        <f>CONCATENATE(Z607," ",AC607)</f>
        <v>09-Servicio de mantenimiento, dotación (HEA´s y equipo menor) y adquisición de vehiculos   especializados para la atención de emergencias. 004_Servicio de atención a emergencias y desastres</v>
      </c>
      <c r="AE607" s="174" t="str">
        <f>CONCATENATE(U607,V607,W607,X607,AA607)</f>
        <v>O23011745032024025509004</v>
      </c>
      <c r="AF607" s="160" t="str">
        <f>IFERROR(VLOOKUP(AD607,TD!$J$66:$K$89,2,0)," ")</f>
        <v>PM/0131/0109/45030040255</v>
      </c>
      <c r="AG607" s="135" t="s">
        <v>385</v>
      </c>
      <c r="AH607" s="176" t="s">
        <v>193</v>
      </c>
      <c r="AI607" s="177" t="str">
        <f>CONCATENATE(PAA[[#This Row],[Id Interno]],"-",PAA[[#This Row],[tipo de Contrato (TH talento humano - B/S bienes y/o servicios)]],"-",S607,"-",T607,"-",PAA[[#This Row],[Objeto de la contratación]])</f>
        <v>20260578-TH-8173-4-Prestar servicios de apoyo a la gestión en las actividades de soporte operacional de la UAECOB Subdirección Logística. SBLG</v>
      </c>
    </row>
    <row r="608" spans="2:35" ht="70" x14ac:dyDescent="0.35">
      <c r="B608" s="142">
        <v>20260579</v>
      </c>
      <c r="C608" s="121" t="s">
        <v>930</v>
      </c>
      <c r="D608" s="130" t="s">
        <v>105</v>
      </c>
      <c r="E608" s="130" t="s">
        <v>363</v>
      </c>
      <c r="F608" s="130" t="s">
        <v>145</v>
      </c>
      <c r="G608" s="131" t="s">
        <v>373</v>
      </c>
      <c r="H608" s="137">
        <v>5</v>
      </c>
      <c r="I608" s="137">
        <v>0</v>
      </c>
      <c r="J608" s="132">
        <v>21388000</v>
      </c>
      <c r="K608" s="133" t="s">
        <v>398</v>
      </c>
      <c r="L608" s="173" t="s">
        <v>157</v>
      </c>
      <c r="M608" s="171" t="s">
        <v>512</v>
      </c>
      <c r="N608" s="130" t="s">
        <v>198</v>
      </c>
      <c r="O608" s="151" t="s">
        <v>964</v>
      </c>
      <c r="P608" s="171" t="s">
        <v>348</v>
      </c>
      <c r="Q608" s="134">
        <v>80111600</v>
      </c>
      <c r="R608" s="171" t="s">
        <v>213</v>
      </c>
      <c r="S608" s="171" t="str">
        <f>MID(PAA[[#This Row],[Meta Proyecto de Inversión]],1,4)</f>
        <v>8173</v>
      </c>
      <c r="T608" s="171" t="str">
        <f>MID(PAA[[#This Row],[Meta Proyecto de Inversión]],6,1)</f>
        <v>4</v>
      </c>
      <c r="U608" s="174" t="str">
        <f>IFERROR(VLOOKUP(N608,TD!$B$50:$F$54,2,0)," ")</f>
        <v>O230117</v>
      </c>
      <c r="V608" s="174" t="str">
        <f>IFERROR(VLOOKUP(N608,TD!$B$50:$F$54,3,0)," ")</f>
        <v>4503</v>
      </c>
      <c r="W608" s="174">
        <f>IFERROR(VLOOKUP(N608,TD!$B$50:$F$54,4,0)," ")</f>
        <v>20240255</v>
      </c>
      <c r="X608" s="171" t="s">
        <v>176</v>
      </c>
      <c r="Y608" s="160" t="str">
        <f>IFERROR(VLOOKUP(X608,TD!$J$51:$K$64,2,0)," ")</f>
        <v>Servicio de mantenimiento, dotación (HEA´s y equipo menor) y adquisición de vehiculos   especializados para la atención de emergencias.</v>
      </c>
      <c r="Z608" s="172" t="str">
        <f>CONCATENATE(X608,"-",Y608)</f>
        <v>09-Servicio de mantenimiento, dotación (HEA´s y equipo menor) y adquisición de vehiculos   especializados para la atención de emergencias.</v>
      </c>
      <c r="AA608" s="171" t="s">
        <v>221</v>
      </c>
      <c r="AB608" s="160" t="str">
        <f>IFERROR(VLOOKUP(AA608,TD!$N$51:$O$66,2,0)," ")</f>
        <v>Servicio de atención a emergencias y desastres</v>
      </c>
      <c r="AC608" s="172" t="str">
        <f>CONCATENATE(AA608,"_",AB608)</f>
        <v>004_Servicio de atención a emergencias y desastres</v>
      </c>
      <c r="AD608" s="172" t="str">
        <f>CONCATENATE(Z608," ",AC608)</f>
        <v>09-Servicio de mantenimiento, dotación (HEA´s y equipo menor) y adquisición de vehiculos   especializados para la atención de emergencias. 004_Servicio de atención a emergencias y desastres</v>
      </c>
      <c r="AE608" s="174" t="str">
        <f>CONCATENATE(U608,V608,W608,X608,AA608)</f>
        <v>O23011745032024025509004</v>
      </c>
      <c r="AF608" s="160" t="str">
        <f>IFERROR(VLOOKUP(AD608,TD!$J$66:$K$89,2,0)," ")</f>
        <v>PM/0131/0109/45030040255</v>
      </c>
      <c r="AG608" s="135" t="s">
        <v>385</v>
      </c>
      <c r="AH608" s="176" t="s">
        <v>193</v>
      </c>
      <c r="AI608" s="177" t="str">
        <f>CONCATENATE(PAA[[#This Row],[Id Interno]],"-",PAA[[#This Row],[tipo de Contrato (TH talento humano - B/S bienes y/o servicios)]],"-",S608,"-",T608,"-",PAA[[#This Row],[Objeto de la contratación]])</f>
        <v>20260579-TH-8173-4-Prestar servicios de apoyo a la gestión en actividades administrativas y documentales que se desarrollen en la Subdirección Logística – SBLG".</v>
      </c>
    </row>
    <row r="609" spans="2:35" ht="112" x14ac:dyDescent="0.35">
      <c r="B609" s="142">
        <v>20260580</v>
      </c>
      <c r="C609" s="121" t="s">
        <v>931</v>
      </c>
      <c r="D609" s="130" t="s">
        <v>105</v>
      </c>
      <c r="E609" s="130" t="s">
        <v>363</v>
      </c>
      <c r="F609" s="130" t="s">
        <v>145</v>
      </c>
      <c r="G609" s="131" t="s">
        <v>373</v>
      </c>
      <c r="H609" s="137">
        <v>6</v>
      </c>
      <c r="I609" s="137">
        <v>0</v>
      </c>
      <c r="J609" s="132">
        <v>19680000</v>
      </c>
      <c r="K609" s="133" t="s">
        <v>398</v>
      </c>
      <c r="L609" s="173" t="s">
        <v>157</v>
      </c>
      <c r="M609" s="171" t="s">
        <v>512</v>
      </c>
      <c r="N609" s="130" t="s">
        <v>198</v>
      </c>
      <c r="O609" s="240" t="s">
        <v>964</v>
      </c>
      <c r="P609" s="171" t="s">
        <v>348</v>
      </c>
      <c r="Q609" s="134">
        <v>80111600</v>
      </c>
      <c r="R609" s="171" t="s">
        <v>213</v>
      </c>
      <c r="S609" s="171" t="str">
        <f>MID(PAA[[#This Row],[Meta Proyecto de Inversión]],1,4)</f>
        <v>8173</v>
      </c>
      <c r="T609" s="171" t="str">
        <f>MID(PAA[[#This Row],[Meta Proyecto de Inversión]],6,1)</f>
        <v>4</v>
      </c>
      <c r="U609" s="174" t="str">
        <f>IFERROR(VLOOKUP(N609,TD!$B$50:$F$54,2,0)," ")</f>
        <v>O230117</v>
      </c>
      <c r="V609" s="174" t="str">
        <f>IFERROR(VLOOKUP(N609,TD!$B$50:$F$54,3,0)," ")</f>
        <v>4503</v>
      </c>
      <c r="W609" s="174">
        <f>IFERROR(VLOOKUP(N609,TD!$B$50:$F$54,4,0)," ")</f>
        <v>20240255</v>
      </c>
      <c r="X609" s="171" t="s">
        <v>176</v>
      </c>
      <c r="Y609" s="160" t="str">
        <f>IFERROR(VLOOKUP(X609,TD!$J$51:$K$64,2,0)," ")</f>
        <v>Servicio de mantenimiento, dotación (HEA´s y equipo menor) y adquisición de vehiculos   especializados para la atención de emergencias.</v>
      </c>
      <c r="Z609" s="172" t="str">
        <f>CONCATENATE(X609,"-",Y609)</f>
        <v>09-Servicio de mantenimiento, dotación (HEA´s y equipo menor) y adquisición de vehiculos   especializados para la atención de emergencias.</v>
      </c>
      <c r="AA609" s="171" t="s">
        <v>221</v>
      </c>
      <c r="AB609" s="160" t="str">
        <f>IFERROR(VLOOKUP(AA609,TD!$N$51:$O$66,2,0)," ")</f>
        <v>Servicio de atención a emergencias y desastres</v>
      </c>
      <c r="AC609" s="172" t="str">
        <f>CONCATENATE(AA609,"_",AB609)</f>
        <v>004_Servicio de atención a emergencias y desastres</v>
      </c>
      <c r="AD609" s="172" t="str">
        <f>CONCATENATE(Z609," ",AC609)</f>
        <v>09-Servicio de mantenimiento, dotación (HEA´s y equipo menor) y adquisición de vehiculos   especializados para la atención de emergencias. 004_Servicio de atención a emergencias y desastres</v>
      </c>
      <c r="AE609" s="174" t="str">
        <f>CONCATENATE(U609,V609,W609,X609,AA609)</f>
        <v>O23011745032024025509004</v>
      </c>
      <c r="AF609" s="160" t="str">
        <f>IFERROR(VLOOKUP(AD609,TD!$J$66:$K$89,2,0)," ")</f>
        <v>PM/0131/0109/45030040255</v>
      </c>
      <c r="AG609" s="135" t="s">
        <v>385</v>
      </c>
      <c r="AH609" s="176" t="s">
        <v>193</v>
      </c>
      <c r="AI609" s="177" t="str">
        <f>CONCATENATE(PAA[[#This Row],[Id Interno]],"-",PAA[[#This Row],[tipo de Contrato (TH talento humano - B/S bienes y/o servicios)]],"-",S609,"-",T609,"-",PAA[[#This Row],[Objeto de la contratación]])</f>
        <v>20260580-TH-8173-4-Prestación de servicios de apoyo a la gestión para realizar actividades documentales, administrativas relacionadas para el desarrollo de las estrategias de la Subdirección Logística. SBLG</v>
      </c>
    </row>
    <row r="610" spans="2:35" ht="66" customHeight="1" x14ac:dyDescent="0.35">
      <c r="B610" s="142">
        <v>20260581</v>
      </c>
      <c r="C610" s="121" t="s">
        <v>932</v>
      </c>
      <c r="D610" s="130" t="s">
        <v>105</v>
      </c>
      <c r="E610" s="130" t="s">
        <v>363</v>
      </c>
      <c r="F610" s="130" t="s">
        <v>145</v>
      </c>
      <c r="G610" s="131" t="s">
        <v>373</v>
      </c>
      <c r="H610" s="137">
        <v>6</v>
      </c>
      <c r="I610" s="137">
        <v>0</v>
      </c>
      <c r="J610" s="132">
        <v>19680000</v>
      </c>
      <c r="K610" s="133" t="s">
        <v>398</v>
      </c>
      <c r="L610" s="173" t="s">
        <v>157</v>
      </c>
      <c r="M610" s="171" t="s">
        <v>512</v>
      </c>
      <c r="N610" s="130" t="s">
        <v>198</v>
      </c>
      <c r="O610" s="240" t="s">
        <v>964</v>
      </c>
      <c r="P610" s="171" t="s">
        <v>348</v>
      </c>
      <c r="Q610" s="134">
        <v>80111600</v>
      </c>
      <c r="R610" s="171" t="s">
        <v>213</v>
      </c>
      <c r="S610" s="171" t="str">
        <f>MID(PAA[[#This Row],[Meta Proyecto de Inversión]],1,4)</f>
        <v>8173</v>
      </c>
      <c r="T610" s="171" t="str">
        <f>MID(PAA[[#This Row],[Meta Proyecto de Inversión]],6,1)</f>
        <v>4</v>
      </c>
      <c r="U610" s="174" t="str">
        <f>IFERROR(VLOOKUP(N610,TD!$B$50:$F$54,2,0)," ")</f>
        <v>O230117</v>
      </c>
      <c r="V610" s="174" t="str">
        <f>IFERROR(VLOOKUP(N610,TD!$B$50:$F$54,3,0)," ")</f>
        <v>4503</v>
      </c>
      <c r="W610" s="174">
        <f>IFERROR(VLOOKUP(N610,TD!$B$50:$F$54,4,0)," ")</f>
        <v>20240255</v>
      </c>
      <c r="X610" s="171" t="s">
        <v>176</v>
      </c>
      <c r="Y610" s="160" t="str">
        <f>IFERROR(VLOOKUP(X610,TD!$J$51:$K$64,2,0)," ")</f>
        <v>Servicio de mantenimiento, dotación (HEA´s y equipo menor) y adquisición de vehiculos   especializados para la atención de emergencias.</v>
      </c>
      <c r="Z610" s="172" t="str">
        <f>CONCATENATE(X610,"-",Y610)</f>
        <v>09-Servicio de mantenimiento, dotación (HEA´s y equipo menor) y adquisición de vehiculos   especializados para la atención de emergencias.</v>
      </c>
      <c r="AA610" s="171" t="s">
        <v>221</v>
      </c>
      <c r="AB610" s="160" t="str">
        <f>IFERROR(VLOOKUP(AA610,TD!$N$51:$O$66,2,0)," ")</f>
        <v>Servicio de atención a emergencias y desastres</v>
      </c>
      <c r="AC610" s="172" t="str">
        <f>CONCATENATE(AA610,"_",AB610)</f>
        <v>004_Servicio de atención a emergencias y desastres</v>
      </c>
      <c r="AD610" s="172" t="str">
        <f>CONCATENATE(Z610," ",AC610)</f>
        <v>09-Servicio de mantenimiento, dotación (HEA´s y equipo menor) y adquisición de vehiculos   especializados para la atención de emergencias. 004_Servicio de atención a emergencias y desastres</v>
      </c>
      <c r="AE610" s="174" t="str">
        <f>CONCATENATE(U610,V610,W610,X610,AA610)</f>
        <v>O23011745032024025509004</v>
      </c>
      <c r="AF610" s="160" t="str">
        <f>IFERROR(VLOOKUP(AD610,TD!$J$66:$K$89,2,0)," ")</f>
        <v>PM/0131/0109/45030040255</v>
      </c>
      <c r="AG610" s="135" t="s">
        <v>385</v>
      </c>
      <c r="AH610" s="176" t="s">
        <v>193</v>
      </c>
      <c r="AI610" s="177" t="str">
        <f>CONCATENATE(PAA[[#This Row],[Id Interno]],"-",PAA[[#This Row],[tipo de Contrato (TH talento humano - B/S bienes y/o servicios)]],"-",S610,"-",T610,"-",PAA[[#This Row],[Objeto de la contratación]])</f>
        <v>20260581-TH-8173-4-Prestar servicios de apoyo a la gestión en el manejo de las herramientas tecnológicas en diligenciamiento, seguimiento y control de las herramientas de gestión asociadas a la mesa logística de la Subdirección Logística. – SBLG</v>
      </c>
    </row>
    <row r="611" spans="2:35" ht="70" x14ac:dyDescent="0.35">
      <c r="B611" s="142">
        <v>20260582</v>
      </c>
      <c r="C611" s="121" t="s">
        <v>935</v>
      </c>
      <c r="D611" s="130" t="s">
        <v>105</v>
      </c>
      <c r="E611" s="130" t="s">
        <v>363</v>
      </c>
      <c r="F611" s="130" t="s">
        <v>144</v>
      </c>
      <c r="G611" s="131" t="s">
        <v>373</v>
      </c>
      <c r="H611" s="137">
        <v>6</v>
      </c>
      <c r="I611" s="137">
        <v>0</v>
      </c>
      <c r="J611" s="132">
        <v>33000000</v>
      </c>
      <c r="K611" s="133" t="s">
        <v>398</v>
      </c>
      <c r="L611" s="173" t="s">
        <v>154</v>
      </c>
      <c r="M611" s="171" t="s">
        <v>460</v>
      </c>
      <c r="N611" s="130" t="s">
        <v>198</v>
      </c>
      <c r="O611" s="240" t="s">
        <v>964</v>
      </c>
      <c r="P611" s="171" t="s">
        <v>348</v>
      </c>
      <c r="Q611" s="134">
        <v>80111600</v>
      </c>
      <c r="R611" s="171" t="s">
        <v>218</v>
      </c>
      <c r="S611" s="171" t="str">
        <f>MID(PAA[[#This Row],[Meta Proyecto de Inversión]],1,4)</f>
        <v>8173</v>
      </c>
      <c r="T611" s="171" t="str">
        <f>MID(PAA[[#This Row],[Meta Proyecto de Inversión]],6,1)</f>
        <v>9</v>
      </c>
      <c r="U611" s="174" t="str">
        <f>IFERROR(VLOOKUP(N611,TD!$B$50:$F$54,2,0)," ")</f>
        <v>O230117</v>
      </c>
      <c r="V611" s="174" t="str">
        <f>IFERROR(VLOOKUP(N611,TD!$B$50:$F$54,3,0)," ")</f>
        <v>4503</v>
      </c>
      <c r="W611" s="174">
        <f>IFERROR(VLOOKUP(N611,TD!$B$50:$F$54,4,0)," ")</f>
        <v>20240255</v>
      </c>
      <c r="X611" s="171" t="s">
        <v>172</v>
      </c>
      <c r="Y611" s="160" t="str">
        <f>IFERROR(VLOOKUP(X611,TD!$J$51:$K$64,2,0)," ")</f>
        <v>Servicio de formación en gestión del riesgo de incendios para el personal UAECOB</v>
      </c>
      <c r="Z611" s="172" t="str">
        <f>CONCATENATE(X611,"-",Y611)</f>
        <v>07-Servicio de formación en gestión del riesgo de incendios para el personal UAECOB</v>
      </c>
      <c r="AA611" s="171" t="s">
        <v>222</v>
      </c>
      <c r="AB611" s="160" t="str">
        <f>IFERROR(VLOOKUP(AA611,TD!$N$51:$O$66,2,0)," ")</f>
        <v>Servicio de educación informal</v>
      </c>
      <c r="AC611" s="172" t="str">
        <f>CONCATENATE(AA611,"_",AB611)</f>
        <v>002_Servicio de educación informal</v>
      </c>
      <c r="AD611" s="172" t="str">
        <f>CONCATENATE(Z611," ",AC611)</f>
        <v>07-Servicio de formación en gestión del riesgo de incendios para el personal UAECOB 002_Servicio de educación informal</v>
      </c>
      <c r="AE611" s="174" t="str">
        <f>CONCATENATE(U611,V611,W611,X611,AA611)</f>
        <v>O23011745032024025507002</v>
      </c>
      <c r="AF611" s="174" t="str">
        <f>IFERROR(VLOOKUP(AD611,TD!$J$66:$K$89,2,0)," ")</f>
        <v>PM/0131/0107/45030020255</v>
      </c>
      <c r="AG611" s="135" t="s">
        <v>385</v>
      </c>
      <c r="AH611" s="168" t="s">
        <v>193</v>
      </c>
      <c r="AI611" s="177" t="str">
        <f>CONCATENATE(PAA[[#This Row],[Id Interno]],"-",PAA[[#This Row],[tipo de Contrato (TH talento humano - B/S bienes y/o servicios)]],"-",S611,"-",T611,"-",PAA[[#This Row],[Objeto de la contratación]])</f>
        <v>20260582-TH-8173-9-SGH - Prestar servicios profesionales a la Academia de la UAE Cuerpo Oficial de Bomberos de Bogotá D.C., orientados al fortalecimiento transversal de los procesos académicos y formativos, con el propósito de apoyar y robustecer las actividades de capacitación y formación desarrolladas por la Entidad.</v>
      </c>
    </row>
    <row r="612" spans="2:35" ht="56" x14ac:dyDescent="0.35">
      <c r="B612" s="149">
        <v>20260583</v>
      </c>
      <c r="C612" s="99" t="s">
        <v>1000</v>
      </c>
      <c r="D612" s="23" t="s">
        <v>105</v>
      </c>
      <c r="E612" s="23" t="s">
        <v>363</v>
      </c>
      <c r="F612" s="23" t="s">
        <v>145</v>
      </c>
      <c r="G612" s="129" t="s">
        <v>373</v>
      </c>
      <c r="H612" s="136">
        <v>6</v>
      </c>
      <c r="I612" s="136">
        <v>0</v>
      </c>
      <c r="J612" s="127">
        <v>24000000</v>
      </c>
      <c r="K612" s="88" t="s">
        <v>398</v>
      </c>
      <c r="L612" s="156" t="s">
        <v>154</v>
      </c>
      <c r="M612" s="159" t="s">
        <v>460</v>
      </c>
      <c r="N612" s="23" t="s">
        <v>197</v>
      </c>
      <c r="O612" s="151" t="s">
        <v>963</v>
      </c>
      <c r="P612" s="159" t="s">
        <v>348</v>
      </c>
      <c r="Q612" s="53">
        <v>80111600</v>
      </c>
      <c r="R612" s="159" t="s">
        <v>208</v>
      </c>
      <c r="S612" s="159" t="str">
        <f>MID(PAA[[#This Row],[Meta Proyecto de Inversión]],1,4)</f>
        <v>8126</v>
      </c>
      <c r="T612" s="159" t="str">
        <f>MID(PAA[[#This Row],[Meta Proyecto de Inversión]],6,1)</f>
        <v>9</v>
      </c>
      <c r="U612" s="160" t="str">
        <f>IFERROR(VLOOKUP(N612,TD!$B$50:$F$54,2,0)," ")</f>
        <v>O230117</v>
      </c>
      <c r="V612" s="160" t="str">
        <f>IFERROR(VLOOKUP(N612,TD!$B$50:$F$54,3,0)," ")</f>
        <v>4599</v>
      </c>
      <c r="W612" s="160">
        <f>IFERROR(VLOOKUP(N612,TD!$B$50:$F$54,4,0)," ")</f>
        <v>20240207</v>
      </c>
      <c r="X612" s="171" t="s">
        <v>174</v>
      </c>
      <c r="Y612" s="160" t="str">
        <f>IFERROR(VLOOKUP(X612,TD!$J$51:$K$64,2,0)," ")</f>
        <v>Infraestructura física, mantenimiento y dotación (Sedes construidas, mantenidas reforzadas)</v>
      </c>
      <c r="Z612" s="172" t="str">
        <f>CONCATENATE(X612,"-",Y612)</f>
        <v>08-Infraestructura física, mantenimiento y dotación (Sedes construidas, mantenidas reforzadas)</v>
      </c>
      <c r="AA612" s="171" t="s">
        <v>227</v>
      </c>
      <c r="AB612" s="160" t="str">
        <f>IFERROR(VLOOKUP(AA612,TD!$N$51:$O$66,2,0)," ")</f>
        <v>Sedes mantenidas</v>
      </c>
      <c r="AC612" s="161" t="str">
        <f>CONCATENATE(AA612,"_",AB612)</f>
        <v>016_Sedes mantenidas</v>
      </c>
      <c r="AD612" s="161" t="str">
        <f>CONCATENATE(Z612," ",AC612)</f>
        <v>08-Infraestructura física, mantenimiento y dotación (Sedes construidas, mantenidas reforzadas) 016_Sedes mantenidas</v>
      </c>
      <c r="AE612" s="160" t="str">
        <f>CONCATENATE(U612,V612,W612,X612,AA612)</f>
        <v>O23011745992024020708016</v>
      </c>
      <c r="AF612" s="160" t="str">
        <f>IFERROR(VLOOKUP(AD612,TD!$J$66:$K$89,2,0)," ")</f>
        <v>PM/0131/0108/45990160207</v>
      </c>
      <c r="AG612" s="135" t="s">
        <v>385</v>
      </c>
      <c r="AH612" s="168" t="s">
        <v>193</v>
      </c>
      <c r="AI612" s="177" t="str">
        <f>CONCATENATE(PAA[[#This Row],[Id Interno]],"-",PAA[[#This Row],[tipo de Contrato (TH talento humano - B/S bienes y/o servicios)]],"-",S612,"-",T612,"-",PAA[[#This Row],[Objeto de la contratación]])</f>
        <v>20260583-TH-8126-9-SGH – Prestar servicios de apoyo a la gestión en la Subdirección de Gestión Humana,  para la organización, actualización, clasificación y sistematización de los expedientes de incapacidades, así como la consolidación de la información en los sistemas y bases de datos institucionales y demás actividades propias del área de nómina que le sean asignadas, de conformidad con los lineamientos y procedimientos definidos por la entidad.</v>
      </c>
    </row>
    <row r="613" spans="2:35" ht="70" x14ac:dyDescent="0.35">
      <c r="B613" s="149">
        <v>20260585</v>
      </c>
      <c r="C613" s="99" t="s">
        <v>936</v>
      </c>
      <c r="D613" s="23" t="s">
        <v>105</v>
      </c>
      <c r="E613" s="23" t="s">
        <v>363</v>
      </c>
      <c r="F613" s="23" t="s">
        <v>144</v>
      </c>
      <c r="G613" s="129" t="s">
        <v>373</v>
      </c>
      <c r="H613" s="136">
        <v>11</v>
      </c>
      <c r="I613" s="136">
        <v>0</v>
      </c>
      <c r="J613" s="127">
        <v>66000000</v>
      </c>
      <c r="K613" s="88" t="s">
        <v>398</v>
      </c>
      <c r="L613" s="156" t="s">
        <v>158</v>
      </c>
      <c r="M613" s="159" t="s">
        <v>421</v>
      </c>
      <c r="N613" s="23" t="s">
        <v>198</v>
      </c>
      <c r="O613" s="151" t="s">
        <v>964</v>
      </c>
      <c r="P613" s="159" t="s">
        <v>348</v>
      </c>
      <c r="Q613" s="53">
        <v>80111600</v>
      </c>
      <c r="R613" s="159" t="s">
        <v>211</v>
      </c>
      <c r="S613" s="159" t="str">
        <f>MID(PAA[[#This Row],[Meta Proyecto de Inversión]],1,4)</f>
        <v>8173</v>
      </c>
      <c r="T613" s="159" t="str">
        <f>MID(PAA[[#This Row],[Meta Proyecto de Inversión]],6,1)</f>
        <v>2</v>
      </c>
      <c r="U613" s="160" t="str">
        <f>IFERROR(VLOOKUP(N613,TD!$B$50:$F$54,2,0)," ")</f>
        <v>O230117</v>
      </c>
      <c r="V613" s="160" t="str">
        <f>IFERROR(VLOOKUP(N613,TD!$B$50:$F$54,3,0)," ")</f>
        <v>4503</v>
      </c>
      <c r="W613" s="160">
        <f>IFERROR(VLOOKUP(N613,TD!$B$50:$F$54,4,0)," ")</f>
        <v>20240255</v>
      </c>
      <c r="X613" s="171" t="s">
        <v>164</v>
      </c>
      <c r="Y613" s="160" t="str">
        <f>IFERROR(VLOOKUP(X613,TD!$J$51:$K$64,2,0)," ")</f>
        <v>Servicio de atención a incidentes y emergencias.</v>
      </c>
      <c r="Z613" s="172" t="str">
        <f>CONCATENATE(X613,"-",Y613)</f>
        <v>04-Servicio de atención a incidentes y emergencias.</v>
      </c>
      <c r="AA613" s="171" t="s">
        <v>221</v>
      </c>
      <c r="AB613" s="160" t="str">
        <f>IFERROR(VLOOKUP(AA613,TD!$N$51:$O$66,2,0)," ")</f>
        <v>Servicio de atención a emergencias y desastres</v>
      </c>
      <c r="AC613" s="161" t="str">
        <f>CONCATENATE(AA613,"_",AB613)</f>
        <v>004_Servicio de atención a emergencias y desastres</v>
      </c>
      <c r="AD613" s="161" t="str">
        <f>CONCATENATE(Z613," ",AC613)</f>
        <v>04-Servicio de atención a incidentes y emergencias. 004_Servicio de atención a emergencias y desastres</v>
      </c>
      <c r="AE613" s="160" t="str">
        <f>CONCATENATE(U613,V613,W613,X613,AA613)</f>
        <v>O23011745032024025504004</v>
      </c>
      <c r="AF613" s="160" t="str">
        <f>IFERROR(VLOOKUP(AD613,TD!$J$66:$K$89,2,0)," ")</f>
        <v>PM/0131/0104/45030040255</v>
      </c>
      <c r="AG613" s="135" t="s">
        <v>385</v>
      </c>
      <c r="AH613" s="168" t="s">
        <v>193</v>
      </c>
      <c r="AI613" s="177" t="str">
        <f>CONCATENATE(PAA[[#This Row],[Id Interno]],"-",PAA[[#This Row],[tipo de Contrato (TH talento humano - B/S bienes y/o servicios)]],"-",S613,"-",T613,"-",PAA[[#This Row],[Objeto de la contratación]])</f>
        <v>20260585-TH-8173-2-Prestación de servicios profesionales para apoyar en el análisis de información, reportes, y seguimientos relacionados con la atención de emergencias de la entidad y de los programas a cargo de la Subdirección Operativa-S.O.</v>
      </c>
    </row>
    <row r="614" spans="2:35" ht="70" x14ac:dyDescent="0.35">
      <c r="B614" s="149">
        <v>20260586</v>
      </c>
      <c r="C614" s="99" t="s">
        <v>948</v>
      </c>
      <c r="D614" s="23" t="s">
        <v>105</v>
      </c>
      <c r="E614" s="23" t="s">
        <v>363</v>
      </c>
      <c r="F614" s="23" t="s">
        <v>144</v>
      </c>
      <c r="G614" s="129" t="s">
        <v>373</v>
      </c>
      <c r="H614" s="136">
        <v>6</v>
      </c>
      <c r="I614" s="136">
        <v>0</v>
      </c>
      <c r="J614" s="127">
        <v>36000000</v>
      </c>
      <c r="K614" s="88" t="s">
        <v>398</v>
      </c>
      <c r="L614" s="156" t="s">
        <v>151</v>
      </c>
      <c r="M614" s="159" t="s">
        <v>401</v>
      </c>
      <c r="N614" s="23" t="s">
        <v>197</v>
      </c>
      <c r="O614" s="151" t="s">
        <v>963</v>
      </c>
      <c r="P614" s="159" t="s">
        <v>348</v>
      </c>
      <c r="Q614" s="53">
        <v>80111600</v>
      </c>
      <c r="R614" s="159" t="s">
        <v>206</v>
      </c>
      <c r="S614" s="159" t="str">
        <f>MID(PAA[[#This Row],[Meta Proyecto de Inversión]],1,4)</f>
        <v>8126</v>
      </c>
      <c r="T614" s="159" t="str">
        <f>MID(PAA[[#This Row],[Meta Proyecto de Inversión]],6,1)</f>
        <v>7</v>
      </c>
      <c r="U614" s="160" t="str">
        <f>IFERROR(VLOOKUP(N614,TD!$B$50:$F$54,2,0)," ")</f>
        <v>O230117</v>
      </c>
      <c r="V614" s="160" t="str">
        <f>IFERROR(VLOOKUP(N614,TD!$B$50:$F$54,3,0)," ")</f>
        <v>4599</v>
      </c>
      <c r="W614" s="160">
        <f>IFERROR(VLOOKUP(N614,TD!$B$50:$F$54,4,0)," ")</f>
        <v>20240207</v>
      </c>
      <c r="X614" s="171" t="s">
        <v>168</v>
      </c>
      <c r="Y614" s="160" t="str">
        <f>IFERROR(VLOOKUP(X614,TD!$J$51:$K$64,2,0)," ")</f>
        <v>Infraestructura Tecnológica   (Sistemas de Información y Tecnologia)</v>
      </c>
      <c r="Z614" s="172" t="str">
        <f>CONCATENATE(X614,"-",Y614)</f>
        <v>11-Infraestructura Tecnológica   (Sistemas de Información y Tecnologia)</v>
      </c>
      <c r="AA614" s="171" t="s">
        <v>228</v>
      </c>
      <c r="AB614" s="160" t="str">
        <f>IFERROR(VLOOKUP(AA614,TD!$N$51:$O$66,2,0)," ")</f>
        <v>Servicios tecnológicos</v>
      </c>
      <c r="AC614" s="161" t="str">
        <f>CONCATENATE(AA614,"_",AB614)</f>
        <v>007_Servicios tecnológicos</v>
      </c>
      <c r="AD614" s="161" t="str">
        <f>CONCATENATE(Z614," ",AC614)</f>
        <v>11-Infraestructura Tecnológica   (Sistemas de Información y Tecnologia) 007_Servicios tecnológicos</v>
      </c>
      <c r="AE614" s="160" t="str">
        <f>CONCATENATE(U614,V614,W614,X614,AA614)</f>
        <v>O23011745992024020711007</v>
      </c>
      <c r="AF614" s="160" t="str">
        <f>IFERROR(VLOOKUP(AD614,TD!$J$66:$K$89,2,0)," ")</f>
        <v>PM/0131/0111/45990070207</v>
      </c>
      <c r="AG614" s="135" t="s">
        <v>385</v>
      </c>
      <c r="AH614" s="168" t="s">
        <v>193</v>
      </c>
      <c r="AI614" s="177" t="str">
        <f>CONCATENATE(PAA[[#This Row],[Id Interno]],"-",PAA[[#This Row],[tipo de Contrato (TH talento humano - B/S bienes y/o servicios)]],"-",S614,"-",T614,"-",PAA[[#This Row],[Objeto de la contratación]])</f>
        <v>20260586-TH-8126-7-Prestar servicios profesionales para diseñar, implementar, generar las políticas y procedimientos y fortalecer la gestión y el gobierno de los datos institucionales en el marco de las funciones de la Dirección de Tecnologías de la Información y las Comunicaciones de la Unidad Administrativa Especial Cuerpo Oficial de Bomberos de Bogotá.</v>
      </c>
    </row>
    <row r="615" spans="2:35" ht="70" x14ac:dyDescent="0.35">
      <c r="B615" s="149">
        <v>20260587</v>
      </c>
      <c r="C615" s="99" t="s">
        <v>949</v>
      </c>
      <c r="D615" s="23" t="s">
        <v>105</v>
      </c>
      <c r="E615" s="23" t="s">
        <v>363</v>
      </c>
      <c r="F615" s="23" t="s">
        <v>144</v>
      </c>
      <c r="G615" s="129" t="s">
        <v>373</v>
      </c>
      <c r="H615" s="136">
        <v>6</v>
      </c>
      <c r="I615" s="136">
        <v>0</v>
      </c>
      <c r="J615" s="127">
        <v>36000000</v>
      </c>
      <c r="K615" s="88" t="s">
        <v>398</v>
      </c>
      <c r="L615" s="156" t="s">
        <v>151</v>
      </c>
      <c r="M615" s="159" t="s">
        <v>401</v>
      </c>
      <c r="N615" s="23" t="s">
        <v>197</v>
      </c>
      <c r="O615" s="151" t="s">
        <v>963</v>
      </c>
      <c r="P615" s="159" t="s">
        <v>348</v>
      </c>
      <c r="Q615" s="53">
        <v>80111600</v>
      </c>
      <c r="R615" s="159" t="s">
        <v>206</v>
      </c>
      <c r="S615" s="159" t="str">
        <f>MID(PAA[[#This Row],[Meta Proyecto de Inversión]],1,4)</f>
        <v>8126</v>
      </c>
      <c r="T615" s="159" t="str">
        <f>MID(PAA[[#This Row],[Meta Proyecto de Inversión]],6,1)</f>
        <v>7</v>
      </c>
      <c r="U615" s="160" t="str">
        <f>IFERROR(VLOOKUP(N615,TD!$B$50:$F$54,2,0)," ")</f>
        <v>O230117</v>
      </c>
      <c r="V615" s="160" t="str">
        <f>IFERROR(VLOOKUP(N615,TD!$B$50:$F$54,3,0)," ")</f>
        <v>4599</v>
      </c>
      <c r="W615" s="160">
        <f>IFERROR(VLOOKUP(N615,TD!$B$50:$F$54,4,0)," ")</f>
        <v>20240207</v>
      </c>
      <c r="X615" s="171" t="s">
        <v>168</v>
      </c>
      <c r="Y615" s="160" t="str">
        <f>IFERROR(VLOOKUP(X615,TD!$J$51:$K$64,2,0)," ")</f>
        <v>Infraestructura Tecnológica   (Sistemas de Información y Tecnologia)</v>
      </c>
      <c r="Z615" s="172" t="str">
        <f>CONCATENATE(X615,"-",Y615)</f>
        <v>11-Infraestructura Tecnológica   (Sistemas de Información y Tecnologia)</v>
      </c>
      <c r="AA615" s="171" t="s">
        <v>228</v>
      </c>
      <c r="AB615" s="160" t="str">
        <f>IFERROR(VLOOKUP(AA615,TD!$N$51:$O$66,2,0)," ")</f>
        <v>Servicios tecnológicos</v>
      </c>
      <c r="AC615" s="161" t="str">
        <f>CONCATENATE(AA615,"_",AB615)</f>
        <v>007_Servicios tecnológicos</v>
      </c>
      <c r="AD615" s="161" t="str">
        <f>CONCATENATE(Z615," ",AC615)</f>
        <v>11-Infraestructura Tecnológica   (Sistemas de Información y Tecnologia) 007_Servicios tecnológicos</v>
      </c>
      <c r="AE615" s="160" t="str">
        <f>CONCATENATE(U615,V615,W615,X615,AA615)</f>
        <v>O23011745992024020711007</v>
      </c>
      <c r="AF615" s="160" t="str">
        <f>IFERROR(VLOOKUP(AD615,TD!$J$66:$K$89,2,0)," ")</f>
        <v>PM/0131/0111/45990070207</v>
      </c>
      <c r="AG615" s="135" t="s">
        <v>385</v>
      </c>
      <c r="AH615" s="168" t="s">
        <v>193</v>
      </c>
      <c r="AI615" s="177" t="str">
        <f>CONCATENATE(PAA[[#This Row],[Id Interno]],"-",PAA[[#This Row],[tipo de Contrato (TH talento humano - B/S bienes y/o servicios)]],"-",S615,"-",T615,"-",PAA[[#This Row],[Objeto de la contratación]])</f>
        <v>20260587-TH-8126-7-Prestar servicios profesionales jurídicos al Área de Tecnologías de la Información y las Comunicaciones de la U.A.E. Cuerpo Oficial de Bomberos de Bogotá, para apoyar la planeación, estructuración, revisión y gestión de los procesos contractuales en todas sus fases, y adelantar las actuaciones jurídicas requeridas para garantizar la eficiencia y cumplimiento normativo de la gestión a cargo del área.</v>
      </c>
    </row>
    <row r="616" spans="2:35" ht="70" x14ac:dyDescent="0.35">
      <c r="B616" s="149">
        <v>20260588</v>
      </c>
      <c r="C616" s="99" t="s">
        <v>950</v>
      </c>
      <c r="D616" s="23" t="s">
        <v>92</v>
      </c>
      <c r="E616" s="23" t="s">
        <v>402</v>
      </c>
      <c r="F616" s="23" t="s">
        <v>111</v>
      </c>
      <c r="G616" s="129" t="s">
        <v>375</v>
      </c>
      <c r="H616" s="136">
        <v>1</v>
      </c>
      <c r="I616" s="136">
        <v>12</v>
      </c>
      <c r="J616" s="127">
        <v>2386600</v>
      </c>
      <c r="K616" s="88" t="s">
        <v>398</v>
      </c>
      <c r="L616" s="156" t="s">
        <v>155</v>
      </c>
      <c r="M616" s="159" t="s">
        <v>422</v>
      </c>
      <c r="N616" s="23" t="s">
        <v>197</v>
      </c>
      <c r="O616" s="151" t="s">
        <v>963</v>
      </c>
      <c r="P616" s="159" t="s">
        <v>348</v>
      </c>
      <c r="Q616" s="53" t="s">
        <v>785</v>
      </c>
      <c r="R616" s="159" t="s">
        <v>207</v>
      </c>
      <c r="S616" s="159" t="str">
        <f>MID(PAA[[#This Row],[Meta Proyecto de Inversión]],1,4)</f>
        <v>8126</v>
      </c>
      <c r="T616" s="159" t="str">
        <f>MID(PAA[[#This Row],[Meta Proyecto de Inversión]],6,1)</f>
        <v>8</v>
      </c>
      <c r="U616" s="160" t="str">
        <f>IFERROR(VLOOKUP(N616,TD!$B$50:$F$54,2,0)," ")</f>
        <v>O230117</v>
      </c>
      <c r="V616" s="160" t="str">
        <f>IFERROR(VLOOKUP(N616,TD!$B$50:$F$54,3,0)," ")</f>
        <v>4599</v>
      </c>
      <c r="W616" s="160">
        <f>IFERROR(VLOOKUP(N616,TD!$B$50:$F$54,4,0)," ")</f>
        <v>20240207</v>
      </c>
      <c r="X616" s="171" t="s">
        <v>174</v>
      </c>
      <c r="Y616" s="160" t="str">
        <f>IFERROR(VLOOKUP(X616,TD!$J$51:$K$64,2,0)," ")</f>
        <v>Infraestructura física, mantenimiento y dotación (Sedes construidas, mantenidas reforzadas)</v>
      </c>
      <c r="Z616" s="172" t="str">
        <f>CONCATENATE(X616,"-",Y616)</f>
        <v>08-Infraestructura física, mantenimiento y dotación (Sedes construidas, mantenidas reforzadas)</v>
      </c>
      <c r="AA616" s="171" t="s">
        <v>227</v>
      </c>
      <c r="AB616" s="160" t="str">
        <f>IFERROR(VLOOKUP(AA616,TD!$N$51:$O$66,2,0)," ")</f>
        <v>Sedes mantenidas</v>
      </c>
      <c r="AC616" s="161" t="str">
        <f>CONCATENATE(AA616,"_",AB616)</f>
        <v>016_Sedes mantenidas</v>
      </c>
      <c r="AD616" s="161" t="str">
        <f>CONCATENATE(Z616," ",AC616)</f>
        <v>08-Infraestructura física, mantenimiento y dotación (Sedes construidas, mantenidas reforzadas) 016_Sedes mantenidas</v>
      </c>
      <c r="AE616" s="160" t="str">
        <f>CONCATENATE(U616,V616,W616,X616,AA616)</f>
        <v>O23011745992024020708016</v>
      </c>
      <c r="AF616" s="160" t="str">
        <f>IFERROR(VLOOKUP(AD616,TD!$J$66:$K$89,2,0)," ")</f>
        <v>PM/0131/0108/45990160207</v>
      </c>
      <c r="AG616" s="135" t="s">
        <v>134</v>
      </c>
      <c r="AH616" s="168" t="s">
        <v>194</v>
      </c>
      <c r="AI616" s="177" t="str">
        <f>CONCATENATE(PAA[[#This Row],[Id Interno]],"-",PAA[[#This Row],[tipo de Contrato (TH talento humano - B/S bienes y/o servicios)]],"-",S616,"-",T616,"-",PAA[[#This Row],[Objeto de la contratación]])</f>
        <v>20260588-BS-8126-8-Adición y prórroga No. 1 al contrato 698 de 2025 que tiene como objeto “Prestar el servicio y mantenimiento de equipos de higienización, desodorización y aromatización para la UAECOB-SGC"</v>
      </c>
    </row>
    <row r="617" spans="2:35" ht="70" x14ac:dyDescent="0.35">
      <c r="B617" s="149">
        <v>20260589</v>
      </c>
      <c r="C617" s="99" t="s">
        <v>951</v>
      </c>
      <c r="D617" s="23" t="s">
        <v>105</v>
      </c>
      <c r="E617" s="23" t="s">
        <v>363</v>
      </c>
      <c r="F617" s="23" t="s">
        <v>144</v>
      </c>
      <c r="G617" s="129" t="s">
        <v>373</v>
      </c>
      <c r="H617" s="136">
        <v>10</v>
      </c>
      <c r="I617" s="136">
        <v>0</v>
      </c>
      <c r="J617" s="127">
        <v>51610870</v>
      </c>
      <c r="K617" s="88" t="s">
        <v>398</v>
      </c>
      <c r="L617" s="156" t="s">
        <v>155</v>
      </c>
      <c r="M617" s="159" t="s">
        <v>422</v>
      </c>
      <c r="N617" s="23" t="s">
        <v>198</v>
      </c>
      <c r="O617" s="151" t="s">
        <v>964</v>
      </c>
      <c r="P617" s="159" t="s">
        <v>348</v>
      </c>
      <c r="Q617" s="53" t="s">
        <v>783</v>
      </c>
      <c r="R617" s="159" t="s">
        <v>216</v>
      </c>
      <c r="S617" s="159" t="str">
        <f>MID(PAA[[#This Row],[Meta Proyecto de Inversión]],1,4)</f>
        <v>8173</v>
      </c>
      <c r="T617" s="159" t="str">
        <f>MID(PAA[[#This Row],[Meta Proyecto de Inversión]],6,1)</f>
        <v>7</v>
      </c>
      <c r="U617" s="160" t="str">
        <f>IFERROR(VLOOKUP(N617,TD!$B$50:$F$54,2,0)," ")</f>
        <v>O230117</v>
      </c>
      <c r="V617" s="160" t="str">
        <f>IFERROR(VLOOKUP(N617,TD!$B$50:$F$54,3,0)," ")</f>
        <v>4503</v>
      </c>
      <c r="W617" s="160">
        <f>IFERROR(VLOOKUP(N617,TD!$B$50:$F$54,4,0)," ")</f>
        <v>20240255</v>
      </c>
      <c r="X617" s="171">
        <v>14</v>
      </c>
      <c r="Y617" s="160" t="str">
        <f>IFERROR(VLOOKUP(X617,TD!$J$51:$K$64,2,0)," ")</f>
        <v xml:space="preserve">Infraestructura física misional construida mantenida y dotada </v>
      </c>
      <c r="Z617" s="172" t="str">
        <f>CONCATENATE(X617,"-",Y617)</f>
        <v xml:space="preserve">14-Infraestructura física misional construida mantenida y dotada </v>
      </c>
      <c r="AA617" s="171" t="s">
        <v>225</v>
      </c>
      <c r="AB617" s="160" t="str">
        <f>IFERROR(VLOOKUP(AA617,TD!$N$51:$O$66,2,0)," ")</f>
        <v>Estaciones de bomberos adecuadas</v>
      </c>
      <c r="AC617" s="161" t="str">
        <f>CONCATENATE(AA617,"_",AB617)</f>
        <v>014_Estaciones de bomberos adecuadas</v>
      </c>
      <c r="AD617" s="161" t="str">
        <f>CONCATENATE(Z617," ",AC617)</f>
        <v>14-Infraestructura física misional construida mantenida y dotada  014_Estaciones de bomberos adecuadas</v>
      </c>
      <c r="AE617" s="160" t="str">
        <f>CONCATENATE(U617,V617,W617,X617,AA617)</f>
        <v>O23011745032024025514014</v>
      </c>
      <c r="AF617" s="160" t="str">
        <f>IFERROR(VLOOKUP(AD617,TD!$J$66:$K$89,2,0)," ")</f>
        <v>PM/0131/0114/45030140255</v>
      </c>
      <c r="AG617" s="135" t="s">
        <v>385</v>
      </c>
      <c r="AH617" s="168" t="s">
        <v>193</v>
      </c>
      <c r="AI617" s="177" t="str">
        <f>CONCATENATE(PAA[[#This Row],[Id Interno]],"-",PAA[[#This Row],[tipo de Contrato (TH talento humano - B/S bienes y/o servicios)]],"-",S617,"-",T617,"-",PAA[[#This Row],[Objeto de la contratación]])</f>
        <v>20260589-TH-8173-7-Prestación de servicios profesionales para apoyar las actividades jurídicas de la Subdirección de Gestión Corporativa-SGC</v>
      </c>
    </row>
    <row r="618" spans="2:35" ht="70" x14ac:dyDescent="0.35">
      <c r="B618" s="149">
        <v>20260590</v>
      </c>
      <c r="C618" s="99" t="s">
        <v>715</v>
      </c>
      <c r="D618" s="23" t="s">
        <v>105</v>
      </c>
      <c r="E618" s="23" t="s">
        <v>363</v>
      </c>
      <c r="F618" s="23" t="s">
        <v>145</v>
      </c>
      <c r="G618" s="129" t="s">
        <v>373</v>
      </c>
      <c r="H618" s="136">
        <v>6</v>
      </c>
      <c r="I618" s="136">
        <v>0</v>
      </c>
      <c r="J618" s="127">
        <v>19705968</v>
      </c>
      <c r="K618" s="88" t="s">
        <v>398</v>
      </c>
      <c r="L618" s="156" t="s">
        <v>155</v>
      </c>
      <c r="M618" s="159" t="s">
        <v>422</v>
      </c>
      <c r="N618" s="23" t="s">
        <v>197</v>
      </c>
      <c r="O618" s="151" t="s">
        <v>963</v>
      </c>
      <c r="P618" s="159" t="s">
        <v>348</v>
      </c>
      <c r="Q618" s="53" t="s">
        <v>783</v>
      </c>
      <c r="R618" s="159" t="s">
        <v>207</v>
      </c>
      <c r="S618" s="159" t="str">
        <f>MID(PAA[[#This Row],[Meta Proyecto de Inversión]],1,4)</f>
        <v>8126</v>
      </c>
      <c r="T618" s="159" t="str">
        <f>MID(PAA[[#This Row],[Meta Proyecto de Inversión]],6,1)</f>
        <v>8</v>
      </c>
      <c r="U618" s="160" t="str">
        <f>IFERROR(VLOOKUP(N618,TD!$B$50:$F$54,2,0)," ")</f>
        <v>O230117</v>
      </c>
      <c r="V618" s="160" t="str">
        <f>IFERROR(VLOOKUP(N618,TD!$B$50:$F$54,3,0)," ")</f>
        <v>4599</v>
      </c>
      <c r="W618" s="160">
        <f>IFERROR(VLOOKUP(N618,TD!$B$50:$F$54,4,0)," ")</f>
        <v>20240207</v>
      </c>
      <c r="X618" s="171" t="s">
        <v>174</v>
      </c>
      <c r="Y618" s="160" t="str">
        <f>IFERROR(VLOOKUP(X618,TD!$J$51:$K$64,2,0)," ")</f>
        <v>Infraestructura física, mantenimiento y dotación (Sedes construidas, mantenidas reforzadas)</v>
      </c>
      <c r="Z618" s="172" t="str">
        <f>CONCATENATE(X618,"-",Y618)</f>
        <v>08-Infraestructura física, mantenimiento y dotación (Sedes construidas, mantenidas reforzadas)</v>
      </c>
      <c r="AA618" s="171" t="s">
        <v>227</v>
      </c>
      <c r="AB618" s="160" t="str">
        <f>IFERROR(VLOOKUP(AA618,TD!$N$51:$O$66,2,0)," ")</f>
        <v>Sedes mantenidas</v>
      </c>
      <c r="AC618" s="161" t="str">
        <f>CONCATENATE(AA618,"_",AB618)</f>
        <v>016_Sedes mantenidas</v>
      </c>
      <c r="AD618" s="161" t="str">
        <f>CONCATENATE(Z618," ",AC618)</f>
        <v>08-Infraestructura física, mantenimiento y dotación (Sedes construidas, mantenidas reforzadas) 016_Sedes mantenidas</v>
      </c>
      <c r="AE618" s="160" t="str">
        <f>CONCATENATE(U618,V618,W618,X618,AA618)</f>
        <v>O23011745992024020708016</v>
      </c>
      <c r="AF618" s="160" t="str">
        <f>IFERROR(VLOOKUP(AD618,TD!$J$66:$K$89,2,0)," ")</f>
        <v>PM/0131/0108/45990160207</v>
      </c>
      <c r="AG618" s="135" t="s">
        <v>385</v>
      </c>
      <c r="AH618" s="168" t="s">
        <v>193</v>
      </c>
      <c r="AI618" s="178" t="str">
        <f>CONCATENATE(PAA[[#This Row],[Id Interno]],"-",PAA[[#This Row],[tipo de Contrato (TH talento humano - B/S bienes y/o servicios)]],"-",S618,"-",T618,"-",PAA[[#This Row],[Objeto de la contratación]])</f>
        <v>20260590-TH-8126-8-Prestación de servicios de apoyo a la gestión, en la Subdirección de Gestión Corporativa en temas de infraestructura para el sostenimiento y mejoramiento de los equipamientos de la Unidad Administrativa Especial Cuerpo Oficial de Bomberos de Bogotá-SGC</v>
      </c>
    </row>
    <row r="619" spans="2:35" ht="84" x14ac:dyDescent="0.35">
      <c r="B619" s="142">
        <v>20260592</v>
      </c>
      <c r="C619" s="121" t="s">
        <v>696</v>
      </c>
      <c r="D619" s="130" t="s">
        <v>105</v>
      </c>
      <c r="E619" s="130" t="s">
        <v>363</v>
      </c>
      <c r="F619" s="130" t="s">
        <v>145</v>
      </c>
      <c r="G619" s="131" t="s">
        <v>373</v>
      </c>
      <c r="H619" s="137">
        <v>6</v>
      </c>
      <c r="I619" s="137">
        <v>0</v>
      </c>
      <c r="J619" s="132">
        <v>19705968</v>
      </c>
      <c r="K619" s="133" t="s">
        <v>398</v>
      </c>
      <c r="L619" s="173" t="s">
        <v>155</v>
      </c>
      <c r="M619" s="171" t="s">
        <v>422</v>
      </c>
      <c r="N619" s="130" t="s">
        <v>197</v>
      </c>
      <c r="O619" s="240" t="s">
        <v>963</v>
      </c>
      <c r="P619" s="171" t="s">
        <v>348</v>
      </c>
      <c r="Q619" s="134" t="s">
        <v>783</v>
      </c>
      <c r="R619" s="171" t="s">
        <v>208</v>
      </c>
      <c r="S619" s="171" t="str">
        <f>MID(PAA[[#This Row],[Meta Proyecto de Inversión]],1,4)</f>
        <v>8126</v>
      </c>
      <c r="T619" s="171" t="str">
        <f>MID(PAA[[#This Row],[Meta Proyecto de Inversión]],6,1)</f>
        <v>9</v>
      </c>
      <c r="U619" s="174" t="str">
        <f>IFERROR(VLOOKUP(N619,TD!$B$50:$F$54,2,0)," ")</f>
        <v>O230117</v>
      </c>
      <c r="V619" s="174" t="str">
        <f>IFERROR(VLOOKUP(N619,TD!$B$50:$F$54,3,0)," ")</f>
        <v>4599</v>
      </c>
      <c r="W619" s="174">
        <f>IFERROR(VLOOKUP(N619,TD!$B$50:$F$54,4,0)," ")</f>
        <v>20240207</v>
      </c>
      <c r="X619" s="171" t="s">
        <v>174</v>
      </c>
      <c r="Y619" s="160" t="str">
        <f>IFERROR(VLOOKUP(X619,TD!$J$51:$K$64,2,0)," ")</f>
        <v>Infraestructura física, mantenimiento y dotación (Sedes construidas, mantenidas reforzadas)</v>
      </c>
      <c r="Z619" s="172" t="str">
        <f>CONCATENATE(X619,"-",Y619)</f>
        <v>08-Infraestructura física, mantenimiento y dotación (Sedes construidas, mantenidas reforzadas)</v>
      </c>
      <c r="AA619" s="171" t="s">
        <v>227</v>
      </c>
      <c r="AB619" s="160" t="str">
        <f>IFERROR(VLOOKUP(AA619,TD!$N$51:$O$66,2,0)," ")</f>
        <v>Sedes mantenidas</v>
      </c>
      <c r="AC619" s="172" t="str">
        <f>CONCATENATE(AA619,"_",AB619)</f>
        <v>016_Sedes mantenidas</v>
      </c>
      <c r="AD619" s="172" t="str">
        <f>CONCATENATE(Z619," ",AC619)</f>
        <v>08-Infraestructura física, mantenimiento y dotación (Sedes construidas, mantenidas reforzadas) 016_Sedes mantenidas</v>
      </c>
      <c r="AE619" s="174" t="str">
        <f>CONCATENATE(U619,V619,W619,X619,AA619)</f>
        <v>O23011745992024020708016</v>
      </c>
      <c r="AF619" s="160" t="str">
        <f>IFERROR(VLOOKUP(AD619,TD!$J$66:$K$89,2,0)," ")</f>
        <v>PM/0131/0108/45990160207</v>
      </c>
      <c r="AG619" s="135" t="s">
        <v>385</v>
      </c>
      <c r="AH619" s="176" t="s">
        <v>193</v>
      </c>
      <c r="AI619" s="177" t="str">
        <f>CONCATENATE(PAA[[#This Row],[Id Interno]],"-",PAA[[#This Row],[tipo de Contrato (TH talento humano - B/S bienes y/o servicios)]],"-",S619,"-",T619,"-",PAA[[#This Row],[Objeto de la contratación]])</f>
        <v>20260592-TH-8126-9-Prestación de servicios de apoyo a la gestión del proceso de inventarios de la Subdirección de Gestión Corporativa.-SGC</v>
      </c>
    </row>
    <row r="620" spans="2:35" ht="56" x14ac:dyDescent="0.35">
      <c r="B620" s="142">
        <v>20260594</v>
      </c>
      <c r="C620" s="121" t="s">
        <v>952</v>
      </c>
      <c r="D620" s="130" t="s">
        <v>105</v>
      </c>
      <c r="E620" s="130" t="s">
        <v>363</v>
      </c>
      <c r="F620" s="130" t="s">
        <v>144</v>
      </c>
      <c r="G620" s="131" t="s">
        <v>373</v>
      </c>
      <c r="H620" s="137">
        <v>10</v>
      </c>
      <c r="I620" s="137">
        <v>0</v>
      </c>
      <c r="J620" s="132">
        <v>51610870</v>
      </c>
      <c r="K620" s="133" t="s">
        <v>398</v>
      </c>
      <c r="L620" s="173" t="s">
        <v>155</v>
      </c>
      <c r="M620" s="171" t="s">
        <v>422</v>
      </c>
      <c r="N620" s="130" t="s">
        <v>197</v>
      </c>
      <c r="O620" s="151" t="s">
        <v>963</v>
      </c>
      <c r="P620" s="171" t="s">
        <v>348</v>
      </c>
      <c r="Q620" s="134" t="s">
        <v>783</v>
      </c>
      <c r="R620" s="171" t="s">
        <v>208</v>
      </c>
      <c r="S620" s="171" t="str">
        <f>MID(PAA[[#This Row],[Meta Proyecto de Inversión]],1,4)</f>
        <v>8126</v>
      </c>
      <c r="T620" s="171" t="str">
        <f>MID(PAA[[#This Row],[Meta Proyecto de Inversión]],6,1)</f>
        <v>9</v>
      </c>
      <c r="U620" s="174" t="str">
        <f>IFERROR(VLOOKUP(N620,TD!$B$50:$F$54,2,0)," ")</f>
        <v>O230117</v>
      </c>
      <c r="V620" s="174" t="str">
        <f>IFERROR(VLOOKUP(N620,TD!$B$50:$F$54,3,0)," ")</f>
        <v>4599</v>
      </c>
      <c r="W620" s="174">
        <f>IFERROR(VLOOKUP(N620,TD!$B$50:$F$54,4,0)," ")</f>
        <v>20240207</v>
      </c>
      <c r="X620" s="171" t="s">
        <v>174</v>
      </c>
      <c r="Y620" s="160" t="str">
        <f>IFERROR(VLOOKUP(X620,TD!$J$51:$K$64,2,0)," ")</f>
        <v>Infraestructura física, mantenimiento y dotación (Sedes construidas, mantenidas reforzadas)</v>
      </c>
      <c r="Z620" s="172" t="str">
        <f>CONCATENATE(X620,"-",Y620)</f>
        <v>08-Infraestructura física, mantenimiento y dotación (Sedes construidas, mantenidas reforzadas)</v>
      </c>
      <c r="AA620" s="171" t="s">
        <v>227</v>
      </c>
      <c r="AB620" s="160" t="str">
        <f>IFERROR(VLOOKUP(AA620,TD!$N$51:$O$66,2,0)," ")</f>
        <v>Sedes mantenidas</v>
      </c>
      <c r="AC620" s="172" t="str">
        <f>CONCATENATE(AA620,"_",AB620)</f>
        <v>016_Sedes mantenidas</v>
      </c>
      <c r="AD620" s="172" t="str">
        <f>CONCATENATE(Z620," ",AC620)</f>
        <v>08-Infraestructura física, mantenimiento y dotación (Sedes construidas, mantenidas reforzadas) 016_Sedes mantenidas</v>
      </c>
      <c r="AE620" s="174" t="str">
        <f>CONCATENATE(U620,V620,W620,X620,AA620)</f>
        <v>O23011745992024020708016</v>
      </c>
      <c r="AF620" s="160" t="str">
        <f>IFERROR(VLOOKUP(AD620,TD!$J$66:$K$89,2,0)," ")</f>
        <v>PM/0131/0108/45990160207</v>
      </c>
      <c r="AG620" s="135" t="s">
        <v>385</v>
      </c>
      <c r="AH620" s="176" t="s">
        <v>193</v>
      </c>
      <c r="AI620" s="177" t="str">
        <f>CONCATENATE(PAA[[#This Row],[Id Interno]],"-",PAA[[#This Row],[tipo de Contrato (TH talento humano - B/S bienes y/o servicios)]],"-",S620,"-",T620,"-",PAA[[#This Row],[Objeto de la contratación]])</f>
        <v>20260594-TH-8126-9-Prestación de servicios profesionales, en temas jurídicos de la gestión administrativa a cargo de la Subdirección de Gestión Corporativa.- SGC</v>
      </c>
    </row>
    <row r="621" spans="2:35" ht="56" x14ac:dyDescent="0.35">
      <c r="B621" s="142">
        <v>20260595</v>
      </c>
      <c r="C621" s="121" t="s">
        <v>953</v>
      </c>
      <c r="D621" s="130" t="s">
        <v>88</v>
      </c>
      <c r="E621" s="130" t="s">
        <v>402</v>
      </c>
      <c r="F621" s="130" t="s">
        <v>136</v>
      </c>
      <c r="G621" s="131" t="s">
        <v>374</v>
      </c>
      <c r="H621" s="137">
        <v>0</v>
      </c>
      <c r="I621" s="137">
        <v>0</v>
      </c>
      <c r="J621" s="132">
        <v>20000000</v>
      </c>
      <c r="K621" s="133" t="s">
        <v>398</v>
      </c>
      <c r="L621" s="173" t="s">
        <v>155</v>
      </c>
      <c r="M621" s="171" t="s">
        <v>422</v>
      </c>
      <c r="N621" s="130" t="s">
        <v>197</v>
      </c>
      <c r="O621" s="151" t="s">
        <v>963</v>
      </c>
      <c r="P621" s="171" t="s">
        <v>348</v>
      </c>
      <c r="Q621" s="134" t="s">
        <v>786</v>
      </c>
      <c r="R621" s="171" t="s">
        <v>207</v>
      </c>
      <c r="S621" s="171" t="str">
        <f>MID(PAA[[#This Row],[Meta Proyecto de Inversión]],1,4)</f>
        <v>8126</v>
      </c>
      <c r="T621" s="171" t="str">
        <f>MID(PAA[[#This Row],[Meta Proyecto de Inversión]],6,1)</f>
        <v>8</v>
      </c>
      <c r="U621" s="174" t="str">
        <f>IFERROR(VLOOKUP(N621,TD!$B$50:$F$54,2,0)," ")</f>
        <v>O230117</v>
      </c>
      <c r="V621" s="174" t="str">
        <f>IFERROR(VLOOKUP(N621,TD!$B$50:$F$54,3,0)," ")</f>
        <v>4599</v>
      </c>
      <c r="W621" s="174">
        <f>IFERROR(VLOOKUP(N621,TD!$B$50:$F$54,4,0)," ")</f>
        <v>20240207</v>
      </c>
      <c r="X621" s="171" t="s">
        <v>174</v>
      </c>
      <c r="Y621" s="160" t="str">
        <f>IFERROR(VLOOKUP(X621,TD!$J$51:$K$64,2,0)," ")</f>
        <v>Infraestructura física, mantenimiento y dotación (Sedes construidas, mantenidas reforzadas)</v>
      </c>
      <c r="Z621" s="172" t="str">
        <f>CONCATENATE(X621,"-",Y621)</f>
        <v>08-Infraestructura física, mantenimiento y dotación (Sedes construidas, mantenidas reforzadas)</v>
      </c>
      <c r="AA621" s="171" t="s">
        <v>227</v>
      </c>
      <c r="AB621" s="160" t="str">
        <f>IFERROR(VLOOKUP(AA621,TD!$N$51:$O$66,2,0)," ")</f>
        <v>Sedes mantenidas</v>
      </c>
      <c r="AC621" s="172" t="str">
        <f>CONCATENATE(AA621,"_",AB621)</f>
        <v>016_Sedes mantenidas</v>
      </c>
      <c r="AD621" s="172" t="str">
        <f>CONCATENATE(Z621," ",AC621)</f>
        <v>08-Infraestructura física, mantenimiento y dotación (Sedes construidas, mantenidas reforzadas) 016_Sedes mantenidas</v>
      </c>
      <c r="AE621" s="174" t="str">
        <f>CONCATENATE(U621,V621,W621,X621,AA621)</f>
        <v>O23011745992024020708016</v>
      </c>
      <c r="AF621" s="160" t="str">
        <f>IFERROR(VLOOKUP(AD621,TD!$J$66:$K$89,2,0)," ")</f>
        <v>PM/0131/0108/45990160207</v>
      </c>
      <c r="AG621" s="135" t="s">
        <v>80</v>
      </c>
      <c r="AH621" s="176" t="s">
        <v>194</v>
      </c>
      <c r="AI621" s="177" t="str">
        <f>CONCATENATE(PAA[[#This Row],[Id Interno]],"-",PAA[[#This Row],[tipo de Contrato (TH talento humano - B/S bienes y/o servicios)]],"-",S621,"-",T621,"-",PAA[[#This Row],[Objeto de la contratación]])</f>
        <v>20260595-BS-8126-8-Adición No. 1 al contrato 698 de 2025 que tiene como objeto “Mantenimiento preventivo y/o correctivo, suministros y repuestos de los equipos gasodomésticos y solares y adecuaciones de las redes de gas natural para las Estaciones de la Unidad Administrativa Especial Cuerpo Oficial de Bomberos Bogotá -SGC</v>
      </c>
    </row>
    <row r="622" spans="2:35" ht="56" x14ac:dyDescent="0.35">
      <c r="B622" s="142">
        <v>20260596</v>
      </c>
      <c r="C622" s="121" t="s">
        <v>954</v>
      </c>
      <c r="D622" s="130" t="s">
        <v>78</v>
      </c>
      <c r="E622" s="130" t="s">
        <v>402</v>
      </c>
      <c r="F622" s="130" t="s">
        <v>133</v>
      </c>
      <c r="G622" s="131" t="s">
        <v>376</v>
      </c>
      <c r="H622" s="137">
        <v>3</v>
      </c>
      <c r="I622" s="137">
        <v>12</v>
      </c>
      <c r="J622" s="132">
        <v>2066812200</v>
      </c>
      <c r="K622" s="133" t="s">
        <v>398</v>
      </c>
      <c r="L622" s="173" t="s">
        <v>155</v>
      </c>
      <c r="M622" s="171" t="s">
        <v>422</v>
      </c>
      <c r="N622" s="130" t="s">
        <v>330</v>
      </c>
      <c r="O622" s="240" t="s">
        <v>963</v>
      </c>
      <c r="P622" s="171" t="s">
        <v>161</v>
      </c>
      <c r="Q622" s="134" t="s">
        <v>807</v>
      </c>
      <c r="R622" s="171" t="s">
        <v>331</v>
      </c>
      <c r="S622" s="171" t="str">
        <f>MID(PAA[[#This Row],[Meta Proyecto de Inversión]],1,4)</f>
        <v>No a</v>
      </c>
      <c r="T622" s="171" t="str">
        <f>MID(PAA[[#This Row],[Meta Proyecto de Inversión]],6,1)</f>
        <v>l</v>
      </c>
      <c r="U622" s="174" t="str">
        <f>IFERROR(VLOOKUP(N622,TD!$B$50:$F$54,2,0)," ")</f>
        <v>NA</v>
      </c>
      <c r="V622" s="174" t="str">
        <f>IFERROR(VLOOKUP(N622,TD!$B$50:$F$54,3,0)," ")</f>
        <v>NA</v>
      </c>
      <c r="W622" s="174" t="str">
        <f>IFERROR(VLOOKUP(N622,TD!$B$50:$F$54,4,0)," ")</f>
        <v>NA</v>
      </c>
      <c r="X622" s="171" t="s">
        <v>335</v>
      </c>
      <c r="Y622" s="160" t="str">
        <f>IFERROR(VLOOKUP(X622,TD!$J$51:$K$64,2,0)," ")</f>
        <v>N/A</v>
      </c>
      <c r="Z622" s="172" t="str">
        <f>CONCATENATE(X622,"-",Y622)</f>
        <v>N/A-N/A</v>
      </c>
      <c r="AA622" s="171" t="s">
        <v>335</v>
      </c>
      <c r="AB622" s="160" t="str">
        <f>IFERROR(VLOOKUP(AA622,TD!$N$51:$O$66,2,0)," ")</f>
        <v>N/A</v>
      </c>
      <c r="AC622" s="172" t="str">
        <f>CONCATENATE(AA622,"_",AB622)</f>
        <v>N/A_N/A</v>
      </c>
      <c r="AD622" s="172" t="str">
        <f>CONCATENATE(Z622," ",AC622)</f>
        <v>N/A-N/A N/A_N/A</v>
      </c>
      <c r="AE622" s="174" t="str">
        <f>CONCATENATE(U622,V622,W622,X622,AA622)</f>
        <v>NANANAN/AN/A</v>
      </c>
      <c r="AF622" s="160" t="str">
        <f>IFERROR(VLOOKUP(AD622,TD!$J$66:$K$89,2,0)," ")</f>
        <v>N/A</v>
      </c>
      <c r="AG622" s="135" t="s">
        <v>332</v>
      </c>
      <c r="AH622" s="176" t="s">
        <v>194</v>
      </c>
      <c r="AI622" s="177" t="str">
        <f>CONCATENATE(PAA[[#This Row],[Id Interno]],"-",PAA[[#This Row],[tipo de Contrato (TH talento humano - B/S bienes y/o servicios)]],"-",S622,"-",T622,"-",PAA[[#This Row],[Objeto de la contratación]])</f>
        <v>20260596-BS-No a-l-Adición No. 1 al contrato 501 de 2025 que tiene como objeto “ Seleccionar propuesta para contratar con una o varias compañías de seguros legalmente autorizadas para funcionar en el país, los seguros patrimoniales, generales y personas requeridos para la adecuada protección de los bienes e intereses patrimoniales de la UNIDAD ADMINISTRATIVA ESPECIAL CUERPO OFICIAL BOMBEROS BOGOTA, así como de aquellos por los que sea o fuere legalmente responsable o le corresponda asegurar en virtud de disposición legal o contractual-SGC</v>
      </c>
    </row>
    <row r="623" spans="2:35" ht="70" x14ac:dyDescent="0.35">
      <c r="B623" s="142">
        <v>20260597</v>
      </c>
      <c r="C623" s="121" t="s">
        <v>955</v>
      </c>
      <c r="D623" s="130" t="s">
        <v>83</v>
      </c>
      <c r="E623" s="130" t="s">
        <v>402</v>
      </c>
      <c r="F623" s="130" t="s">
        <v>133</v>
      </c>
      <c r="G623" s="131" t="s">
        <v>378</v>
      </c>
      <c r="H623" s="137">
        <v>0</v>
      </c>
      <c r="I623" s="137">
        <v>365</v>
      </c>
      <c r="J623" s="132">
        <v>60000000</v>
      </c>
      <c r="K623" s="133" t="s">
        <v>398</v>
      </c>
      <c r="L623" s="173" t="s">
        <v>155</v>
      </c>
      <c r="M623" s="171" t="s">
        <v>422</v>
      </c>
      <c r="N623" s="130" t="s">
        <v>330</v>
      </c>
      <c r="O623" s="240" t="s">
        <v>963</v>
      </c>
      <c r="P623" s="171" t="s">
        <v>161</v>
      </c>
      <c r="Q623" s="134" t="s">
        <v>807</v>
      </c>
      <c r="R623" s="171" t="s">
        <v>331</v>
      </c>
      <c r="S623" s="171" t="str">
        <f>MID(PAA[[#This Row],[Meta Proyecto de Inversión]],1,4)</f>
        <v>No a</v>
      </c>
      <c r="T623" s="171" t="str">
        <f>MID(PAA[[#This Row],[Meta Proyecto de Inversión]],6,1)</f>
        <v>l</v>
      </c>
      <c r="U623" s="174" t="str">
        <f>IFERROR(VLOOKUP(N623,TD!$B$50:$F$54,2,0)," ")</f>
        <v>NA</v>
      </c>
      <c r="V623" s="174" t="str">
        <f>IFERROR(VLOOKUP(N623,TD!$B$50:$F$54,3,0)," ")</f>
        <v>NA</v>
      </c>
      <c r="W623" s="174" t="str">
        <f>IFERROR(VLOOKUP(N623,TD!$B$50:$F$54,4,0)," ")</f>
        <v>NA</v>
      </c>
      <c r="X623" s="171" t="s">
        <v>335</v>
      </c>
      <c r="Y623" s="160" t="str">
        <f>IFERROR(VLOOKUP(X623,TD!$J$51:$K$64,2,0)," ")</f>
        <v>N/A</v>
      </c>
      <c r="Z623" s="172" t="str">
        <f>CONCATENATE(X623,"-",Y623)</f>
        <v>N/A-N/A</v>
      </c>
      <c r="AA623" s="171" t="s">
        <v>335</v>
      </c>
      <c r="AB623" s="160" t="str">
        <f>IFERROR(VLOOKUP(AA623,TD!$N$51:$O$66,2,0)," ")</f>
        <v>N/A</v>
      </c>
      <c r="AC623" s="172" t="str">
        <f>CONCATENATE(AA623,"_",AB623)</f>
        <v>N/A_N/A</v>
      </c>
      <c r="AD623" s="172" t="str">
        <f>CONCATENATE(Z623," ",AC623)</f>
        <v>N/A-N/A N/A_N/A</v>
      </c>
      <c r="AE623" s="174" t="str">
        <f>CONCATENATE(U623,V623,W623,X623,AA623)</f>
        <v>NANANAN/AN/A</v>
      </c>
      <c r="AF623" s="160" t="str">
        <f>IFERROR(VLOOKUP(AD623,TD!$J$66:$K$89,2,0)," ")</f>
        <v>N/A</v>
      </c>
      <c r="AG623" s="135" t="s">
        <v>332</v>
      </c>
      <c r="AH623" s="176" t="s">
        <v>194</v>
      </c>
      <c r="AI623" s="177" t="str">
        <f>CONCATENATE(PAA[[#This Row],[Id Interno]],"-",PAA[[#This Row],[tipo de Contrato (TH talento humano - B/S bienes y/o servicios)]],"-",S623,"-",T623,"-",PAA[[#This Row],[Objeto de la contratación]])</f>
        <v>20260597-BS-No a-l- Adición No. 1 al contrato 578 de 2025 que tiene como objeto “  Contratar los seguros obligatorios "SOAT" para el parque automotor de propiedad de la Unidad Administrativa Especial Cuerpo Oficial de Bomberos Bogotá D.C y de aquellos por los cuales fuere legalmente responsable-SGC</v>
      </c>
    </row>
    <row r="624" spans="2:35" ht="42" x14ac:dyDescent="0.35">
      <c r="B624" s="149">
        <v>20260598</v>
      </c>
      <c r="C624" s="99" t="s">
        <v>956</v>
      </c>
      <c r="D624" s="23" t="s">
        <v>114</v>
      </c>
      <c r="E624" s="23" t="s">
        <v>402</v>
      </c>
      <c r="F624" s="23" t="s">
        <v>89</v>
      </c>
      <c r="G624" s="129" t="s">
        <v>373</v>
      </c>
      <c r="H624" s="136">
        <v>1</v>
      </c>
      <c r="I624" s="136">
        <v>0</v>
      </c>
      <c r="J624" s="127">
        <v>45000000</v>
      </c>
      <c r="K624" s="88" t="s">
        <v>398</v>
      </c>
      <c r="L624" s="156" t="s">
        <v>155</v>
      </c>
      <c r="M624" s="159" t="s">
        <v>422</v>
      </c>
      <c r="N624" s="23" t="s">
        <v>197</v>
      </c>
      <c r="O624" s="240" t="s">
        <v>963</v>
      </c>
      <c r="P624" s="159" t="s">
        <v>348</v>
      </c>
      <c r="Q624" s="53" t="s">
        <v>784</v>
      </c>
      <c r="R624" s="159" t="s">
        <v>207</v>
      </c>
      <c r="S624" s="159" t="str">
        <f>MID(PAA[[#This Row],[Meta Proyecto de Inversión]],1,4)</f>
        <v>8126</v>
      </c>
      <c r="T624" s="159" t="str">
        <f>MID(PAA[[#This Row],[Meta Proyecto de Inversión]],6,1)</f>
        <v>8</v>
      </c>
      <c r="U624" s="160" t="str">
        <f>IFERROR(VLOOKUP(N624,TD!$B$50:$F$54,2,0)," ")</f>
        <v>O230117</v>
      </c>
      <c r="V624" s="160" t="str">
        <f>IFERROR(VLOOKUP(N624,TD!$B$50:$F$54,3,0)," ")</f>
        <v>4599</v>
      </c>
      <c r="W624" s="160">
        <f>IFERROR(VLOOKUP(N624,TD!$B$50:$F$54,4,0)," ")</f>
        <v>20240207</v>
      </c>
      <c r="X624" s="171" t="s">
        <v>174</v>
      </c>
      <c r="Y624" s="160" t="str">
        <f>IFERROR(VLOOKUP(X624,TD!$J$51:$K$64,2,0)," ")</f>
        <v>Infraestructura física, mantenimiento y dotación (Sedes construidas, mantenidas reforzadas)</v>
      </c>
      <c r="Z624" s="172" t="str">
        <f>CONCATENATE(X624,"-",Y624)</f>
        <v>08-Infraestructura física, mantenimiento y dotación (Sedes construidas, mantenidas reforzadas)</v>
      </c>
      <c r="AA624" s="171" t="s">
        <v>227</v>
      </c>
      <c r="AB624" s="160" t="str">
        <f>IFERROR(VLOOKUP(AA624,TD!$N$51:$O$66,2,0)," ")</f>
        <v>Sedes mantenidas</v>
      </c>
      <c r="AC624" s="161" t="str">
        <f>CONCATENATE(AA624,"_",AB624)</f>
        <v>016_Sedes mantenidas</v>
      </c>
      <c r="AD624" s="161" t="str">
        <f>CONCATENATE(Z624," ",AC624)</f>
        <v>08-Infraestructura física, mantenimiento y dotación (Sedes construidas, mantenidas reforzadas) 016_Sedes mantenidas</v>
      </c>
      <c r="AE624" s="160" t="str">
        <f>CONCATENATE(U624,V624,W624,X624,AA624)</f>
        <v>O23011745992024020708016</v>
      </c>
      <c r="AF624" s="160" t="str">
        <f>IFERROR(VLOOKUP(AD624,TD!$J$66:$K$89,2,0)," ")</f>
        <v>PM/0131/0108/45990160207</v>
      </c>
      <c r="AG624" s="118" t="s">
        <v>134</v>
      </c>
      <c r="AH624" s="168" t="s">
        <v>194</v>
      </c>
      <c r="AI624" s="177" t="str">
        <f>CONCATENATE(PAA[[#This Row],[Id Interno]],"-",PAA[[#This Row],[tipo de Contrato (TH talento humano - B/S bienes y/o servicios)]],"-",S624,"-",T624,"-",PAA[[#This Row],[Objeto de la contratación]])</f>
        <v>20260598-BS-8126-8-Adición y prórroga No. 2 al contrato 597 de 2025  que tiene como objeto " Contratar la prestación del servicio de aseo y cafetería incluido insumos para la UAE Cuerpo Oficial de Bomberos -SGC</v>
      </c>
    </row>
    <row r="625" spans="2:35" ht="84" x14ac:dyDescent="0.35">
      <c r="B625" s="142">
        <v>20260599</v>
      </c>
      <c r="C625" s="121" t="s">
        <v>956</v>
      </c>
      <c r="D625" s="130" t="s">
        <v>114</v>
      </c>
      <c r="E625" s="130" t="s">
        <v>402</v>
      </c>
      <c r="F625" s="130" t="s">
        <v>89</v>
      </c>
      <c r="G625" s="131" t="s">
        <v>373</v>
      </c>
      <c r="H625" s="137">
        <v>1</v>
      </c>
      <c r="I625" s="137">
        <v>0</v>
      </c>
      <c r="J625" s="132">
        <v>45000000</v>
      </c>
      <c r="K625" s="133" t="s">
        <v>398</v>
      </c>
      <c r="L625" s="173" t="s">
        <v>155</v>
      </c>
      <c r="M625" s="171" t="s">
        <v>422</v>
      </c>
      <c r="N625" s="130" t="s">
        <v>330</v>
      </c>
      <c r="O625" s="240" t="s">
        <v>963</v>
      </c>
      <c r="P625" s="171" t="s">
        <v>161</v>
      </c>
      <c r="Q625" s="134" t="s">
        <v>784</v>
      </c>
      <c r="R625" s="171" t="s">
        <v>331</v>
      </c>
      <c r="S625" s="171" t="str">
        <f>MID(PAA[[#This Row],[Meta Proyecto de Inversión]],1,4)</f>
        <v>No a</v>
      </c>
      <c r="T625" s="171" t="str">
        <f>MID(PAA[[#This Row],[Meta Proyecto de Inversión]],6,1)</f>
        <v>l</v>
      </c>
      <c r="U625" s="174" t="str">
        <f>IFERROR(VLOOKUP(N625,TD!$B$50:$F$54,2,0)," ")</f>
        <v>NA</v>
      </c>
      <c r="V625" s="174" t="str">
        <f>IFERROR(VLOOKUP(N625,TD!$B$50:$F$54,3,0)," ")</f>
        <v>NA</v>
      </c>
      <c r="W625" s="174" t="str">
        <f>IFERROR(VLOOKUP(N625,TD!$B$50:$F$54,4,0)," ")</f>
        <v>NA</v>
      </c>
      <c r="X625" s="171" t="s">
        <v>335</v>
      </c>
      <c r="Y625" s="160" t="str">
        <f>IFERROR(VLOOKUP(X625,TD!$J$51:$K$64,2,0)," ")</f>
        <v>N/A</v>
      </c>
      <c r="Z625" s="172" t="str">
        <f>CONCATENATE(X625,"-",Y625)</f>
        <v>N/A-N/A</v>
      </c>
      <c r="AA625" s="171" t="s">
        <v>335</v>
      </c>
      <c r="AB625" s="160" t="str">
        <f>IFERROR(VLOOKUP(AA625,TD!$N$51:$O$66,2,0)," ")</f>
        <v>N/A</v>
      </c>
      <c r="AC625" s="172" t="str">
        <f>CONCATENATE(AA625,"_",AB625)</f>
        <v>N/A_N/A</v>
      </c>
      <c r="AD625" s="172" t="str">
        <f>CONCATENATE(Z625," ",AC625)</f>
        <v>N/A-N/A N/A_N/A</v>
      </c>
      <c r="AE625" s="174" t="str">
        <f>CONCATENATE(U625,V625,W625,X625,AA625)</f>
        <v>NANANAN/AN/A</v>
      </c>
      <c r="AF625" s="160" t="str">
        <f>IFERROR(VLOOKUP(AD625,TD!$J$66:$K$89,2,0)," ")</f>
        <v>N/A</v>
      </c>
      <c r="AG625" s="118" t="s">
        <v>332</v>
      </c>
      <c r="AH625" s="168" t="s">
        <v>194</v>
      </c>
      <c r="AI625" s="177" t="str">
        <f>CONCATENATE(PAA[[#This Row],[Id Interno]],"-",PAA[[#This Row],[tipo de Contrato (TH talento humano - B/S bienes y/o servicios)]],"-",S625,"-",T625,"-",PAA[[#This Row],[Objeto de la contratación]])</f>
        <v>20260599-BS-No a-l-Adición y prórroga No. 2 al contrato 597 de 2025  que tiene como objeto " Contratar la prestación del servicio de aseo y cafetería incluido insumos para la UAE Cuerpo Oficial de Bomberos -SGC</v>
      </c>
    </row>
    <row r="626" spans="2:35" ht="70" x14ac:dyDescent="0.35">
      <c r="B626" s="142">
        <v>20260600</v>
      </c>
      <c r="C626" s="121" t="s">
        <v>956</v>
      </c>
      <c r="D626" s="130" t="s">
        <v>114</v>
      </c>
      <c r="E626" s="130" t="s">
        <v>402</v>
      </c>
      <c r="F626" s="130" t="s">
        <v>89</v>
      </c>
      <c r="G626" s="131" t="s">
        <v>373</v>
      </c>
      <c r="H626" s="137">
        <v>1</v>
      </c>
      <c r="I626" s="137">
        <v>0</v>
      </c>
      <c r="J626" s="132">
        <v>25000000</v>
      </c>
      <c r="K626" s="133" t="s">
        <v>398</v>
      </c>
      <c r="L626" s="173" t="s">
        <v>155</v>
      </c>
      <c r="M626" s="171" t="s">
        <v>422</v>
      </c>
      <c r="N626" s="130" t="s">
        <v>330</v>
      </c>
      <c r="O626" s="240" t="s">
        <v>963</v>
      </c>
      <c r="P626" s="171" t="s">
        <v>161</v>
      </c>
      <c r="Q626" s="134" t="s">
        <v>784</v>
      </c>
      <c r="R626" s="159" t="s">
        <v>331</v>
      </c>
      <c r="S626" s="171" t="str">
        <f>MID(PAA[[#This Row],[Meta Proyecto de Inversión]],1,4)</f>
        <v>No a</v>
      </c>
      <c r="T626" s="171" t="str">
        <f>MID(PAA[[#This Row],[Meta Proyecto de Inversión]],6,1)</f>
        <v>l</v>
      </c>
      <c r="U626" s="174" t="str">
        <f>IFERROR(VLOOKUP(N626,TD!$B$50:$F$54,2,0)," ")</f>
        <v>NA</v>
      </c>
      <c r="V626" s="174" t="str">
        <f>IFERROR(VLOOKUP(N626,TD!$B$50:$F$54,3,0)," ")</f>
        <v>NA</v>
      </c>
      <c r="W626" s="174" t="str">
        <f>IFERROR(VLOOKUP(N626,TD!$B$50:$F$54,4,0)," ")</f>
        <v>NA</v>
      </c>
      <c r="X626" s="171" t="s">
        <v>335</v>
      </c>
      <c r="Y626" s="160" t="str">
        <f>IFERROR(VLOOKUP(X626,TD!$J$51:$K$64,2,0)," ")</f>
        <v>N/A</v>
      </c>
      <c r="Z626" s="172" t="str">
        <f>CONCATENATE(X626,"-",Y626)</f>
        <v>N/A-N/A</v>
      </c>
      <c r="AA626" s="171" t="s">
        <v>335</v>
      </c>
      <c r="AB626" s="160" t="str">
        <f>IFERROR(VLOOKUP(AA626,TD!$N$51:$O$66,2,0)," ")</f>
        <v>N/A</v>
      </c>
      <c r="AC626" s="172" t="str">
        <f>CONCATENATE(AA626,"_",AB626)</f>
        <v>N/A_N/A</v>
      </c>
      <c r="AD626" s="172" t="str">
        <f>CONCATENATE(Z626," ",AC626)</f>
        <v>N/A-N/A N/A_N/A</v>
      </c>
      <c r="AE626" s="174" t="str">
        <f>CONCATENATE(U626,V626,W626,X626,AA626)</f>
        <v>NANANAN/AN/A</v>
      </c>
      <c r="AF626" s="160" t="str">
        <f>IFERROR(VLOOKUP(AD626,TD!$J$66:$K$89,2,0)," ")</f>
        <v>N/A</v>
      </c>
      <c r="AG626" s="135" t="s">
        <v>332</v>
      </c>
      <c r="AH626" s="176" t="s">
        <v>194</v>
      </c>
      <c r="AI626" s="177" t="str">
        <f>CONCATENATE(PAA[[#This Row],[Id Interno]],"-",PAA[[#This Row],[tipo de Contrato (TH talento humano - B/S bienes y/o servicios)]],"-",S626,"-",T626,"-",PAA[[#This Row],[Objeto de la contratación]])</f>
        <v>20260600-BS-No a-l-Adición y prórroga No. 2 al contrato 597 de 2025  que tiene como objeto " Contratar la prestación del servicio de aseo y cafetería incluido insumos para la UAE Cuerpo Oficial de Bomberos -SGC</v>
      </c>
    </row>
    <row r="627" spans="2:35" ht="98" x14ac:dyDescent="0.35">
      <c r="B627" s="198">
        <v>20260601</v>
      </c>
      <c r="C627" s="121" t="s">
        <v>965</v>
      </c>
      <c r="D627" s="121" t="s">
        <v>966</v>
      </c>
      <c r="E627" s="121" t="s">
        <v>402</v>
      </c>
      <c r="F627" s="121" t="s">
        <v>966</v>
      </c>
      <c r="G627" s="131" t="s">
        <v>373</v>
      </c>
      <c r="H627" s="199">
        <v>0</v>
      </c>
      <c r="I627" s="199">
        <v>0</v>
      </c>
      <c r="J627" s="135">
        <f>23000000</f>
        <v>23000000</v>
      </c>
      <c r="K627" s="201" t="s">
        <v>398</v>
      </c>
      <c r="L627" s="169" t="s">
        <v>155</v>
      </c>
      <c r="M627" s="170" t="s">
        <v>422</v>
      </c>
      <c r="N627" s="121" t="s">
        <v>197</v>
      </c>
      <c r="O627" s="240" t="s">
        <v>963</v>
      </c>
      <c r="P627" s="170" t="s">
        <v>348</v>
      </c>
      <c r="Q627" s="202" t="s">
        <v>967</v>
      </c>
      <c r="R627" s="163" t="s">
        <v>207</v>
      </c>
      <c r="S627" s="171" t="str">
        <f>MID(PAA[[#This Row],[Meta Proyecto de Inversión]],1,4)</f>
        <v>8126</v>
      </c>
      <c r="T627" s="171" t="str">
        <f>MID(PAA[[#This Row],[Meta Proyecto de Inversión]],6,1)</f>
        <v>8</v>
      </c>
      <c r="U627" s="203" t="str">
        <f>IFERROR(VLOOKUP(N627,TD!$B$50:$F$54,2,0)," ")</f>
        <v>O230117</v>
      </c>
      <c r="V627" s="203" t="str">
        <f>IFERROR(VLOOKUP(N627,TD!$B$50:$F$54,3,0)," ")</f>
        <v>4599</v>
      </c>
      <c r="W627" s="203">
        <f>IFERROR(VLOOKUP(N627,TD!$B$50:$F$54,4,0)," ")</f>
        <v>20240207</v>
      </c>
      <c r="X627" s="170" t="s">
        <v>174</v>
      </c>
      <c r="Y627" s="165" t="str">
        <f>IFERROR(VLOOKUP(X627,TD!$J$51:$K$64,2,0)," ")</f>
        <v>Infraestructura física, mantenimiento y dotación (Sedes construidas, mantenidas reforzadas)</v>
      </c>
      <c r="Z627" s="172" t="str">
        <f>CONCATENATE(X627,"-",Y627)</f>
        <v>08-Infraestructura física, mantenimiento y dotación (Sedes construidas, mantenidas reforzadas)</v>
      </c>
      <c r="AA627" s="170" t="s">
        <v>227</v>
      </c>
      <c r="AB627" s="165" t="str">
        <f>IFERROR(VLOOKUP(AA627,TD!$N$51:$O$66,2,0)," ")</f>
        <v>Sedes mantenidas</v>
      </c>
      <c r="AC627" s="172" t="str">
        <f>CONCATENATE(AA627,"_",AB627)</f>
        <v>016_Sedes mantenidas</v>
      </c>
      <c r="AD627" s="172" t="str">
        <f>CONCATENATE(Z627," ",AC627)</f>
        <v>08-Infraestructura física, mantenimiento y dotación (Sedes construidas, mantenidas reforzadas) 016_Sedes mantenidas</v>
      </c>
      <c r="AE627" s="203" t="str">
        <f>CONCATENATE(U627,V627,W627,X627,AA627)</f>
        <v>O23011745992024020708016</v>
      </c>
      <c r="AF627" s="165" t="str">
        <f>IFERROR(VLOOKUP(AD627,TD!$J$66:$K$89,2,0)," ")</f>
        <v>PM/0131/0108/45990160207</v>
      </c>
      <c r="AG627" s="135" t="s">
        <v>94</v>
      </c>
      <c r="AH627" s="204" t="s">
        <v>194</v>
      </c>
      <c r="AI627" s="177" t="str">
        <f>CONCATENATE(PAA[[#This Row],[Id Interno]],"-",PAA[[#This Row],[tipo de Contrato (TH talento humano - B/S bienes y/o servicios)]],"-",S627,"-",T627,"-",PAA[[#This Row],[Objeto de la contratación]])</f>
        <v>20260601-BS-8126-8-Adición No. 01 al contrato 524 de 2025 que tiene como objeto "Mantenimiento preventivo y correctivo, que incluye el suministro de insumos y repuestos de las lavadoras y secadoras industriales ubicadas en las estaciones de bomberos de la UAE Cuerpo Oficial de Bomberos de Bogotá-SGC</v>
      </c>
    </row>
    <row r="628" spans="2:35" ht="56" x14ac:dyDescent="0.35">
      <c r="B628" s="198">
        <v>20260602</v>
      </c>
      <c r="C628" s="121" t="s">
        <v>702</v>
      </c>
      <c r="D628" s="121" t="s">
        <v>105</v>
      </c>
      <c r="E628" s="121" t="s">
        <v>363</v>
      </c>
      <c r="F628" s="121" t="s">
        <v>144</v>
      </c>
      <c r="G628" s="131" t="s">
        <v>373</v>
      </c>
      <c r="H628" s="199">
        <v>4</v>
      </c>
      <c r="I628" s="199">
        <v>0</v>
      </c>
      <c r="J628" s="135">
        <f>22035670</f>
        <v>22035670</v>
      </c>
      <c r="K628" s="201" t="s">
        <v>398</v>
      </c>
      <c r="L628" s="169" t="s">
        <v>155</v>
      </c>
      <c r="M628" s="170" t="s">
        <v>422</v>
      </c>
      <c r="N628" s="121" t="s">
        <v>197</v>
      </c>
      <c r="O628" s="240" t="s">
        <v>963</v>
      </c>
      <c r="P628" s="170" t="s">
        <v>348</v>
      </c>
      <c r="Q628" s="202" t="s">
        <v>783</v>
      </c>
      <c r="R628" s="170" t="s">
        <v>208</v>
      </c>
      <c r="S628" s="171" t="str">
        <f>MID(PAA[[#This Row],[Meta Proyecto de Inversión]],1,4)</f>
        <v>8126</v>
      </c>
      <c r="T628" s="171" t="str">
        <f>MID(PAA[[#This Row],[Meta Proyecto de Inversión]],6,1)</f>
        <v>9</v>
      </c>
      <c r="U628" s="203" t="str">
        <f>IFERROR(VLOOKUP(N628,TD!$B$50:$F$54,2,0)," ")</f>
        <v>O230117</v>
      </c>
      <c r="V628" s="203" t="str">
        <f>IFERROR(VLOOKUP(N628,TD!$B$50:$F$54,3,0)," ")</f>
        <v>4599</v>
      </c>
      <c r="W628" s="203">
        <f>IFERROR(VLOOKUP(N628,TD!$B$50:$F$54,4,0)," ")</f>
        <v>20240207</v>
      </c>
      <c r="X628" s="163" t="s">
        <v>174</v>
      </c>
      <c r="Y628" s="165" t="str">
        <f>IFERROR(VLOOKUP(X628,TD!$J$51:$K$64,2,0)," ")</f>
        <v>Infraestructura física, mantenimiento y dotación (Sedes construidas, mantenidas reforzadas)</v>
      </c>
      <c r="Z628" s="172" t="str">
        <f>CONCATENATE(X628,"-",Y628)</f>
        <v>08-Infraestructura física, mantenimiento y dotación (Sedes construidas, mantenidas reforzadas)</v>
      </c>
      <c r="AA628" s="163" t="s">
        <v>227</v>
      </c>
      <c r="AB628" s="165" t="str">
        <f>IFERROR(VLOOKUP(AA628,TD!$N$51:$O$66,2,0)," ")</f>
        <v>Sedes mantenidas</v>
      </c>
      <c r="AC628" s="172" t="str">
        <f>CONCATENATE(AA628,"_",AB628)</f>
        <v>016_Sedes mantenidas</v>
      </c>
      <c r="AD628" s="172" t="str">
        <f>CONCATENATE(Z628," ",AC628)</f>
        <v>08-Infraestructura física, mantenimiento y dotación (Sedes construidas, mantenidas reforzadas) 016_Sedes mantenidas</v>
      </c>
      <c r="AE628" s="203" t="str">
        <f>CONCATENATE(U628,V628,W628,X628,AA628)</f>
        <v>O23011745992024020708016</v>
      </c>
      <c r="AF628" s="165" t="str">
        <f>IFERROR(VLOOKUP(AD628,TD!$J$66:$K$89,2,0)," ")</f>
        <v>PM/0131/0108/45990160207</v>
      </c>
      <c r="AG628" s="118" t="s">
        <v>385</v>
      </c>
      <c r="AH628" s="163" t="s">
        <v>193</v>
      </c>
      <c r="AI628" s="177" t="str">
        <f>CONCATENATE(PAA[[#This Row],[Id Interno]],"-",PAA[[#This Row],[tipo de Contrato (TH talento humano - B/S bienes y/o servicios)]],"-",S628,"-",T628,"-",PAA[[#This Row],[Objeto de la contratación]])</f>
        <v>20260602-TH-8126-9-Prestación de servicios profesionales para la implementación, consolidación, seguimiento y reporte de los lineamientos ambientales establecidos en el Plan Institucional de Gestión Ambiental (PIGA) en cada una de las sedes de la UAE Cuerpo Oficial de Bomberos Bogotá-SGC.</v>
      </c>
    </row>
    <row r="629" spans="2:35" ht="56" x14ac:dyDescent="0.35">
      <c r="B629" s="238">
        <v>20260603</v>
      </c>
      <c r="C629" s="99" t="s">
        <v>970</v>
      </c>
      <c r="D629" s="99" t="s">
        <v>92</v>
      </c>
      <c r="E629" s="99" t="s">
        <v>402</v>
      </c>
      <c r="F629" s="99" t="s">
        <v>111</v>
      </c>
      <c r="G629" s="129" t="s">
        <v>375</v>
      </c>
      <c r="H629" s="153">
        <v>4</v>
      </c>
      <c r="I629" s="153">
        <v>0</v>
      </c>
      <c r="J629" s="118">
        <v>30000000</v>
      </c>
      <c r="K629" s="126" t="s">
        <v>398</v>
      </c>
      <c r="L629" s="157" t="s">
        <v>155</v>
      </c>
      <c r="M629" s="163" t="s">
        <v>422</v>
      </c>
      <c r="N629" s="99" t="s">
        <v>198</v>
      </c>
      <c r="O629" s="163" t="s">
        <v>964</v>
      </c>
      <c r="P629" s="163" t="s">
        <v>348</v>
      </c>
      <c r="Q629" s="128" t="s">
        <v>787</v>
      </c>
      <c r="R629" s="163" t="s">
        <v>351</v>
      </c>
      <c r="S629" s="159" t="str">
        <f>MID(PAA[[#This Row],[Meta Proyecto de Inversión]],1,4)</f>
        <v>8173</v>
      </c>
      <c r="T629" s="159" t="str">
        <f>MID(PAA[[#This Row],[Meta Proyecto de Inversión]],6,1)</f>
        <v>1</v>
      </c>
      <c r="U629" s="165" t="str">
        <f>IFERROR(VLOOKUP(N629,TD!$B$50:$F$54,2,0)," ")</f>
        <v>O230117</v>
      </c>
      <c r="V629" s="165" t="str">
        <f>IFERROR(VLOOKUP(N629,TD!$B$50:$F$54,3,0)," ")</f>
        <v>4503</v>
      </c>
      <c r="W629" s="165">
        <f>IFERROR(VLOOKUP(N629,TD!$B$50:$F$54,4,0)," ")</f>
        <v>20240255</v>
      </c>
      <c r="X629" s="163">
        <v>14</v>
      </c>
      <c r="Y629" s="165" t="str">
        <f>IFERROR(VLOOKUP(X629,TD!$J$51:$K$64,2,0)," ")</f>
        <v xml:space="preserve">Infraestructura física misional construida mantenida y dotada </v>
      </c>
      <c r="Z629" s="172" t="str">
        <f>CONCATENATE(X629,"-",Y629)</f>
        <v xml:space="preserve">14-Infraestructura física misional construida mantenida y dotada </v>
      </c>
      <c r="AA629" s="163" t="s">
        <v>225</v>
      </c>
      <c r="AB629" s="165" t="str">
        <f>IFERROR(VLOOKUP(AA629,TD!$N$51:$O$66,2,0)," ")</f>
        <v>Estaciones de bomberos adecuadas</v>
      </c>
      <c r="AC629" s="161" t="str">
        <f>CONCATENATE(AA629,"_",AB629)</f>
        <v>014_Estaciones de bomberos adecuadas</v>
      </c>
      <c r="AD629" s="161" t="str">
        <f>CONCATENATE(Z629," ",AC629)</f>
        <v>14-Infraestructura física misional construida mantenida y dotada  014_Estaciones de bomberos adecuadas</v>
      </c>
      <c r="AE629" s="165" t="str">
        <f>CONCATENATE(U629,V629,W629,X629,AA629)</f>
        <v>O23011745032024025514014</v>
      </c>
      <c r="AF629" s="165" t="str">
        <f>IFERROR(VLOOKUP(AD629,TD!$J$66:$K$89,2,0)," ")</f>
        <v>PM/0131/0114/45030140255</v>
      </c>
      <c r="AG629" s="118" t="s">
        <v>355</v>
      </c>
      <c r="AH629" s="175" t="s">
        <v>193</v>
      </c>
      <c r="AI629" s="178" t="str">
        <f>CONCATENATE(PAA[[#This Row],[Id Interno]],"-",PAA[[#This Row],[tipo de Contrato (TH talento humano - B/S bienes y/o servicios)]],"-",S629,"-",T629,"-",PAA[[#This Row],[Objeto de la contratación]])</f>
        <v>20260603-BS-8173-1-Suministro de banderas y accesorios para las sedes UAECOB-SGC</v>
      </c>
    </row>
    <row r="630" spans="2:35" ht="56" x14ac:dyDescent="0.35">
      <c r="B630" s="142">
        <v>20260604</v>
      </c>
      <c r="C630" s="121" t="s">
        <v>977</v>
      </c>
      <c r="D630" s="130" t="s">
        <v>105</v>
      </c>
      <c r="E630" s="130" t="s">
        <v>363</v>
      </c>
      <c r="F630" s="130" t="s">
        <v>144</v>
      </c>
      <c r="G630" s="131" t="s">
        <v>374</v>
      </c>
      <c r="H630" s="137">
        <v>10</v>
      </c>
      <c r="I630" s="137">
        <v>0</v>
      </c>
      <c r="J630" s="132">
        <v>50000000</v>
      </c>
      <c r="K630" s="133" t="s">
        <v>398</v>
      </c>
      <c r="L630" s="173" t="s">
        <v>46</v>
      </c>
      <c r="M630" s="171" t="s">
        <v>421</v>
      </c>
      <c r="N630" s="130" t="s">
        <v>197</v>
      </c>
      <c r="O630" s="170" t="s">
        <v>963</v>
      </c>
      <c r="P630" s="171" t="s">
        <v>348</v>
      </c>
      <c r="Q630" s="134">
        <v>80111600</v>
      </c>
      <c r="R630" s="159" t="s">
        <v>208</v>
      </c>
      <c r="S630" s="171" t="str">
        <f>MID(PAA[[#This Row],[Meta Proyecto de Inversión]],1,4)</f>
        <v>8126</v>
      </c>
      <c r="T630" s="171" t="str">
        <f>MID(PAA[[#This Row],[Meta Proyecto de Inversión]],6,1)</f>
        <v>9</v>
      </c>
      <c r="U630" s="174" t="str">
        <f>IFERROR(VLOOKUP(N630,TD!$B$50:$F$54,2,0)," ")</f>
        <v>O230117</v>
      </c>
      <c r="V630" s="174" t="str">
        <f>IFERROR(VLOOKUP(N630,TD!$B$50:$F$54,3,0)," ")</f>
        <v>4599</v>
      </c>
      <c r="W630" s="174">
        <f>IFERROR(VLOOKUP(N630,TD!$B$50:$F$54,4,0)," ")</f>
        <v>20240207</v>
      </c>
      <c r="X630" s="163" t="s">
        <v>174</v>
      </c>
      <c r="Y630" s="165" t="str">
        <f>IFERROR(VLOOKUP(X630,TD!$J$51:$K$64,2,0)," ")</f>
        <v>Infraestructura física, mantenimiento y dotación (Sedes construidas, mantenidas reforzadas)</v>
      </c>
      <c r="Z630" s="172" t="str">
        <f>CONCATENATE(X630,"-",Y630)</f>
        <v>08-Infraestructura física, mantenimiento y dotación (Sedes construidas, mantenidas reforzadas)</v>
      </c>
      <c r="AA630" s="163" t="s">
        <v>227</v>
      </c>
      <c r="AB630" s="165" t="str">
        <f>IFERROR(VLOOKUP(AA630,TD!$N$51:$O$66,2,0)," ")</f>
        <v>Sedes mantenidas</v>
      </c>
      <c r="AC630" s="172" t="str">
        <f>CONCATENATE(AA630,"_",AB630)</f>
        <v>016_Sedes mantenidas</v>
      </c>
      <c r="AD630" s="172" t="str">
        <f>CONCATENATE(Z630," ",AC630)</f>
        <v>08-Infraestructura física, mantenimiento y dotación (Sedes construidas, mantenidas reforzadas) 016_Sedes mantenidas</v>
      </c>
      <c r="AE630" s="174" t="str">
        <f>CONCATENATE(U630,V630,W630,X630,AA630)</f>
        <v>O23011745992024020708016</v>
      </c>
      <c r="AF630" s="165" t="str">
        <f>IFERROR(VLOOKUP(AD630,TD!$J$66:$K$89,2,0)," ")</f>
        <v>PM/0131/0108/45990160207</v>
      </c>
      <c r="AG630" s="118" t="s">
        <v>385</v>
      </c>
      <c r="AH630" s="176" t="s">
        <v>193</v>
      </c>
      <c r="AI630" s="177" t="str">
        <f>CONCATENATE(PAA[[#This Row],[Id Interno]],"-",PAA[[#This Row],[tipo de Contrato (TH talento humano - B/S bienes y/o servicios)]],"-",S630,"-",T630,"-",PAA[[#This Row],[Objeto de la contratación]])</f>
        <v>20260604-TH-8126-9-Prestar servicios profesionales para el registro, actualización y reporte de los procesos y decisiones disciplinarias expedidas por la Oficina de Control Disciplinario Interno de la UAECOB en el aplicativo Sistema de Información Disciplinario (SID) .</v>
      </c>
    </row>
    <row r="631" spans="2:35" ht="84" x14ac:dyDescent="0.35">
      <c r="B631" s="142">
        <v>20260605</v>
      </c>
      <c r="C631" s="121" t="s">
        <v>978</v>
      </c>
      <c r="D631" s="130" t="s">
        <v>105</v>
      </c>
      <c r="E631" s="130" t="s">
        <v>363</v>
      </c>
      <c r="F631" s="130" t="s">
        <v>144</v>
      </c>
      <c r="G631" s="131" t="s">
        <v>374</v>
      </c>
      <c r="H631" s="137">
        <v>5</v>
      </c>
      <c r="I631" s="137">
        <v>15</v>
      </c>
      <c r="J631" s="132">
        <v>53900000</v>
      </c>
      <c r="K631" s="133" t="s">
        <v>398</v>
      </c>
      <c r="L631" s="173" t="s">
        <v>45</v>
      </c>
      <c r="M631" s="171" t="s">
        <v>401</v>
      </c>
      <c r="N631" s="130" t="s">
        <v>197</v>
      </c>
      <c r="O631" s="170" t="s">
        <v>963</v>
      </c>
      <c r="P631" s="171" t="s">
        <v>348</v>
      </c>
      <c r="Q631" s="134">
        <v>80111600</v>
      </c>
      <c r="R631" s="171" t="s">
        <v>208</v>
      </c>
      <c r="S631" s="171" t="str">
        <f>MID(PAA[[#This Row],[Meta Proyecto de Inversión]],1,4)</f>
        <v>8126</v>
      </c>
      <c r="T631" s="171" t="str">
        <f>MID(PAA[[#This Row],[Meta Proyecto de Inversión]],6,1)</f>
        <v>9</v>
      </c>
      <c r="U631" s="174" t="str">
        <f>IFERROR(VLOOKUP(N631,TD!$B$50:$F$54,2,0)," ")</f>
        <v>O230117</v>
      </c>
      <c r="V631" s="174" t="str">
        <f>IFERROR(VLOOKUP(N631,TD!$B$50:$F$54,3,0)," ")</f>
        <v>4599</v>
      </c>
      <c r="W631" s="174">
        <f>IFERROR(VLOOKUP(N631,TD!$B$50:$F$54,4,0)," ")</f>
        <v>20240207</v>
      </c>
      <c r="X631" s="163" t="s">
        <v>174</v>
      </c>
      <c r="Y631" s="165" t="str">
        <f>IFERROR(VLOOKUP(X631,TD!$J$51:$K$64,2,0)," ")</f>
        <v>Infraestructura física, mantenimiento y dotación (Sedes construidas, mantenidas reforzadas)</v>
      </c>
      <c r="Z631" s="172" t="str">
        <f>CONCATENATE(X631,"-",Y631)</f>
        <v>08-Infraestructura física, mantenimiento y dotación (Sedes construidas, mantenidas reforzadas)</v>
      </c>
      <c r="AA631" s="163" t="s">
        <v>227</v>
      </c>
      <c r="AB631" s="165" t="str">
        <f>IFERROR(VLOOKUP(AA631,TD!$N$51:$O$66,2,0)," ")</f>
        <v>Sedes mantenidas</v>
      </c>
      <c r="AC631" s="172" t="str">
        <f>CONCATENATE(AA631,"_",AB631)</f>
        <v>016_Sedes mantenidas</v>
      </c>
      <c r="AD631" s="172" t="str">
        <f>CONCATENATE(Z631," ",AC631)</f>
        <v>08-Infraestructura física, mantenimiento y dotación (Sedes construidas, mantenidas reforzadas) 016_Sedes mantenidas</v>
      </c>
      <c r="AE631" s="174" t="str">
        <f>CONCATENATE(U631,V631,W631,X631,AA631)</f>
        <v>O23011745992024020708016</v>
      </c>
      <c r="AF631" s="160" t="str">
        <f>IFERROR(VLOOKUP(AD631,TD!$J$66:$K$89,2,0)," ")</f>
        <v>PM/0131/0108/45990160207</v>
      </c>
      <c r="AG631" s="135" t="s">
        <v>385</v>
      </c>
      <c r="AH631" s="176" t="s">
        <v>194</v>
      </c>
      <c r="AI631" s="177" t="str">
        <f>CONCATENATE(PAA[[#This Row],[Id Interno]],"-",PAA[[#This Row],[tipo de Contrato (TH talento humano - B/S bienes y/o servicios)]],"-",S631,"-",T631,"-",PAA[[#This Row],[Objeto de la contratación]])</f>
        <v>20260605-TH-8126-9-Adición y prórroga al Contrato 175 de 2025 con objeto "Prestar servicios profesionales especializados en el desarrollo de las actividades y de los diferentes procesos que tiene a su cargo y bajo su seguimiento la Dirección General de la UAE Cuerpo Oficial de Bomberos de Bogotá"</v>
      </c>
    </row>
    <row r="632" spans="2:35" ht="112" x14ac:dyDescent="0.35">
      <c r="B632" s="142">
        <v>20260606</v>
      </c>
      <c r="C632" s="121" t="s">
        <v>979</v>
      </c>
      <c r="D632" s="130" t="s">
        <v>105</v>
      </c>
      <c r="E632" s="130" t="s">
        <v>363</v>
      </c>
      <c r="F632" s="130" t="s">
        <v>144</v>
      </c>
      <c r="G632" s="131" t="s">
        <v>374</v>
      </c>
      <c r="H632" s="137">
        <v>5</v>
      </c>
      <c r="I632" s="137">
        <v>0</v>
      </c>
      <c r="J632" s="132">
        <v>50000000</v>
      </c>
      <c r="K632" s="133" t="s">
        <v>398</v>
      </c>
      <c r="L632" s="173" t="s">
        <v>45</v>
      </c>
      <c r="M632" s="171" t="s">
        <v>401</v>
      </c>
      <c r="N632" s="130" t="s">
        <v>197</v>
      </c>
      <c r="O632" s="170" t="s">
        <v>963</v>
      </c>
      <c r="P632" s="171" t="s">
        <v>348</v>
      </c>
      <c r="Q632" s="134">
        <v>80111600</v>
      </c>
      <c r="R632" s="171" t="s">
        <v>208</v>
      </c>
      <c r="S632" s="171" t="str">
        <f>MID(PAA[[#This Row],[Meta Proyecto de Inversión]],1,4)</f>
        <v>8126</v>
      </c>
      <c r="T632" s="171" t="str">
        <f>MID(PAA[[#This Row],[Meta Proyecto de Inversión]],6,1)</f>
        <v>9</v>
      </c>
      <c r="U632" s="174" t="str">
        <f>IFERROR(VLOOKUP(N632,TD!$B$50:$F$54,2,0)," ")</f>
        <v>O230117</v>
      </c>
      <c r="V632" s="174" t="str">
        <f>IFERROR(VLOOKUP(N632,TD!$B$50:$F$54,3,0)," ")</f>
        <v>4599</v>
      </c>
      <c r="W632" s="174">
        <f>IFERROR(VLOOKUP(N632,TD!$B$50:$F$54,4,0)," ")</f>
        <v>20240207</v>
      </c>
      <c r="X632" s="163" t="s">
        <v>174</v>
      </c>
      <c r="Y632" s="165" t="str">
        <f>IFERROR(VLOOKUP(X632,TD!$J$51:$K$64,2,0)," ")</f>
        <v>Infraestructura física, mantenimiento y dotación (Sedes construidas, mantenidas reforzadas)</v>
      </c>
      <c r="Z632" s="172" t="str">
        <f>CONCATENATE(X632,"-",Y632)</f>
        <v>08-Infraestructura física, mantenimiento y dotación (Sedes construidas, mantenidas reforzadas)</v>
      </c>
      <c r="AA632" s="163" t="s">
        <v>227</v>
      </c>
      <c r="AB632" s="165" t="str">
        <f>IFERROR(VLOOKUP(AA632,TD!$N$51:$O$66,2,0)," ")</f>
        <v>Sedes mantenidas</v>
      </c>
      <c r="AC632" s="172" t="str">
        <f>CONCATENATE(AA632,"_",AB632)</f>
        <v>016_Sedes mantenidas</v>
      </c>
      <c r="AD632" s="172" t="str">
        <f>CONCATENATE(Z632," ",AC632)</f>
        <v>08-Infraestructura física, mantenimiento y dotación (Sedes construidas, mantenidas reforzadas) 016_Sedes mantenidas</v>
      </c>
      <c r="AE632" s="174" t="str">
        <f>CONCATENATE(U632,V632,W632,X632,AA632)</f>
        <v>O23011745992024020708016</v>
      </c>
      <c r="AF632" s="160" t="str">
        <f>IFERROR(VLOOKUP(AD632,TD!$J$66:$K$89,2,0)," ")</f>
        <v>PM/0131/0108/45990160207</v>
      </c>
      <c r="AG632" s="135" t="s">
        <v>385</v>
      </c>
      <c r="AH632" s="176" t="s">
        <v>194</v>
      </c>
      <c r="AI632" s="177" t="str">
        <f>CONCATENATE(PAA[[#This Row],[Id Interno]],"-",PAA[[#This Row],[tipo de Contrato (TH talento humano - B/S bienes y/o servicios)]],"-",S632,"-",T632,"-",PAA[[#This Row],[Objeto de la contratación]])</f>
        <v>20260606-TH-8126-9-Adición y prórroga al Contrato 460 de 2025 con objeto "Prestar servicios profesionales especializados en el desarrollo de las actividades estrategicas de la Dirección General de la UAE Cuerpo Oficial de Bomberos de Bogotá"</v>
      </c>
    </row>
    <row r="633" spans="2:35" ht="56" x14ac:dyDescent="0.35">
      <c r="B633" s="149">
        <v>20260607</v>
      </c>
      <c r="C633" s="99" t="s">
        <v>980</v>
      </c>
      <c r="D633" s="23" t="s">
        <v>105</v>
      </c>
      <c r="E633" s="23" t="s">
        <v>363</v>
      </c>
      <c r="F633" s="23" t="s">
        <v>144</v>
      </c>
      <c r="G633" s="129" t="s">
        <v>374</v>
      </c>
      <c r="H633" s="136">
        <v>5</v>
      </c>
      <c r="I633" s="136">
        <v>0</v>
      </c>
      <c r="J633" s="127">
        <v>30000000</v>
      </c>
      <c r="K633" s="88" t="s">
        <v>398</v>
      </c>
      <c r="L633" s="156" t="s">
        <v>150</v>
      </c>
      <c r="M633" s="159" t="s">
        <v>401</v>
      </c>
      <c r="N633" s="23" t="s">
        <v>197</v>
      </c>
      <c r="O633" s="163" t="s">
        <v>963</v>
      </c>
      <c r="P633" s="159" t="s">
        <v>348</v>
      </c>
      <c r="Q633" s="53">
        <v>80111600</v>
      </c>
      <c r="R633" s="159" t="s">
        <v>209</v>
      </c>
      <c r="S633" s="159" t="str">
        <f>MID(PAA[[#This Row],[Meta Proyecto de Inversión]],1,4)</f>
        <v>8126</v>
      </c>
      <c r="T633" s="159" t="str">
        <f>MID(PAA[[#This Row],[Meta Proyecto de Inversión]],6,1)</f>
        <v>1</v>
      </c>
      <c r="U633" s="160" t="str">
        <f>IFERROR(VLOOKUP(N633,TD!$B$50:$F$54,2,0)," ")</f>
        <v>O230117</v>
      </c>
      <c r="V633" s="160" t="str">
        <f>IFERROR(VLOOKUP(N633,TD!$B$50:$F$54,3,0)," ")</f>
        <v>4599</v>
      </c>
      <c r="W633" s="160">
        <f>IFERROR(VLOOKUP(N633,TD!$B$50:$F$54,4,0)," ")</f>
        <v>20240207</v>
      </c>
      <c r="X633" s="163" t="s">
        <v>182</v>
      </c>
      <c r="Y633" s="165" t="str">
        <f>IFERROR(VLOOKUP(X633,TD!$J$51:$K$64,2,0)," ")</f>
        <v>Servicios para la planeación y sistemas de gestión y comunicación estratégica</v>
      </c>
      <c r="Z633" s="172" t="str">
        <f>CONCATENATE(X633,"-",Y633)</f>
        <v>13-Servicios para la planeación y sistemas de gestión y comunicación estratégica</v>
      </c>
      <c r="AA633" s="163" t="s">
        <v>231</v>
      </c>
      <c r="AB633" s="165" t="str">
        <f>IFERROR(VLOOKUP(AA633,TD!$N$51:$O$66,2,0)," ")</f>
        <v>Documentos de planeación</v>
      </c>
      <c r="AC633" s="161" t="str">
        <f>CONCATENATE(AA633,"_",AB633)</f>
        <v>019_Documentos de planeación</v>
      </c>
      <c r="AD633" s="161" t="str">
        <f>CONCATENATE(Z633," ",AC633)</f>
        <v>13-Servicios para la planeación y sistemas de gestión y comunicación estratégica 019_Documentos de planeación</v>
      </c>
      <c r="AE633" s="160" t="str">
        <f>CONCATENATE(U633,V633,W633,X633,AA633)</f>
        <v>O23011745992024020713019</v>
      </c>
      <c r="AF633" s="160" t="str">
        <f>IFERROR(VLOOKUP(AD633,TD!$J$66:$K$89,2,0)," ")</f>
        <v>PM/0131/0113/45990190207</v>
      </c>
      <c r="AG633" s="118" t="s">
        <v>385</v>
      </c>
      <c r="AH633" s="168" t="s">
        <v>194</v>
      </c>
      <c r="AI633" s="178" t="str">
        <f>CONCATENATE(PAA[[#This Row],[Id Interno]],"-",PAA[[#This Row],[tipo de Contrato (TH talento humano - B/S bienes y/o servicios)]],"-",S633,"-",T633,"-",PAA[[#This Row],[Objeto de la contratación]])</f>
        <v>20260607-TH-8126-1-Adición y prórroga al Contrato 211 de 2025 con objeto "Prestación de servicios profesionales en la Dirección en comunicaciones y prensa, para apoyar la difusión de la información al público interno y externo de la UAECOB"</v>
      </c>
    </row>
    <row r="634" spans="2:35" ht="70" x14ac:dyDescent="0.35">
      <c r="B634" s="142">
        <v>20260608</v>
      </c>
      <c r="C634" s="121" t="s">
        <v>981</v>
      </c>
      <c r="D634" s="130" t="s">
        <v>105</v>
      </c>
      <c r="E634" s="130" t="s">
        <v>363</v>
      </c>
      <c r="F634" s="130" t="s">
        <v>144</v>
      </c>
      <c r="G634" s="131" t="s">
        <v>374</v>
      </c>
      <c r="H634" s="137">
        <v>5</v>
      </c>
      <c r="I634" s="137">
        <v>0</v>
      </c>
      <c r="J634" s="132">
        <v>22000000</v>
      </c>
      <c r="K634" s="133" t="s">
        <v>398</v>
      </c>
      <c r="L634" s="173" t="s">
        <v>150</v>
      </c>
      <c r="M634" s="171" t="s">
        <v>401</v>
      </c>
      <c r="N634" s="130" t="s">
        <v>197</v>
      </c>
      <c r="O634" s="170" t="s">
        <v>963</v>
      </c>
      <c r="P634" s="171" t="s">
        <v>348</v>
      </c>
      <c r="Q634" s="134">
        <v>80111600</v>
      </c>
      <c r="R634" s="171" t="s">
        <v>209</v>
      </c>
      <c r="S634" s="171" t="str">
        <f>MID(PAA[[#This Row],[Meta Proyecto de Inversión]],1,4)</f>
        <v>8126</v>
      </c>
      <c r="T634" s="171" t="str">
        <f>MID(PAA[[#This Row],[Meta Proyecto de Inversión]],6,1)</f>
        <v>1</v>
      </c>
      <c r="U634" s="174" t="str">
        <f>IFERROR(VLOOKUP(N634,TD!$B$50:$F$54,2,0)," ")</f>
        <v>O230117</v>
      </c>
      <c r="V634" s="174" t="str">
        <f>IFERROR(VLOOKUP(N634,TD!$B$50:$F$54,3,0)," ")</f>
        <v>4599</v>
      </c>
      <c r="W634" s="174">
        <f>IFERROR(VLOOKUP(N634,TD!$B$50:$F$54,4,0)," ")</f>
        <v>20240207</v>
      </c>
      <c r="X634" s="163" t="s">
        <v>182</v>
      </c>
      <c r="Y634" s="165" t="str">
        <f>IFERROR(VLOOKUP(X634,TD!$J$51:$K$64,2,0)," ")</f>
        <v>Servicios para la planeación y sistemas de gestión y comunicación estratégica</v>
      </c>
      <c r="Z634" s="172" t="str">
        <f>CONCATENATE(X634,"-",Y634)</f>
        <v>13-Servicios para la planeación y sistemas de gestión y comunicación estratégica</v>
      </c>
      <c r="AA634" s="163" t="s">
        <v>231</v>
      </c>
      <c r="AB634" s="165" t="str">
        <f>IFERROR(VLOOKUP(AA634,TD!$N$51:$O$66,2,0)," ")</f>
        <v>Documentos de planeación</v>
      </c>
      <c r="AC634" s="172" t="str">
        <f>CONCATENATE(AA634,"_",AB634)</f>
        <v>019_Documentos de planeación</v>
      </c>
      <c r="AD634" s="172" t="str">
        <f>CONCATENATE(Z634," ",AC634)</f>
        <v>13-Servicios para la planeación y sistemas de gestión y comunicación estratégica 019_Documentos de planeación</v>
      </c>
      <c r="AE634" s="174" t="str">
        <f>CONCATENATE(U634,V634,W634,X634,AA634)</f>
        <v>O23011745992024020713019</v>
      </c>
      <c r="AF634" s="160" t="str">
        <f>IFERROR(VLOOKUP(AD634,TD!$J$66:$K$89,2,0)," ")</f>
        <v>PM/0131/0113/45990190207</v>
      </c>
      <c r="AG634" s="118" t="s">
        <v>385</v>
      </c>
      <c r="AH634" s="176" t="s">
        <v>194</v>
      </c>
      <c r="AI634" s="177" t="str">
        <f>CONCATENATE(PAA[[#This Row],[Id Interno]],"-",PAA[[#This Row],[tipo de Contrato (TH talento humano - B/S bienes y/o servicios)]],"-",S634,"-",T634,"-",PAA[[#This Row],[Objeto de la contratación]])</f>
        <v>20260608-TH-8126-1-Adición y prórroga al Contrato 202 de 2025 con objeto "Prestar servicios de apoyo para la gestión en asuntos de comunicaciones y prensa en la Dirección General, y demás acciones encaminadas al cumplimiento de las estrategias comunicacionales de la UAECOB"</v>
      </c>
    </row>
    <row r="635" spans="2:35" ht="70" x14ac:dyDescent="0.35">
      <c r="B635" s="142">
        <v>20260609</v>
      </c>
      <c r="C635" s="121" t="s">
        <v>982</v>
      </c>
      <c r="D635" s="130" t="s">
        <v>105</v>
      </c>
      <c r="E635" s="130" t="s">
        <v>363</v>
      </c>
      <c r="F635" s="130" t="s">
        <v>144</v>
      </c>
      <c r="G635" s="131" t="s">
        <v>374</v>
      </c>
      <c r="H635" s="137">
        <v>5</v>
      </c>
      <c r="I635" s="137">
        <v>0</v>
      </c>
      <c r="J635" s="132">
        <v>22000000</v>
      </c>
      <c r="K635" s="133" t="s">
        <v>398</v>
      </c>
      <c r="L635" s="173" t="s">
        <v>150</v>
      </c>
      <c r="M635" s="171" t="s">
        <v>401</v>
      </c>
      <c r="N635" s="130" t="s">
        <v>197</v>
      </c>
      <c r="O635" s="170" t="s">
        <v>963</v>
      </c>
      <c r="P635" s="171" t="s">
        <v>348</v>
      </c>
      <c r="Q635" s="134">
        <v>80111600</v>
      </c>
      <c r="R635" s="171" t="s">
        <v>209</v>
      </c>
      <c r="S635" s="171" t="str">
        <f>MID(PAA[[#This Row],[Meta Proyecto de Inversión]],1,4)</f>
        <v>8126</v>
      </c>
      <c r="T635" s="171" t="str">
        <f>MID(PAA[[#This Row],[Meta Proyecto de Inversión]],6,1)</f>
        <v>1</v>
      </c>
      <c r="U635" s="174" t="str">
        <f>IFERROR(VLOOKUP(N635,TD!$B$50:$F$54,2,0)," ")</f>
        <v>O230117</v>
      </c>
      <c r="V635" s="174" t="str">
        <f>IFERROR(VLOOKUP(N635,TD!$B$50:$F$54,3,0)," ")</f>
        <v>4599</v>
      </c>
      <c r="W635" s="174">
        <f>IFERROR(VLOOKUP(N635,TD!$B$50:$F$54,4,0)," ")</f>
        <v>20240207</v>
      </c>
      <c r="X635" s="163" t="s">
        <v>182</v>
      </c>
      <c r="Y635" s="165" t="str">
        <f>IFERROR(VLOOKUP(X635,TD!$J$51:$K$64,2,0)," ")</f>
        <v>Servicios para la planeación y sistemas de gestión y comunicación estratégica</v>
      </c>
      <c r="Z635" s="172" t="str">
        <f>CONCATENATE(X635,"-",Y635)</f>
        <v>13-Servicios para la planeación y sistemas de gestión y comunicación estratégica</v>
      </c>
      <c r="AA635" s="163" t="s">
        <v>231</v>
      </c>
      <c r="AB635" s="165" t="str">
        <f>IFERROR(VLOOKUP(AA635,TD!$N$51:$O$66,2,0)," ")</f>
        <v>Documentos de planeación</v>
      </c>
      <c r="AC635" s="172" t="str">
        <f>CONCATENATE(AA635,"_",AB635)</f>
        <v>019_Documentos de planeación</v>
      </c>
      <c r="AD635" s="172" t="str">
        <f>CONCATENATE(Z635," ",AC635)</f>
        <v>13-Servicios para la planeación y sistemas de gestión y comunicación estratégica 019_Documentos de planeación</v>
      </c>
      <c r="AE635" s="174" t="str">
        <f>CONCATENATE(U635,V635,W635,X635,AA635)</f>
        <v>O23011745992024020713019</v>
      </c>
      <c r="AF635" s="160" t="str">
        <f>IFERROR(VLOOKUP(AD635,TD!$J$66:$K$89,2,0)," ")</f>
        <v>PM/0131/0113/45990190207</v>
      </c>
      <c r="AG635" s="118" t="s">
        <v>385</v>
      </c>
      <c r="AH635" s="176" t="s">
        <v>194</v>
      </c>
      <c r="AI635" s="177" t="str">
        <f>CONCATENATE(PAA[[#This Row],[Id Interno]],"-",PAA[[#This Row],[tipo de Contrato (TH talento humano - B/S bienes y/o servicios)]],"-",S635,"-",T635,"-",PAA[[#This Row],[Objeto de la contratación]])</f>
        <v>20260609-TH-8126-1-Adición y prórroga al Contrato 285 de 2025 con objeto "Prestar apoyo técnico en la Dirección, en asuntos de comunicaciones y prensa, para la producción, diseño y edición de material audiovisual de la UAECOB"</v>
      </c>
    </row>
    <row r="636" spans="2:35" ht="56" x14ac:dyDescent="0.35">
      <c r="B636" s="142">
        <v>20260610</v>
      </c>
      <c r="C636" s="121" t="s">
        <v>983</v>
      </c>
      <c r="D636" s="130" t="s">
        <v>105</v>
      </c>
      <c r="E636" s="130" t="s">
        <v>363</v>
      </c>
      <c r="F636" s="130" t="s">
        <v>145</v>
      </c>
      <c r="G636" s="131" t="s">
        <v>374</v>
      </c>
      <c r="H636" s="137">
        <v>5</v>
      </c>
      <c r="I636" s="137">
        <v>0</v>
      </c>
      <c r="J636" s="132">
        <v>17500000</v>
      </c>
      <c r="K636" s="133" t="s">
        <v>398</v>
      </c>
      <c r="L636" s="173" t="s">
        <v>150</v>
      </c>
      <c r="M636" s="171" t="s">
        <v>401</v>
      </c>
      <c r="N636" s="130" t="s">
        <v>197</v>
      </c>
      <c r="O636" s="170" t="s">
        <v>963</v>
      </c>
      <c r="P636" s="171" t="s">
        <v>348</v>
      </c>
      <c r="Q636" s="134">
        <v>80111600</v>
      </c>
      <c r="R636" s="171" t="s">
        <v>209</v>
      </c>
      <c r="S636" s="171" t="str">
        <f>MID(PAA[[#This Row],[Meta Proyecto de Inversión]],1,4)</f>
        <v>8126</v>
      </c>
      <c r="T636" s="171" t="str">
        <f>MID(PAA[[#This Row],[Meta Proyecto de Inversión]],6,1)</f>
        <v>1</v>
      </c>
      <c r="U636" s="174" t="str">
        <f>IFERROR(VLOOKUP(N636,TD!$B$50:$F$54,2,0)," ")</f>
        <v>O230117</v>
      </c>
      <c r="V636" s="174" t="str">
        <f>IFERROR(VLOOKUP(N636,TD!$B$50:$F$54,3,0)," ")</f>
        <v>4599</v>
      </c>
      <c r="W636" s="174">
        <f>IFERROR(VLOOKUP(N636,TD!$B$50:$F$54,4,0)," ")</f>
        <v>20240207</v>
      </c>
      <c r="X636" s="163" t="s">
        <v>182</v>
      </c>
      <c r="Y636" s="165" t="str">
        <f>IFERROR(VLOOKUP(X636,TD!$J$51:$K$64,2,0)," ")</f>
        <v>Servicios para la planeación y sistemas de gestión y comunicación estratégica</v>
      </c>
      <c r="Z636" s="172" t="str">
        <f>CONCATENATE(X636,"-",Y636)</f>
        <v>13-Servicios para la planeación y sistemas de gestión y comunicación estratégica</v>
      </c>
      <c r="AA636" s="163" t="s">
        <v>231</v>
      </c>
      <c r="AB636" s="165" t="str">
        <f>IFERROR(VLOOKUP(AA636,TD!$N$51:$O$66,2,0)," ")</f>
        <v>Documentos de planeación</v>
      </c>
      <c r="AC636" s="172" t="str">
        <f>CONCATENATE(AA636,"_",AB636)</f>
        <v>019_Documentos de planeación</v>
      </c>
      <c r="AD636" s="172" t="str">
        <f>CONCATENATE(Z636," ",AC636)</f>
        <v>13-Servicios para la planeación y sistemas de gestión y comunicación estratégica 019_Documentos de planeación</v>
      </c>
      <c r="AE636" s="174" t="str">
        <f>CONCATENATE(U636,V636,W636,X636,AA636)</f>
        <v>O23011745992024020713019</v>
      </c>
      <c r="AF636" s="160" t="str">
        <f>IFERROR(VLOOKUP(AD636,TD!$J$66:$K$89,2,0)," ")</f>
        <v>PM/0131/0113/45990190207</v>
      </c>
      <c r="AG636" s="135" t="s">
        <v>385</v>
      </c>
      <c r="AH636" s="176" t="s">
        <v>194</v>
      </c>
      <c r="AI636" s="177" t="str">
        <f>CONCATENATE(PAA[[#This Row],[Id Interno]],"-",PAA[[#This Row],[tipo de Contrato (TH talento humano - B/S bienes y/o servicios)]],"-",S636,"-",T636,"-",PAA[[#This Row],[Objeto de la contratación]])</f>
        <v>20260610-TH-8126-1-Adición y prórroga al Contrato 278 de 2025 con objeto "Prestación de servicios como conductor en los diferentes recorridos de carácter operativo que se requieran en la Dirección General"</v>
      </c>
    </row>
    <row r="637" spans="2:35" ht="56" x14ac:dyDescent="0.35">
      <c r="B637" s="142">
        <v>20260611</v>
      </c>
      <c r="C637" s="121" t="s">
        <v>984</v>
      </c>
      <c r="D637" s="130" t="s">
        <v>105</v>
      </c>
      <c r="E637" s="130" t="s">
        <v>363</v>
      </c>
      <c r="F637" s="130" t="s">
        <v>144</v>
      </c>
      <c r="G637" s="131" t="s">
        <v>374</v>
      </c>
      <c r="H637" s="137">
        <v>5</v>
      </c>
      <c r="I637" s="137">
        <v>0</v>
      </c>
      <c r="J637" s="132">
        <v>26000000</v>
      </c>
      <c r="K637" s="133" t="s">
        <v>398</v>
      </c>
      <c r="L637" s="173" t="s">
        <v>150</v>
      </c>
      <c r="M637" s="171" t="s">
        <v>401</v>
      </c>
      <c r="N637" s="130" t="s">
        <v>197</v>
      </c>
      <c r="O637" s="170" t="s">
        <v>963</v>
      </c>
      <c r="P637" s="171" t="s">
        <v>348</v>
      </c>
      <c r="Q637" s="134">
        <v>80111600</v>
      </c>
      <c r="R637" s="171" t="s">
        <v>209</v>
      </c>
      <c r="S637" s="171" t="str">
        <f>MID(PAA[[#This Row],[Meta Proyecto de Inversión]],1,4)</f>
        <v>8126</v>
      </c>
      <c r="T637" s="171" t="str">
        <f>MID(PAA[[#This Row],[Meta Proyecto de Inversión]],6,1)</f>
        <v>1</v>
      </c>
      <c r="U637" s="174" t="str">
        <f>IFERROR(VLOOKUP(N637,TD!$B$50:$F$54,2,0)," ")</f>
        <v>O230117</v>
      </c>
      <c r="V637" s="174" t="str">
        <f>IFERROR(VLOOKUP(N637,TD!$B$50:$F$54,3,0)," ")</f>
        <v>4599</v>
      </c>
      <c r="W637" s="174">
        <f>IFERROR(VLOOKUP(N637,TD!$B$50:$F$54,4,0)," ")</f>
        <v>20240207</v>
      </c>
      <c r="X637" s="163" t="s">
        <v>182</v>
      </c>
      <c r="Y637" s="165" t="str">
        <f>IFERROR(VLOOKUP(X637,TD!$J$51:$K$64,2,0)," ")</f>
        <v>Servicios para la planeación y sistemas de gestión y comunicación estratégica</v>
      </c>
      <c r="Z637" s="172" t="str">
        <f>CONCATENATE(X637,"-",Y637)</f>
        <v>13-Servicios para la planeación y sistemas de gestión y comunicación estratégica</v>
      </c>
      <c r="AA637" s="163" t="s">
        <v>231</v>
      </c>
      <c r="AB637" s="165" t="str">
        <f>IFERROR(VLOOKUP(AA637,TD!$N$51:$O$66,2,0)," ")</f>
        <v>Documentos de planeación</v>
      </c>
      <c r="AC637" s="172" t="str">
        <f>CONCATENATE(AA637,"_",AB637)</f>
        <v>019_Documentos de planeación</v>
      </c>
      <c r="AD637" s="172" t="str">
        <f>CONCATENATE(Z637," ",AC637)</f>
        <v>13-Servicios para la planeación y sistemas de gestión y comunicación estratégica 019_Documentos de planeación</v>
      </c>
      <c r="AE637" s="174" t="str">
        <f>CONCATENATE(U637,V637,W637,X637,AA637)</f>
        <v>O23011745992024020713019</v>
      </c>
      <c r="AF637" s="160" t="str">
        <f>IFERROR(VLOOKUP(AD637,TD!$J$66:$K$89,2,0)," ")</f>
        <v>PM/0131/0113/45990190207</v>
      </c>
      <c r="AG637" s="135" t="s">
        <v>385</v>
      </c>
      <c r="AH637" s="176" t="s">
        <v>194</v>
      </c>
      <c r="AI637" s="177" t="str">
        <f>CONCATENATE(PAA[[#This Row],[Id Interno]],"-",PAA[[#This Row],[tipo de Contrato (TH talento humano - B/S bienes y/o servicios)]],"-",S637,"-",T637,"-",PAA[[#This Row],[Objeto de la contratación]])</f>
        <v>20260611-TH-8126-1-Adición y prórroga al Contrato 356 de 2025 con objeto "Prestación de servicios profesionales en asuntos de comunicaciones y prensa para apoyar la creación y divulgación audiovisual relacionada con la misionalidad de la UAECOB"</v>
      </c>
    </row>
    <row r="638" spans="2:35" ht="56" x14ac:dyDescent="0.35">
      <c r="B638" s="142">
        <v>20260612</v>
      </c>
      <c r="C638" s="121" t="s">
        <v>985</v>
      </c>
      <c r="D638" s="130" t="s">
        <v>105</v>
      </c>
      <c r="E638" s="130" t="s">
        <v>363</v>
      </c>
      <c r="F638" s="130" t="s">
        <v>145</v>
      </c>
      <c r="G638" s="131" t="s">
        <v>374</v>
      </c>
      <c r="H638" s="137">
        <v>11</v>
      </c>
      <c r="I638" s="137">
        <v>0</v>
      </c>
      <c r="J638" s="132">
        <f>47300000</f>
        <v>47300000</v>
      </c>
      <c r="K638" s="133" t="s">
        <v>398</v>
      </c>
      <c r="L638" s="173" t="s">
        <v>150</v>
      </c>
      <c r="M638" s="171" t="s">
        <v>401</v>
      </c>
      <c r="N638" s="130" t="s">
        <v>197</v>
      </c>
      <c r="O638" s="170" t="s">
        <v>963</v>
      </c>
      <c r="P638" s="171" t="s">
        <v>348</v>
      </c>
      <c r="Q638" s="134">
        <v>80111600</v>
      </c>
      <c r="R638" s="171" t="s">
        <v>209</v>
      </c>
      <c r="S638" s="171" t="str">
        <f>MID(PAA[[#This Row],[Meta Proyecto de Inversión]],1,4)</f>
        <v>8126</v>
      </c>
      <c r="T638" s="171" t="str">
        <f>MID(PAA[[#This Row],[Meta Proyecto de Inversión]],6,1)</f>
        <v>1</v>
      </c>
      <c r="U638" s="174" t="str">
        <f>IFERROR(VLOOKUP(N638,TD!$B$50:$F$54,2,0)," ")</f>
        <v>O230117</v>
      </c>
      <c r="V638" s="174" t="str">
        <f>IFERROR(VLOOKUP(N638,TD!$B$50:$F$54,3,0)," ")</f>
        <v>4599</v>
      </c>
      <c r="W638" s="174">
        <f>IFERROR(VLOOKUP(N638,TD!$B$50:$F$54,4,0)," ")</f>
        <v>20240207</v>
      </c>
      <c r="X638" s="163" t="s">
        <v>182</v>
      </c>
      <c r="Y638" s="165" t="str">
        <f>IFERROR(VLOOKUP(X638,TD!$J$51:$K$64,2,0)," ")</f>
        <v>Servicios para la planeación y sistemas de gestión y comunicación estratégica</v>
      </c>
      <c r="Z638" s="172" t="str">
        <f>CONCATENATE(X638,"-",Y638)</f>
        <v>13-Servicios para la planeación y sistemas de gestión y comunicación estratégica</v>
      </c>
      <c r="AA638" s="163" t="s">
        <v>231</v>
      </c>
      <c r="AB638" s="165" t="str">
        <f>IFERROR(VLOOKUP(AA638,TD!$N$51:$O$66,2,0)," ")</f>
        <v>Documentos de planeación</v>
      </c>
      <c r="AC638" s="172" t="str">
        <f>CONCATENATE(AA638,"_",AB638)</f>
        <v>019_Documentos de planeación</v>
      </c>
      <c r="AD638" s="172" t="str">
        <f>CONCATENATE(Z638," ",AC638)</f>
        <v>13-Servicios para la planeación y sistemas de gestión y comunicación estratégica 019_Documentos de planeación</v>
      </c>
      <c r="AE638" s="174" t="str">
        <f>CONCATENATE(U638,V638,W638,X638,AA638)</f>
        <v>O23011745992024020713019</v>
      </c>
      <c r="AF638" s="160" t="str">
        <f>IFERROR(VLOOKUP(AD638,TD!$J$66:$K$89,2,0)," ")</f>
        <v>PM/0131/0113/45990190207</v>
      </c>
      <c r="AG638" s="135" t="s">
        <v>385</v>
      </c>
      <c r="AH638" s="176" t="s">
        <v>193</v>
      </c>
      <c r="AI638" s="177" t="str">
        <f>CONCATENATE(PAA[[#This Row],[Id Interno]],"-",PAA[[#This Row],[tipo de Contrato (TH talento humano - B/S bienes y/o servicios)]],"-",S638,"-",T638,"-",PAA[[#This Row],[Objeto de la contratación]])</f>
        <v>20260612-TH-8126-1-Prestación de servicios de apoyo a la gestión en asuntos de comunicaciones y prensa para apoyar las labores de reportería, periodismo y de divulgación de información de acuerdo con la misionalidad de la UAECOB.</v>
      </c>
    </row>
    <row r="639" spans="2:35" ht="76.5" customHeight="1" x14ac:dyDescent="0.35">
      <c r="B639" s="142">
        <v>20260613</v>
      </c>
      <c r="C639" s="121" t="s">
        <v>986</v>
      </c>
      <c r="D639" s="130" t="s">
        <v>83</v>
      </c>
      <c r="E639" s="130" t="s">
        <v>402</v>
      </c>
      <c r="F639" s="130" t="s">
        <v>124</v>
      </c>
      <c r="G639" s="131" t="s">
        <v>375</v>
      </c>
      <c r="H639" s="137">
        <v>3</v>
      </c>
      <c r="I639" s="137">
        <v>0</v>
      </c>
      <c r="J639" s="132">
        <v>182388960</v>
      </c>
      <c r="K639" s="133" t="s">
        <v>398</v>
      </c>
      <c r="L639" s="173" t="s">
        <v>156</v>
      </c>
      <c r="M639" s="171" t="s">
        <v>513</v>
      </c>
      <c r="N639" s="130" t="s">
        <v>198</v>
      </c>
      <c r="O639" s="170" t="s">
        <v>964</v>
      </c>
      <c r="P639" s="171" t="s">
        <v>348</v>
      </c>
      <c r="Q639" s="134" t="s">
        <v>541</v>
      </c>
      <c r="R639" s="171" t="s">
        <v>210</v>
      </c>
      <c r="S639" s="171" t="str">
        <f>MID(PAA[[#This Row],[Meta Proyecto de Inversión]],1,4)</f>
        <v>8173</v>
      </c>
      <c r="T639" s="171" t="str">
        <f>MID(PAA[[#This Row],[Meta Proyecto de Inversión]],6,1)</f>
        <v>1</v>
      </c>
      <c r="U639" s="174" t="str">
        <f>IFERROR(VLOOKUP(N639,TD!$B$50:$F$54,2,0)," ")</f>
        <v>O230117</v>
      </c>
      <c r="V639" s="174" t="str">
        <f>IFERROR(VLOOKUP(N639,TD!$B$50:$F$54,3,0)," ")</f>
        <v>4503</v>
      </c>
      <c r="W639" s="174">
        <f>IFERROR(VLOOKUP(N639,TD!$B$50:$F$54,4,0)," ")</f>
        <v>20240255</v>
      </c>
      <c r="X639" s="163" t="s">
        <v>166</v>
      </c>
      <c r="Y639" s="165" t="str">
        <f>IFERROR(VLOOKUP(X639,TD!$J$51:$K$64,2,0)," ")</f>
        <v>Servicio de capacitaciones en gestión del riesgo de incendios  a la ciudadania.</v>
      </c>
      <c r="Z639" s="172" t="str">
        <f>CONCATENATE(X639,"-",Y639)</f>
        <v>05-Servicio de capacitaciones en gestión del riesgo de incendios  a la ciudadania.</v>
      </c>
      <c r="AA639" s="163" t="s">
        <v>223</v>
      </c>
      <c r="AB639" s="165" t="str">
        <f>IFERROR(VLOOKUP(AA639,TD!$N$51:$O$66,2,0)," ")</f>
        <v>Servicio prevención y control de incendios</v>
      </c>
      <c r="AC639" s="172" t="str">
        <f>CONCATENATE(AA639,"_",AB639)</f>
        <v>035_Servicio prevención y control de incendios</v>
      </c>
      <c r="AD639" s="172" t="str">
        <f>CONCATENATE(Z639," ",AC639)</f>
        <v>05-Servicio de capacitaciones en gestión del riesgo de incendios  a la ciudadania. 035_Servicio prevención y control de incendios</v>
      </c>
      <c r="AE639" s="174" t="str">
        <f>CONCATENATE(U639,V639,W639,X639,AA639)</f>
        <v>O23011745032024025505035</v>
      </c>
      <c r="AF639" s="160" t="str">
        <f>IFERROR(VLOOKUP(AD639,TD!$J$66:$K$89,2,0)," ")</f>
        <v>PM/0131/0105/45030350255</v>
      </c>
      <c r="AG639" s="135" t="s">
        <v>572</v>
      </c>
      <c r="AH639" s="176" t="s">
        <v>194</v>
      </c>
      <c r="AI639" s="177" t="str">
        <f>CONCATENATE(PAA[[#This Row],[Id Interno]],"-",PAA[[#This Row],[tipo de Contrato (TH talento humano - B/S bienes y/o servicios)]],"-",S639,"-",T639,"-",PAA[[#This Row],[Objeto de la contratación]])</f>
        <v>20260613-BS-8173-1-Adición  y prorroga  CTO 479-2025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v>
      </c>
    </row>
    <row r="640" spans="2:35" ht="84" x14ac:dyDescent="0.35">
      <c r="B640" s="142">
        <v>20260614</v>
      </c>
      <c r="C640" s="121" t="s">
        <v>988</v>
      </c>
      <c r="D640" s="130" t="s">
        <v>105</v>
      </c>
      <c r="E640" s="130" t="s">
        <v>363</v>
      </c>
      <c r="F640" s="130" t="s">
        <v>144</v>
      </c>
      <c r="G640" s="131" t="s">
        <v>989</v>
      </c>
      <c r="H640" s="137">
        <v>10</v>
      </c>
      <c r="I640" s="137">
        <v>0</v>
      </c>
      <c r="J640" s="132">
        <v>65000000</v>
      </c>
      <c r="K640" s="133" t="s">
        <v>398</v>
      </c>
      <c r="L640" s="173" t="s">
        <v>152</v>
      </c>
      <c r="M640" s="171" t="s">
        <v>976</v>
      </c>
      <c r="N640" s="130" t="s">
        <v>197</v>
      </c>
      <c r="O640" s="170" t="s">
        <v>963</v>
      </c>
      <c r="P640" s="171" t="s">
        <v>348</v>
      </c>
      <c r="Q640" s="134">
        <v>80111600</v>
      </c>
      <c r="R640" s="171" t="s">
        <v>208</v>
      </c>
      <c r="S640" s="171" t="str">
        <f>MID(PAA[[#This Row],[Meta Proyecto de Inversión]],1,4)</f>
        <v>8126</v>
      </c>
      <c r="T640" s="171" t="str">
        <f>MID(PAA[[#This Row],[Meta Proyecto de Inversión]],6,1)</f>
        <v>9</v>
      </c>
      <c r="U640" s="174" t="str">
        <f>IFERROR(VLOOKUP(N640,TD!$B$50:$F$54,2,0)," ")</f>
        <v>O230117</v>
      </c>
      <c r="V640" s="174" t="str">
        <f>IFERROR(VLOOKUP(N640,TD!$B$50:$F$54,3,0)," ")</f>
        <v>4599</v>
      </c>
      <c r="W640" s="174">
        <f>IFERROR(VLOOKUP(N640,TD!$B$50:$F$54,4,0)," ")</f>
        <v>20240207</v>
      </c>
      <c r="X640" s="163" t="s">
        <v>174</v>
      </c>
      <c r="Y640" s="165" t="str">
        <f>IFERROR(VLOOKUP(X640,TD!$J$51:$K$64,2,0)," ")</f>
        <v>Infraestructura física, mantenimiento y dotación (Sedes construidas, mantenidas reforzadas)</v>
      </c>
      <c r="Z640" s="172" t="str">
        <f>CONCATENATE(X640,"-",Y640)</f>
        <v>08-Infraestructura física, mantenimiento y dotación (Sedes construidas, mantenidas reforzadas)</v>
      </c>
      <c r="AA640" s="163" t="s">
        <v>227</v>
      </c>
      <c r="AB640" s="165" t="str">
        <f>IFERROR(VLOOKUP(AA640,TD!$N$51:$O$66,2,0)," ")</f>
        <v>Sedes mantenidas</v>
      </c>
      <c r="AC640" s="172" t="str">
        <f>CONCATENATE(AA640,"_",AB640)</f>
        <v>016_Sedes mantenidas</v>
      </c>
      <c r="AD640" s="172" t="str">
        <f>CONCATENATE(Z640," ",AC640)</f>
        <v>08-Infraestructura física, mantenimiento y dotación (Sedes construidas, mantenidas reforzadas) 016_Sedes mantenidas</v>
      </c>
      <c r="AE640" s="174" t="str">
        <f>CONCATENATE(U640,V640,W640,X640,AA640)</f>
        <v>O23011745992024020708016</v>
      </c>
      <c r="AF640" s="160" t="str">
        <f>IFERROR(VLOOKUP(AD640,TD!$J$66:$K$89,2,0)," ")</f>
        <v>PM/0131/0108/45990160207</v>
      </c>
      <c r="AG640" s="135" t="s">
        <v>385</v>
      </c>
      <c r="AH640" s="176" t="s">
        <v>193</v>
      </c>
      <c r="AI640" s="177" t="str">
        <f>CONCATENATE(PAA[[#This Row],[Id Interno]],"-",PAA[[#This Row],[tipo de Contrato (TH talento humano - B/S bienes y/o servicios)]],"-",S640,"-",T640,"-",PAA[[#This Row],[Objeto de la contratación]])</f>
        <v>20260614-TH-8126-9-Prestar los servicios profesionales  en la Oficina de Control Interno para el desarrollo del Plan Anual de Auditorías.</v>
      </c>
    </row>
    <row r="641" spans="2:35" ht="70" x14ac:dyDescent="0.35">
      <c r="B641" s="142">
        <v>20260615</v>
      </c>
      <c r="C641" s="121" t="s">
        <v>988</v>
      </c>
      <c r="D641" s="130" t="s">
        <v>105</v>
      </c>
      <c r="E641" s="130" t="s">
        <v>363</v>
      </c>
      <c r="F641" s="130" t="s">
        <v>144</v>
      </c>
      <c r="G641" s="131" t="s">
        <v>989</v>
      </c>
      <c r="H641" s="137">
        <v>10</v>
      </c>
      <c r="I641" s="137">
        <v>0</v>
      </c>
      <c r="J641" s="132">
        <v>77000000</v>
      </c>
      <c r="K641" s="133" t="s">
        <v>398</v>
      </c>
      <c r="L641" s="173" t="s">
        <v>152</v>
      </c>
      <c r="M641" s="171" t="s">
        <v>976</v>
      </c>
      <c r="N641" s="130" t="s">
        <v>197</v>
      </c>
      <c r="O641" s="170" t="s">
        <v>963</v>
      </c>
      <c r="P641" s="171" t="s">
        <v>348</v>
      </c>
      <c r="Q641" s="134">
        <v>80111600</v>
      </c>
      <c r="R641" s="171" t="s">
        <v>208</v>
      </c>
      <c r="S641" s="171" t="str">
        <f>MID(PAA[[#This Row],[Meta Proyecto de Inversión]],1,4)</f>
        <v>8126</v>
      </c>
      <c r="T641" s="171" t="str">
        <f>MID(PAA[[#This Row],[Meta Proyecto de Inversión]],6,1)</f>
        <v>9</v>
      </c>
      <c r="U641" s="174" t="str">
        <f>IFERROR(VLOOKUP(N641,TD!$B$50:$F$54,2,0)," ")</f>
        <v>O230117</v>
      </c>
      <c r="V641" s="174" t="str">
        <f>IFERROR(VLOOKUP(N641,TD!$B$50:$F$54,3,0)," ")</f>
        <v>4599</v>
      </c>
      <c r="W641" s="174">
        <f>IFERROR(VLOOKUP(N641,TD!$B$50:$F$54,4,0)," ")</f>
        <v>20240207</v>
      </c>
      <c r="X641" s="163" t="s">
        <v>174</v>
      </c>
      <c r="Y641" s="165" t="str">
        <f>IFERROR(VLOOKUP(X641,TD!$J$51:$K$64,2,0)," ")</f>
        <v>Infraestructura física, mantenimiento y dotación (Sedes construidas, mantenidas reforzadas)</v>
      </c>
      <c r="Z641" s="172" t="str">
        <f>CONCATENATE(X641,"-",Y641)</f>
        <v>08-Infraestructura física, mantenimiento y dotación (Sedes construidas, mantenidas reforzadas)</v>
      </c>
      <c r="AA641" s="163" t="s">
        <v>227</v>
      </c>
      <c r="AB641" s="165" t="str">
        <f>IFERROR(VLOOKUP(AA641,TD!$N$51:$O$66,2,0)," ")</f>
        <v>Sedes mantenidas</v>
      </c>
      <c r="AC641" s="172" t="str">
        <f>CONCATENATE(AA641,"_",AB641)</f>
        <v>016_Sedes mantenidas</v>
      </c>
      <c r="AD641" s="172" t="str">
        <f>CONCATENATE(Z641," ",AC641)</f>
        <v>08-Infraestructura física, mantenimiento y dotación (Sedes construidas, mantenidas reforzadas) 016_Sedes mantenidas</v>
      </c>
      <c r="AE641" s="174" t="str">
        <f>CONCATENATE(U641,V641,W641,X641,AA641)</f>
        <v>O23011745992024020708016</v>
      </c>
      <c r="AF641" s="160" t="str">
        <f>IFERROR(VLOOKUP(AD641,TD!$J$66:$K$89,2,0)," ")</f>
        <v>PM/0131/0108/45990160207</v>
      </c>
      <c r="AG641" s="135" t="s">
        <v>385</v>
      </c>
      <c r="AH641" s="176" t="s">
        <v>193</v>
      </c>
      <c r="AI641" s="177" t="str">
        <f>CONCATENATE(PAA[[#This Row],[Id Interno]],"-",PAA[[#This Row],[tipo de Contrato (TH talento humano - B/S bienes y/o servicios)]],"-",S641,"-",T641,"-",PAA[[#This Row],[Objeto de la contratación]])</f>
        <v>20260615-TH-8126-9-Prestar los servicios profesionales  en la Oficina de Control Interno para el desarrollo del Plan Anual de Auditorías.</v>
      </c>
    </row>
    <row r="642" spans="2:35" ht="56" x14ac:dyDescent="0.35">
      <c r="B642" s="142">
        <v>20260616</v>
      </c>
      <c r="C642" s="121" t="s">
        <v>990</v>
      </c>
      <c r="D642" s="130" t="s">
        <v>105</v>
      </c>
      <c r="E642" s="130" t="s">
        <v>363</v>
      </c>
      <c r="F642" s="130" t="s">
        <v>145</v>
      </c>
      <c r="G642" s="131" t="s">
        <v>373</v>
      </c>
      <c r="H642" s="137">
        <v>8</v>
      </c>
      <c r="I642" s="137">
        <v>0</v>
      </c>
      <c r="J642" s="132">
        <v>28000000</v>
      </c>
      <c r="K642" s="133" t="s">
        <v>398</v>
      </c>
      <c r="L642" s="173" t="s">
        <v>158</v>
      </c>
      <c r="M642" s="171" t="s">
        <v>421</v>
      </c>
      <c r="N642" s="130" t="s">
        <v>198</v>
      </c>
      <c r="O642" s="170" t="s">
        <v>964</v>
      </c>
      <c r="P642" s="171" t="s">
        <v>348</v>
      </c>
      <c r="Q642" s="134">
        <v>80111600</v>
      </c>
      <c r="R642" s="171" t="s">
        <v>211</v>
      </c>
      <c r="S642" s="171" t="str">
        <f>MID(PAA[[#This Row],[Meta Proyecto de Inversión]],1,4)</f>
        <v>8173</v>
      </c>
      <c r="T642" s="171" t="str">
        <f>MID(PAA[[#This Row],[Meta Proyecto de Inversión]],6,1)</f>
        <v>2</v>
      </c>
      <c r="U642" s="174" t="str">
        <f>IFERROR(VLOOKUP(N642,TD!$B$50:$F$54,2,0)," ")</f>
        <v>O230117</v>
      </c>
      <c r="V642" s="174" t="str">
        <f>IFERROR(VLOOKUP(N642,TD!$B$50:$F$54,3,0)," ")</f>
        <v>4503</v>
      </c>
      <c r="W642" s="174">
        <f>IFERROR(VLOOKUP(N642,TD!$B$50:$F$54,4,0)," ")</f>
        <v>20240255</v>
      </c>
      <c r="X642" s="163" t="s">
        <v>164</v>
      </c>
      <c r="Y642" s="165" t="str">
        <f>IFERROR(VLOOKUP(X642,TD!$J$51:$K$64,2,0)," ")</f>
        <v>Servicio de atención a incidentes y emergencias.</v>
      </c>
      <c r="Z642" s="172" t="str">
        <f>CONCATENATE(X642,"-",Y642)</f>
        <v>04-Servicio de atención a incidentes y emergencias.</v>
      </c>
      <c r="AA642" s="163" t="s">
        <v>221</v>
      </c>
      <c r="AB642" s="165" t="str">
        <f>IFERROR(VLOOKUP(AA642,TD!$N$51:$O$66,2,0)," ")</f>
        <v>Servicio de atención a emergencias y desastres</v>
      </c>
      <c r="AC642" s="172" t="str">
        <f>CONCATENATE(AA642,"_",AB642)</f>
        <v>004_Servicio de atención a emergencias y desastres</v>
      </c>
      <c r="AD642" s="172" t="str">
        <f>CONCATENATE(Z642," ",AC642)</f>
        <v>04-Servicio de atención a incidentes y emergencias. 004_Servicio de atención a emergencias y desastres</v>
      </c>
      <c r="AE642" s="174" t="str">
        <f>CONCATENATE(U642,V642,W642,X642,AA642)</f>
        <v>O23011745032024025504004</v>
      </c>
      <c r="AF642" s="160" t="str">
        <f>IFERROR(VLOOKUP(AD642,TD!$J$66:$K$89,2,0)," ")</f>
        <v>PM/0131/0104/45030040255</v>
      </c>
      <c r="AG642" s="135" t="s">
        <v>385</v>
      </c>
      <c r="AH642" s="176" t="s">
        <v>193</v>
      </c>
      <c r="AI642" s="177" t="str">
        <f>CONCATENATE(PAA[[#This Row],[Id Interno]],"-",PAA[[#This Row],[tipo de Contrato (TH talento humano - B/S bienes y/o servicios)]],"-",S642,"-",T642,"-",PAA[[#This Row],[Objeto de la contratación]])</f>
        <v>20260616-TH-8173-2-Prestar servicios de apoyo a la gestión en el desarrollo de las actividades y trámites administrativos y operativos relacionados con los procesos que se encuentran a cargo de la Subdirección Operativa de la UAECOB-SO.</v>
      </c>
    </row>
    <row r="643" spans="2:35" ht="42" x14ac:dyDescent="0.35">
      <c r="B643" s="142">
        <v>20260617</v>
      </c>
      <c r="C643" s="121" t="s">
        <v>991</v>
      </c>
      <c r="D643" s="130" t="s">
        <v>105</v>
      </c>
      <c r="E643" s="130" t="s">
        <v>363</v>
      </c>
      <c r="F643" s="130" t="s">
        <v>144</v>
      </c>
      <c r="G643" s="131" t="s">
        <v>373</v>
      </c>
      <c r="H643" s="137">
        <v>6</v>
      </c>
      <c r="I643" s="137">
        <v>0</v>
      </c>
      <c r="J643" s="132">
        <v>48000000</v>
      </c>
      <c r="K643" s="133" t="s">
        <v>398</v>
      </c>
      <c r="L643" s="173" t="s">
        <v>158</v>
      </c>
      <c r="M643" s="171" t="s">
        <v>421</v>
      </c>
      <c r="N643" s="130" t="s">
        <v>198</v>
      </c>
      <c r="O643" s="170" t="s">
        <v>964</v>
      </c>
      <c r="P643" s="171" t="s">
        <v>348</v>
      </c>
      <c r="Q643" s="134">
        <v>80111600</v>
      </c>
      <c r="R643" s="171" t="s">
        <v>211</v>
      </c>
      <c r="S643" s="171" t="str">
        <f>MID(PAA[[#This Row],[Meta Proyecto de Inversión]],1,4)</f>
        <v>8173</v>
      </c>
      <c r="T643" s="171" t="str">
        <f>MID(PAA[[#This Row],[Meta Proyecto de Inversión]],6,1)</f>
        <v>2</v>
      </c>
      <c r="U643" s="174" t="str">
        <f>IFERROR(VLOOKUP(N643,TD!$B$50:$F$54,2,0)," ")</f>
        <v>O230117</v>
      </c>
      <c r="V643" s="174" t="str">
        <f>IFERROR(VLOOKUP(N643,TD!$B$50:$F$54,3,0)," ")</f>
        <v>4503</v>
      </c>
      <c r="W643" s="174">
        <f>IFERROR(VLOOKUP(N643,TD!$B$50:$F$54,4,0)," ")</f>
        <v>20240255</v>
      </c>
      <c r="X643" s="163" t="s">
        <v>164</v>
      </c>
      <c r="Y643" s="165" t="str">
        <f>IFERROR(VLOOKUP(X643,TD!$J$51:$K$64,2,0)," ")</f>
        <v>Servicio de atención a incidentes y emergencias.</v>
      </c>
      <c r="Z643" s="172" t="str">
        <f>CONCATENATE(X643,"-",Y643)</f>
        <v>04-Servicio de atención a incidentes y emergencias.</v>
      </c>
      <c r="AA643" s="163" t="s">
        <v>221</v>
      </c>
      <c r="AB643" s="165" t="str">
        <f>IFERROR(VLOOKUP(AA643,TD!$N$51:$O$66,2,0)," ")</f>
        <v>Servicio de atención a emergencias y desastres</v>
      </c>
      <c r="AC643" s="172" t="str">
        <f>CONCATENATE(AA643,"_",AB643)</f>
        <v>004_Servicio de atención a emergencias y desastres</v>
      </c>
      <c r="AD643" s="172" t="str">
        <f>CONCATENATE(Z643," ",AC643)</f>
        <v>04-Servicio de atención a incidentes y emergencias. 004_Servicio de atención a emergencias y desastres</v>
      </c>
      <c r="AE643" s="174" t="str">
        <f>CONCATENATE(U643,V643,W643,X643,AA643)</f>
        <v>O23011745032024025504004</v>
      </c>
      <c r="AF643" s="160" t="str">
        <f>IFERROR(VLOOKUP(AD643,TD!$J$66:$K$89,2,0)," ")</f>
        <v>PM/0131/0104/45030040255</v>
      </c>
      <c r="AG643" s="135" t="s">
        <v>385</v>
      </c>
      <c r="AH643" s="176" t="s">
        <v>193</v>
      </c>
      <c r="AI643" s="177" t="str">
        <f>CONCATENATE(PAA[[#This Row],[Id Interno]],"-",PAA[[#This Row],[tipo de Contrato (TH talento humano - B/S bienes y/o servicios)]],"-",S643,"-",T643,"-",PAA[[#This Row],[Objeto de la contratación]])</f>
        <v>20260617-TH-8173-2-Prestar los servicios profesionales a la Subdirección Operativa de la UAECOB desde el componente jurídico, en los asuntos a cargo de la dependencia para el adecuado alcance de las metas e indicadores asignados a esta, brindando plena aplicación a la normatividad vigente-S.O.</v>
      </c>
    </row>
    <row r="644" spans="2:35" ht="56" x14ac:dyDescent="0.35">
      <c r="B644" s="142">
        <v>20260618</v>
      </c>
      <c r="C644" s="121" t="s">
        <v>992</v>
      </c>
      <c r="D644" s="130" t="s">
        <v>114</v>
      </c>
      <c r="E644" s="130" t="s">
        <v>402</v>
      </c>
      <c r="F644" s="130" t="s">
        <v>79</v>
      </c>
      <c r="G644" s="131" t="s">
        <v>374</v>
      </c>
      <c r="H644" s="137">
        <v>4</v>
      </c>
      <c r="I644" s="137">
        <v>0</v>
      </c>
      <c r="J644" s="132">
        <v>1200000000</v>
      </c>
      <c r="K644" s="133" t="s">
        <v>397</v>
      </c>
      <c r="L644" s="173" t="s">
        <v>158</v>
      </c>
      <c r="M644" s="171" t="s">
        <v>421</v>
      </c>
      <c r="N644" s="130" t="s">
        <v>198</v>
      </c>
      <c r="O644" s="170" t="s">
        <v>964</v>
      </c>
      <c r="P644" s="171" t="s">
        <v>348</v>
      </c>
      <c r="Q644" s="134">
        <v>80111600</v>
      </c>
      <c r="R644" s="171" t="s">
        <v>212</v>
      </c>
      <c r="S644" s="171" t="str">
        <f>MID(PAA[[#This Row],[Meta Proyecto de Inversión]],1,4)</f>
        <v>8173</v>
      </c>
      <c r="T644" s="171" t="str">
        <f>MID(PAA[[#This Row],[Meta Proyecto de Inversión]],6,1)</f>
        <v>3</v>
      </c>
      <c r="U644" s="174" t="str">
        <f>IFERROR(VLOOKUP(N644,TD!$B$50:$F$54,2,0)," ")</f>
        <v>O230117</v>
      </c>
      <c r="V644" s="174" t="str">
        <f>IFERROR(VLOOKUP(N644,TD!$B$50:$F$54,3,0)," ")</f>
        <v>4503</v>
      </c>
      <c r="W644" s="174">
        <f>IFERROR(VLOOKUP(N644,TD!$B$50:$F$54,4,0)," ")</f>
        <v>20240255</v>
      </c>
      <c r="X644" s="170" t="s">
        <v>178</v>
      </c>
      <c r="Y644" s="165" t="str">
        <f>IFERROR(VLOOKUP(X644,TD!$J$51:$K$64,2,0)," ")</f>
        <v>Servicio de dotación y equipamento para el personal operativo</v>
      </c>
      <c r="Z644" s="172" t="str">
        <f>CONCATENATE(X644,"-",Y644)</f>
        <v>10-Servicio de dotación y equipamento para el personal operativo</v>
      </c>
      <c r="AA644" s="170" t="s">
        <v>221</v>
      </c>
      <c r="AB644" s="165" t="str">
        <f>IFERROR(VLOOKUP(AA644,TD!$N$51:$O$66,2,0)," ")</f>
        <v>Servicio de atención a emergencias y desastres</v>
      </c>
      <c r="AC644" s="172" t="str">
        <f>CONCATENATE(AA644,"_",AB644)</f>
        <v>004_Servicio de atención a emergencias y desastres</v>
      </c>
      <c r="AD644" s="172" t="str">
        <f>CONCATENATE(Z644," ",AC644)</f>
        <v>10-Servicio de dotación y equipamento para el personal operativo 004_Servicio de atención a emergencias y desastres</v>
      </c>
      <c r="AE644" s="174" t="str">
        <f>CONCATENATE(U644,V644,W644,X644,AA644)</f>
        <v>O23011745032024025510004</v>
      </c>
      <c r="AF644" s="160" t="str">
        <f>IFERROR(VLOOKUP(AD644,TD!$J$66:$K$89,2,0)," ")</f>
        <v>PM/0131/0110/45030040255</v>
      </c>
      <c r="AG644" s="135" t="s">
        <v>80</v>
      </c>
      <c r="AH644" s="176" t="s">
        <v>193</v>
      </c>
      <c r="AI644" s="177" t="str">
        <f>CONCATENATE(PAA[[#This Row],[Id Interno]],"-",PAA[[#This Row],[tipo de Contrato (TH talento humano - B/S bienes y/o servicios)]],"-",S644,"-",T644,"-",PAA[[#This Row],[Objeto de la contratación]])</f>
        <v>20260618-BS-8173-3-Adquisición de vehiculos operativos para la atención de emergencias para la UAE Cuerpo Oficial de Bomberos de Bogotá, S.O.</v>
      </c>
    </row>
    <row r="645" spans="2:35" ht="56" x14ac:dyDescent="0.35">
      <c r="B645" s="142">
        <v>20260619</v>
      </c>
      <c r="C645" s="121" t="s">
        <v>993</v>
      </c>
      <c r="D645" s="130" t="s">
        <v>114</v>
      </c>
      <c r="E645" s="130" t="s">
        <v>402</v>
      </c>
      <c r="F645" s="130" t="s">
        <v>79</v>
      </c>
      <c r="G645" s="131" t="s">
        <v>373</v>
      </c>
      <c r="H645" s="137">
        <v>2</v>
      </c>
      <c r="I645" s="137">
        <v>0</v>
      </c>
      <c r="J645" s="132">
        <v>5093340</v>
      </c>
      <c r="K645" s="133" t="s">
        <v>398</v>
      </c>
      <c r="L645" s="173" t="s">
        <v>158</v>
      </c>
      <c r="M645" s="171" t="s">
        <v>421</v>
      </c>
      <c r="N645" s="130" t="s">
        <v>198</v>
      </c>
      <c r="O645" s="170" t="s">
        <v>964</v>
      </c>
      <c r="P645" s="171" t="s">
        <v>348</v>
      </c>
      <c r="Q645" s="134">
        <v>80111600</v>
      </c>
      <c r="R645" s="171" t="s">
        <v>211</v>
      </c>
      <c r="S645" s="171" t="str">
        <f>MID(PAA[[#This Row],[Meta Proyecto de Inversión]],1,4)</f>
        <v>8173</v>
      </c>
      <c r="T645" s="171" t="str">
        <f>MID(PAA[[#This Row],[Meta Proyecto de Inversión]],6,1)</f>
        <v>2</v>
      </c>
      <c r="U645" s="174" t="str">
        <f>IFERROR(VLOOKUP(N645,TD!$B$50:$F$54,2,0)," ")</f>
        <v>O230117</v>
      </c>
      <c r="V645" s="174" t="str">
        <f>IFERROR(VLOOKUP(N645,TD!$B$50:$F$54,3,0)," ")</f>
        <v>4503</v>
      </c>
      <c r="W645" s="174">
        <f>IFERROR(VLOOKUP(N645,TD!$B$50:$F$54,4,0)," ")</f>
        <v>20240255</v>
      </c>
      <c r="X645" s="170" t="s">
        <v>178</v>
      </c>
      <c r="Y645" s="165" t="str">
        <f>IFERROR(VLOOKUP(X645,TD!$J$51:$K$64,2,0)," ")</f>
        <v>Servicio de dotación y equipamento para el personal operativo</v>
      </c>
      <c r="Z645" s="172" t="str">
        <f>CONCATENATE(X645,"-",Y645)</f>
        <v>10-Servicio de dotación y equipamento para el personal operativo</v>
      </c>
      <c r="AA645" s="170" t="s">
        <v>221</v>
      </c>
      <c r="AB645" s="165" t="str">
        <f>IFERROR(VLOOKUP(AA645,TD!$N$51:$O$66,2,0)," ")</f>
        <v>Servicio de atención a emergencias y desastres</v>
      </c>
      <c r="AC645" s="172" t="str">
        <f>CONCATENATE(AA645,"_",AB645)</f>
        <v>004_Servicio de atención a emergencias y desastres</v>
      </c>
      <c r="AD645" s="172" t="str">
        <f>CONCATENATE(Z645," ",AC645)</f>
        <v>10-Servicio de dotación y equipamento para el personal operativo 004_Servicio de atención a emergencias y desastres</v>
      </c>
      <c r="AE645" s="174" t="str">
        <f>CONCATENATE(U645,V645,W645,X645,AA645)</f>
        <v>O23011745032024025510004</v>
      </c>
      <c r="AF645" s="160" t="str">
        <f>IFERROR(VLOOKUP(AD645,TD!$J$66:$K$89,2,0)," ")</f>
        <v>PM/0131/0110/45030040255</v>
      </c>
      <c r="AG645" s="135" t="s">
        <v>80</v>
      </c>
      <c r="AH645" s="176" t="s">
        <v>194</v>
      </c>
      <c r="AI645" s="177" t="str">
        <f>CONCATENATE(PAA[[#This Row],[Id Interno]],"-",PAA[[#This Row],[tipo de Contrato (TH talento humano - B/S bienes y/o servicios)]],"-",S645,"-",T645,"-",PAA[[#This Row],[Objeto de la contratación]])</f>
        <v>20260619-BS-8173-2-Adición al contrato de compraventa número UAECOB CONTRATO-696-2025, correspondiente a la ORDEN DE COMPRA 156891 de la Tienda Virtual del Estado Colombiano y cuyo objeto es: “Adquisición de herramientas de corte para la atención de emergencias para  la UAE Cuerpo Oficial de Bomberos de Bogota -S.O.”</v>
      </c>
    </row>
    <row r="646" spans="2:35" ht="126" x14ac:dyDescent="0.35">
      <c r="B646" s="142">
        <v>20260620</v>
      </c>
      <c r="C646" s="121" t="s">
        <v>994</v>
      </c>
      <c r="D646" s="130" t="s">
        <v>119</v>
      </c>
      <c r="E646" s="130" t="s">
        <v>402</v>
      </c>
      <c r="F646" s="130" t="s">
        <v>128</v>
      </c>
      <c r="G646" s="131" t="s">
        <v>380</v>
      </c>
      <c r="H646" s="137">
        <v>11</v>
      </c>
      <c r="I646" s="137">
        <v>0</v>
      </c>
      <c r="J646" s="132">
        <v>180000000</v>
      </c>
      <c r="K646" s="133" t="s">
        <v>398</v>
      </c>
      <c r="L646" s="173" t="s">
        <v>154</v>
      </c>
      <c r="M646" s="171" t="s">
        <v>460</v>
      </c>
      <c r="N646" s="130" t="s">
        <v>330</v>
      </c>
      <c r="O646" s="171" t="s">
        <v>963</v>
      </c>
      <c r="P646" s="171" t="s">
        <v>161</v>
      </c>
      <c r="Q646" s="134" t="s">
        <v>333</v>
      </c>
      <c r="R646" s="171" t="s">
        <v>331</v>
      </c>
      <c r="S646" s="171" t="str">
        <f>MID(PAA[[#This Row],[Meta Proyecto de Inversión]],1,4)</f>
        <v>No a</v>
      </c>
      <c r="T646" s="171" t="str">
        <f>MID(PAA[[#This Row],[Meta Proyecto de Inversión]],6,1)</f>
        <v>l</v>
      </c>
      <c r="U646" s="174" t="str">
        <f>IFERROR(VLOOKUP(N646,TD!$B$50:$F$54,2,0)," ")</f>
        <v>NA</v>
      </c>
      <c r="V646" s="174" t="str">
        <f>IFERROR(VLOOKUP(N646,TD!$B$50:$F$54,3,0)," ")</f>
        <v>NA</v>
      </c>
      <c r="W646" s="174" t="str">
        <f>IFERROR(VLOOKUP(N646,TD!$B$50:$F$54,4,0)," ")</f>
        <v>NA</v>
      </c>
      <c r="X646" s="170" t="s">
        <v>335</v>
      </c>
      <c r="Y646" s="165" t="str">
        <f>IFERROR(VLOOKUP(X646,TD!$J$51:$K$64,2,0)," ")</f>
        <v>N/A</v>
      </c>
      <c r="Z646" s="172" t="str">
        <f>CONCATENATE(X646,"-",Y646)</f>
        <v>N/A-N/A</v>
      </c>
      <c r="AA646" s="170" t="s">
        <v>335</v>
      </c>
      <c r="AB646" s="165" t="str">
        <f>IFERROR(VLOOKUP(AA646,TD!$N$51:$O$66,2,0)," ")</f>
        <v>N/A</v>
      </c>
      <c r="AC646" s="172" t="str">
        <f>CONCATENATE(AA646,"_",AB646)</f>
        <v>N/A_N/A</v>
      </c>
      <c r="AD646" s="172" t="str">
        <f>CONCATENATE(Z646," ",AC646)</f>
        <v>N/A-N/A N/A_N/A</v>
      </c>
      <c r="AE646" s="174" t="str">
        <f>CONCATENATE(U646,V646,W646,X646,AA646)</f>
        <v>NANANAN/AN/A</v>
      </c>
      <c r="AF646" s="160" t="str">
        <f>IFERROR(VLOOKUP(AD646,TD!$J$66:$K$89,2,0)," ")</f>
        <v>N/A</v>
      </c>
      <c r="AG646" s="135" t="s">
        <v>332</v>
      </c>
      <c r="AH646" s="176" t="s">
        <v>193</v>
      </c>
      <c r="AI646" s="179" t="str">
        <f>CONCATENATE(PAA[[#This Row],[Id Interno]],"-",PAA[[#This Row],[tipo de Contrato (TH talento humano - B/S bienes y/o servicios)]],"-",S646,"-",T646,"-",PAA[[#This Row],[Objeto de la contratación]])</f>
        <v>20260620-BS-No a-l-SGH - INCENTIVOS</v>
      </c>
    </row>
    <row r="647" spans="2:35" ht="56" x14ac:dyDescent="0.35">
      <c r="B647" s="142">
        <v>20260621</v>
      </c>
      <c r="C647" s="121" t="s">
        <v>995</v>
      </c>
      <c r="D647" s="130" t="s">
        <v>105</v>
      </c>
      <c r="E647" s="130" t="s">
        <v>363</v>
      </c>
      <c r="F647" s="130" t="s">
        <v>144</v>
      </c>
      <c r="G647" s="131" t="s">
        <v>373</v>
      </c>
      <c r="H647" s="137">
        <v>3</v>
      </c>
      <c r="I647" s="137">
        <v>0</v>
      </c>
      <c r="J647" s="132">
        <v>29400000</v>
      </c>
      <c r="K647" s="133" t="s">
        <v>398</v>
      </c>
      <c r="L647" s="173" t="s">
        <v>154</v>
      </c>
      <c r="M647" s="171" t="s">
        <v>460</v>
      </c>
      <c r="N647" s="130" t="s">
        <v>197</v>
      </c>
      <c r="O647" s="171" t="s">
        <v>963</v>
      </c>
      <c r="P647" s="171" t="s">
        <v>348</v>
      </c>
      <c r="Q647" s="134">
        <v>80111600</v>
      </c>
      <c r="R647" s="171" t="s">
        <v>208</v>
      </c>
      <c r="S647" s="171" t="str">
        <f>MID(PAA[[#This Row],[Meta Proyecto de Inversión]],1,4)</f>
        <v>8126</v>
      </c>
      <c r="T647" s="171" t="str">
        <f>MID(PAA[[#This Row],[Meta Proyecto de Inversión]],6,1)</f>
        <v>9</v>
      </c>
      <c r="U647" s="174" t="str">
        <f>IFERROR(VLOOKUP(N647,TD!$B$50:$F$54,2,0)," ")</f>
        <v>O230117</v>
      </c>
      <c r="V647" s="174" t="str">
        <f>IFERROR(VLOOKUP(N647,TD!$B$50:$F$54,3,0)," ")</f>
        <v>4599</v>
      </c>
      <c r="W647" s="174">
        <f>IFERROR(VLOOKUP(N647,TD!$B$50:$F$54,4,0)," ")</f>
        <v>20240207</v>
      </c>
      <c r="X647" s="170" t="s">
        <v>174</v>
      </c>
      <c r="Y647" s="165" t="str">
        <f>IFERROR(VLOOKUP(X647,TD!$J$51:$K$64,2,0)," ")</f>
        <v>Infraestructura física, mantenimiento y dotación (Sedes construidas, mantenidas reforzadas)</v>
      </c>
      <c r="Z647" s="172" t="str">
        <f>CONCATENATE(X647,"-",Y647)</f>
        <v>08-Infraestructura física, mantenimiento y dotación (Sedes construidas, mantenidas reforzadas)</v>
      </c>
      <c r="AA647" s="170" t="s">
        <v>227</v>
      </c>
      <c r="AB647" s="165" t="str">
        <f>IFERROR(VLOOKUP(AA647,TD!$N$51:$O$66,2,0)," ")</f>
        <v>Sedes mantenidas</v>
      </c>
      <c r="AC647" s="172" t="str">
        <f>CONCATENATE(AA647,"_",AB647)</f>
        <v>016_Sedes mantenidas</v>
      </c>
      <c r="AD647" s="172" t="str">
        <f>CONCATENATE(Z647," ",AC647)</f>
        <v>08-Infraestructura física, mantenimiento y dotación (Sedes construidas, mantenidas reforzadas) 016_Sedes mantenidas</v>
      </c>
      <c r="AE647" s="174" t="str">
        <f>CONCATENATE(U647,V647,W647,X647,AA647)</f>
        <v>O23011745992024020708016</v>
      </c>
      <c r="AF647" s="160" t="str">
        <f>IFERROR(VLOOKUP(AD647,TD!$J$66:$K$89,2,0)," ")</f>
        <v>PM/0131/0108/45990160207</v>
      </c>
      <c r="AG647" s="135" t="s">
        <v>385</v>
      </c>
      <c r="AH647" s="176" t="s">
        <v>193</v>
      </c>
      <c r="AI647" s="177" t="str">
        <f>CONCATENATE(PAA[[#This Row],[Id Interno]],"-",PAA[[#This Row],[tipo de Contrato (TH talento humano - B/S bienes y/o servicios)]],"-",S647,"-",T647,"-",PAA[[#This Row],[Objeto de la contratación]])</f>
        <v>20260621-TH-8126-9-SGH – Prestar servicios profesionales a la Subdirección de Gestión Humana de la UAE Cuerpo Oficial de Bomberos de Bogotá D.C., para apoyar el fortalecimiento institucional, mediante la elaboración del diagnóstico de capacidades y la verificación, revisión y actualización del Modelo Operativo de Procesos (MOP), orientadas a la identificación de oportunidades de mejora en la gestión institucional.</v>
      </c>
    </row>
    <row r="648" spans="2:35" ht="70" x14ac:dyDescent="0.35">
      <c r="B648" s="142">
        <v>20260622</v>
      </c>
      <c r="C648" s="121" t="s">
        <v>514</v>
      </c>
      <c r="D648" s="130" t="s">
        <v>114</v>
      </c>
      <c r="E648" s="130" t="s">
        <v>402</v>
      </c>
      <c r="F648" s="130" t="s">
        <v>111</v>
      </c>
      <c r="G648" s="131" t="s">
        <v>375</v>
      </c>
      <c r="H648" s="137">
        <v>10</v>
      </c>
      <c r="I648" s="137">
        <v>0</v>
      </c>
      <c r="J648" s="132">
        <v>300000000</v>
      </c>
      <c r="K648" s="133" t="s">
        <v>398</v>
      </c>
      <c r="L648" s="173" t="s">
        <v>157</v>
      </c>
      <c r="M648" s="171" t="s">
        <v>512</v>
      </c>
      <c r="N648" s="130" t="s">
        <v>198</v>
      </c>
      <c r="O648" s="171" t="s">
        <v>964</v>
      </c>
      <c r="P648" s="171" t="s">
        <v>348</v>
      </c>
      <c r="Q648" s="134">
        <v>15101500</v>
      </c>
      <c r="R648" s="171" t="s">
        <v>213</v>
      </c>
      <c r="S648" s="171" t="str">
        <f>MID(PAA[[#This Row],[Meta Proyecto de Inversión]],1,4)</f>
        <v>8173</v>
      </c>
      <c r="T648" s="171" t="str">
        <f>MID(PAA[[#This Row],[Meta Proyecto de Inversión]],6,1)</f>
        <v>4</v>
      </c>
      <c r="U648" s="174" t="str">
        <f>IFERROR(VLOOKUP(N648,TD!$B$50:$F$54,2,0)," ")</f>
        <v>O230117</v>
      </c>
      <c r="V648" s="174" t="str">
        <f>IFERROR(VLOOKUP(N648,TD!$B$50:$F$54,3,0)," ")</f>
        <v>4503</v>
      </c>
      <c r="W648" s="174">
        <f>IFERROR(VLOOKUP(N648,TD!$B$50:$F$54,4,0)," ")</f>
        <v>20240255</v>
      </c>
      <c r="X648" s="171" t="s">
        <v>180</v>
      </c>
      <c r="Y648" s="160" t="str">
        <f>IFERROR(VLOOKUP(X648,TD!$J$51:$K$64,2,0)," ")</f>
        <v>Servicio de apoyo   logístico  en eventos operativos y/o emergencias.</v>
      </c>
      <c r="Z648" s="172" t="str">
        <f>CONCATENATE(X648,"-",Y648)</f>
        <v>12-Servicio de apoyo   logístico  en eventos operativos y/o emergencias.</v>
      </c>
      <c r="AA648" s="171" t="s">
        <v>221</v>
      </c>
      <c r="AB648" s="160" t="str">
        <f>IFERROR(VLOOKUP(AA648,TD!$N$51:$O$66,2,0)," ")</f>
        <v>Servicio de atención a emergencias y desastres</v>
      </c>
      <c r="AC648" s="172" t="str">
        <f>CONCATENATE(AA648,"_",AB648)</f>
        <v>004_Servicio de atención a emergencias y desastres</v>
      </c>
      <c r="AD648" s="172" t="str">
        <f>CONCATENATE(Z648," ",AC648)</f>
        <v>12-Servicio de apoyo   logístico  en eventos operativos y/o emergencias. 004_Servicio de atención a emergencias y desastres</v>
      </c>
      <c r="AE648" s="174" t="str">
        <f>CONCATENATE(U648,V648,W648,X648,AA648)</f>
        <v>O23011745032024025512004</v>
      </c>
      <c r="AF648" s="160" t="str">
        <f>IFERROR(VLOOKUP(AD648,TD!$J$66:$K$89,2,0)," ")</f>
        <v>PM/0131/0112/45030040255</v>
      </c>
      <c r="AG648" s="135" t="s">
        <v>85</v>
      </c>
      <c r="AH648" s="176" t="s">
        <v>193</v>
      </c>
      <c r="AI648" s="177" t="str">
        <f>CONCATENATE(PAA[[#This Row],[Id Interno]],"-",PAA[[#This Row],[tipo de Contrato (TH talento humano - B/S bienes y/o servicios)]],"-",S648,"-",T648,"-",PAA[[#This Row],[Objeto de la contratación]])</f>
        <v>20260622-BS-8173-4-Suministrar combustible para los vehículos, y equipos especializados de la U.A.E. Cuerpo Oficial de Bomberos Bogotá dentro y fuera del perímetro del Distrito Capital - SBLG</v>
      </c>
    </row>
    <row r="649" spans="2:35" ht="70" x14ac:dyDescent="0.35">
      <c r="B649" s="142">
        <v>20260623</v>
      </c>
      <c r="C649" s="121" t="s">
        <v>701</v>
      </c>
      <c r="D649" s="130" t="s">
        <v>105</v>
      </c>
      <c r="E649" s="130" t="s">
        <v>363</v>
      </c>
      <c r="F649" s="130" t="s">
        <v>145</v>
      </c>
      <c r="G649" s="131" t="s">
        <v>373</v>
      </c>
      <c r="H649" s="137">
        <v>6</v>
      </c>
      <c r="I649" s="137">
        <v>0</v>
      </c>
      <c r="J649" s="132">
        <v>16890834</v>
      </c>
      <c r="K649" s="133" t="s">
        <v>398</v>
      </c>
      <c r="L649" s="173" t="s">
        <v>155</v>
      </c>
      <c r="M649" s="171" t="s">
        <v>422</v>
      </c>
      <c r="N649" s="130" t="s">
        <v>197</v>
      </c>
      <c r="O649" s="171" t="s">
        <v>963</v>
      </c>
      <c r="P649" s="171" t="s">
        <v>348</v>
      </c>
      <c r="Q649" s="134" t="s">
        <v>783</v>
      </c>
      <c r="R649" s="171" t="s">
        <v>208</v>
      </c>
      <c r="S649" s="171" t="str">
        <f>MID(PAA[[#This Row],[Meta Proyecto de Inversión]],1,4)</f>
        <v>8126</v>
      </c>
      <c r="T649" s="171" t="str">
        <f>MID(PAA[[#This Row],[Meta Proyecto de Inversión]],6,1)</f>
        <v>9</v>
      </c>
      <c r="U649" s="174" t="str">
        <f>IFERROR(VLOOKUP(N649,TD!$B$50:$F$54,2,0)," ")</f>
        <v>O230117</v>
      </c>
      <c r="V649" s="174" t="str">
        <f>IFERROR(VLOOKUP(N649,TD!$B$50:$F$54,3,0)," ")</f>
        <v>4599</v>
      </c>
      <c r="W649" s="174">
        <f>IFERROR(VLOOKUP(N649,TD!$B$50:$F$54,4,0)," ")</f>
        <v>20240207</v>
      </c>
      <c r="X649" s="171" t="s">
        <v>174</v>
      </c>
      <c r="Y649" s="160" t="str">
        <f>IFERROR(VLOOKUP(X649,TD!$J$51:$K$64,2,0)," ")</f>
        <v>Infraestructura física, mantenimiento y dotación (Sedes construidas, mantenidas reforzadas)</v>
      </c>
      <c r="Z649" s="172" t="str">
        <f>CONCATENATE(X649,"-",Y649)</f>
        <v>08-Infraestructura física, mantenimiento y dotación (Sedes construidas, mantenidas reforzadas)</v>
      </c>
      <c r="AA649" s="171" t="s">
        <v>227</v>
      </c>
      <c r="AB649" s="160" t="str">
        <f>IFERROR(VLOOKUP(AA649,TD!$N$51:$O$66,2,0)," ")</f>
        <v>Sedes mantenidas</v>
      </c>
      <c r="AC649" s="172" t="str">
        <f>CONCATENATE(AA649,"_",AB649)</f>
        <v>016_Sedes mantenidas</v>
      </c>
      <c r="AD649" s="172" t="str">
        <f>CONCATENATE(Z649," ",AC649)</f>
        <v>08-Infraestructura física, mantenimiento y dotación (Sedes construidas, mantenidas reforzadas) 016_Sedes mantenidas</v>
      </c>
      <c r="AE649" s="174" t="str">
        <f>CONCATENATE(U649,V649,W649,X649,AA649)</f>
        <v>O23011745992024020708016</v>
      </c>
      <c r="AF649" s="160" t="str">
        <f>IFERROR(VLOOKUP(AD649,TD!$J$66:$K$89,2,0)," ")</f>
        <v>PM/0131/0108/45990160207</v>
      </c>
      <c r="AG649" s="135" t="s">
        <v>385</v>
      </c>
      <c r="AH649" s="176" t="s">
        <v>193</v>
      </c>
      <c r="AI649" s="177" t="str">
        <f>CONCATENATE(PAA[[#This Row],[Id Interno]],"-",PAA[[#This Row],[tipo de Contrato (TH talento humano - B/S bienes y/o servicios)]],"-",S649,"-",T649,"-",PAA[[#This Row],[Objeto de la contratación]])</f>
        <v>20260623-TH-8126-9-Prestación de servicios de apoyo a la gestión documental de la Subdirección de Gestión Corporativa de la Unidad.-SGC</v>
      </c>
    </row>
    <row r="650" spans="2:35" ht="56" x14ac:dyDescent="0.35">
      <c r="B650" s="142">
        <v>20260624</v>
      </c>
      <c r="C650" s="121" t="s">
        <v>996</v>
      </c>
      <c r="D650" s="130" t="s">
        <v>105</v>
      </c>
      <c r="E650" s="130" t="s">
        <v>363</v>
      </c>
      <c r="F650" s="130" t="s">
        <v>145</v>
      </c>
      <c r="G650" s="131" t="s">
        <v>373</v>
      </c>
      <c r="H650" s="137">
        <v>6</v>
      </c>
      <c r="I650" s="137">
        <v>0</v>
      </c>
      <c r="J650" s="132">
        <v>22118946</v>
      </c>
      <c r="K650" s="133" t="s">
        <v>398</v>
      </c>
      <c r="L650" s="173" t="s">
        <v>155</v>
      </c>
      <c r="M650" s="171" t="s">
        <v>422</v>
      </c>
      <c r="N650" s="130" t="s">
        <v>197</v>
      </c>
      <c r="O650" s="171" t="s">
        <v>963</v>
      </c>
      <c r="P650" s="171" t="s">
        <v>348</v>
      </c>
      <c r="Q650" s="134" t="s">
        <v>783</v>
      </c>
      <c r="R650" s="171" t="s">
        <v>208</v>
      </c>
      <c r="S650" s="171" t="str">
        <f>MID(PAA[[#This Row],[Meta Proyecto de Inversión]],1,4)</f>
        <v>8126</v>
      </c>
      <c r="T650" s="171" t="str">
        <f>MID(PAA[[#This Row],[Meta Proyecto de Inversión]],6,1)</f>
        <v>9</v>
      </c>
      <c r="U650" s="174" t="str">
        <f>IFERROR(VLOOKUP(N650,TD!$B$50:$F$54,2,0)," ")</f>
        <v>O230117</v>
      </c>
      <c r="V650" s="174" t="str">
        <f>IFERROR(VLOOKUP(N650,TD!$B$50:$F$54,3,0)," ")</f>
        <v>4599</v>
      </c>
      <c r="W650" s="174">
        <f>IFERROR(VLOOKUP(N650,TD!$B$50:$F$54,4,0)," ")</f>
        <v>20240207</v>
      </c>
      <c r="X650" s="171" t="s">
        <v>174</v>
      </c>
      <c r="Y650" s="160" t="str">
        <f>IFERROR(VLOOKUP(X650,TD!$J$51:$K$64,2,0)," ")</f>
        <v>Infraestructura física, mantenimiento y dotación (Sedes construidas, mantenidas reforzadas)</v>
      </c>
      <c r="Z650" s="172" t="str">
        <f>CONCATENATE(X650,"-",Y650)</f>
        <v>08-Infraestructura física, mantenimiento y dotación (Sedes construidas, mantenidas reforzadas)</v>
      </c>
      <c r="AA650" s="171" t="s">
        <v>227</v>
      </c>
      <c r="AB650" s="160" t="str">
        <f>IFERROR(VLOOKUP(AA650,TD!$N$51:$O$66,2,0)," ")</f>
        <v>Sedes mantenidas</v>
      </c>
      <c r="AC650" s="172" t="str">
        <f>CONCATENATE(AA650,"_",AB650)</f>
        <v>016_Sedes mantenidas</v>
      </c>
      <c r="AD650" s="172" t="str">
        <f>CONCATENATE(Z650," ",AC650)</f>
        <v>08-Infraestructura física, mantenimiento y dotación (Sedes construidas, mantenidas reforzadas) 016_Sedes mantenidas</v>
      </c>
      <c r="AE650" s="174" t="str">
        <f>CONCATENATE(U650,V650,W650,X650,AA650)</f>
        <v>O23011745992024020708016</v>
      </c>
      <c r="AF650" s="160" t="str">
        <f>IFERROR(VLOOKUP(AD650,TD!$J$66:$K$89,2,0)," ")</f>
        <v>PM/0131/0108/45990160207</v>
      </c>
      <c r="AG650" s="135" t="s">
        <v>385</v>
      </c>
      <c r="AH650" s="176" t="s">
        <v>193</v>
      </c>
      <c r="AI650" s="177" t="str">
        <f>CONCATENATE(PAA[[#This Row],[Id Interno]],"-",PAA[[#This Row],[tipo de Contrato (TH talento humano - B/S bienes y/o servicios)]],"-",S650,"-",T650,"-",PAA[[#This Row],[Objeto de la contratación]])</f>
        <v>20260624-TH-8126-9- Prestación de servicios de apoyo a la gestión en la Subdirección de Gestión Corporativa, en las actividades asociadas a los procesos y procedimientos del almacén de la Entidad.- SGC</v>
      </c>
    </row>
    <row r="651" spans="2:35" ht="56" x14ac:dyDescent="0.35">
      <c r="B651" s="142">
        <v>20260627</v>
      </c>
      <c r="C651" s="121" t="s">
        <v>1002</v>
      </c>
      <c r="D651" s="130" t="s">
        <v>105</v>
      </c>
      <c r="E651" s="130" t="s">
        <v>363</v>
      </c>
      <c r="F651" s="130" t="s">
        <v>145</v>
      </c>
      <c r="G651" s="131" t="s">
        <v>373</v>
      </c>
      <c r="H651" s="137">
        <v>7</v>
      </c>
      <c r="I651" s="137">
        <v>0</v>
      </c>
      <c r="J651" s="132">
        <v>25802000</v>
      </c>
      <c r="K651" s="133" t="s">
        <v>398</v>
      </c>
      <c r="L651" s="173" t="s">
        <v>158</v>
      </c>
      <c r="M651" s="171" t="s">
        <v>421</v>
      </c>
      <c r="N651" s="130" t="s">
        <v>198</v>
      </c>
      <c r="O651" s="171" t="s">
        <v>964</v>
      </c>
      <c r="P651" s="171" t="s">
        <v>348</v>
      </c>
      <c r="Q651" s="134">
        <v>80111600</v>
      </c>
      <c r="R651" s="171" t="s">
        <v>211</v>
      </c>
      <c r="S651" s="171" t="str">
        <f>MID(PAA[[#This Row],[Meta Proyecto de Inversión]],1,4)</f>
        <v>8173</v>
      </c>
      <c r="T651" s="171" t="str">
        <f>MID(PAA[[#This Row],[Meta Proyecto de Inversión]],6,1)</f>
        <v>2</v>
      </c>
      <c r="U651" s="174" t="str">
        <f>IFERROR(VLOOKUP(N651,TD!$B$50:$F$54,2,0)," ")</f>
        <v>O230117</v>
      </c>
      <c r="V651" s="174" t="str">
        <f>IFERROR(VLOOKUP(N651,TD!$B$50:$F$54,3,0)," ")</f>
        <v>4503</v>
      </c>
      <c r="W651" s="174">
        <f>IFERROR(VLOOKUP(N651,TD!$B$50:$F$54,4,0)," ")</f>
        <v>20240255</v>
      </c>
      <c r="X651" s="171" t="s">
        <v>164</v>
      </c>
      <c r="Y651" s="160" t="str">
        <f>IFERROR(VLOOKUP(X651,TD!$J$51:$K$64,2,0)," ")</f>
        <v>Servicio de atención a incidentes y emergencias.</v>
      </c>
      <c r="Z651" s="172" t="str">
        <f>CONCATENATE(X651,"-",Y651)</f>
        <v>04-Servicio de atención a incidentes y emergencias.</v>
      </c>
      <c r="AA651" s="171" t="s">
        <v>221</v>
      </c>
      <c r="AB651" s="160" t="str">
        <f>IFERROR(VLOOKUP(AA651,TD!$N$51:$O$66,2,0)," ")</f>
        <v>Servicio de atención a emergencias y desastres</v>
      </c>
      <c r="AC651" s="172" t="str">
        <f>CONCATENATE(AA651,"_",AB651)</f>
        <v>004_Servicio de atención a emergencias y desastres</v>
      </c>
      <c r="AD651" s="172" t="str">
        <f>CONCATENATE(Z651," ",AC651)</f>
        <v>04-Servicio de atención a incidentes y emergencias. 004_Servicio de atención a emergencias y desastres</v>
      </c>
      <c r="AE651" s="174" t="str">
        <f>CONCATENATE(U651,V651,W651,X651,AA651)</f>
        <v>O23011745032024025504004</v>
      </c>
      <c r="AF651" s="160" t="str">
        <f>IFERROR(VLOOKUP(AD651,TD!$J$66:$K$89,2,0)," ")</f>
        <v>PM/0131/0104/45030040255</v>
      </c>
      <c r="AG651" s="135" t="s">
        <v>385</v>
      </c>
      <c r="AH651" s="176" t="s">
        <v>193</v>
      </c>
      <c r="AI651" s="177" t="str">
        <f>CONCATENATE(PAA[[#This Row],[Id Interno]],"-",PAA[[#This Row],[tipo de Contrato (TH talento humano - B/S bienes y/o servicios)]],"-",S651,"-",T651,"-",PAA[[#This Row],[Objeto de la contratación]])</f>
        <v>20260627-TH-8173-2-Prestación de servicios de apoyo para el desarrollo de las actividades y trámites administrativos y operativos relacionados con los procesos que se encuentran a cargo de la Subdirección Operativa-SO.</v>
      </c>
    </row>
    <row r="652" spans="2:35" ht="56" x14ac:dyDescent="0.35">
      <c r="B652" s="142">
        <v>20260628</v>
      </c>
      <c r="C652" s="121" t="s">
        <v>1003</v>
      </c>
      <c r="D652" s="130" t="s">
        <v>105</v>
      </c>
      <c r="E652" s="130" t="s">
        <v>363</v>
      </c>
      <c r="F652" s="130" t="s">
        <v>145</v>
      </c>
      <c r="G652" s="131" t="s">
        <v>374</v>
      </c>
      <c r="H652" s="137">
        <v>4</v>
      </c>
      <c r="I652" s="137">
        <v>0</v>
      </c>
      <c r="J652" s="132">
        <v>13136000</v>
      </c>
      <c r="K652" s="133" t="s">
        <v>398</v>
      </c>
      <c r="L652" s="173" t="s">
        <v>158</v>
      </c>
      <c r="M652" s="171" t="s">
        <v>421</v>
      </c>
      <c r="N652" s="130" t="s">
        <v>198</v>
      </c>
      <c r="O652" s="171" t="s">
        <v>964</v>
      </c>
      <c r="P652" s="171" t="s">
        <v>348</v>
      </c>
      <c r="Q652" s="134">
        <v>80111600</v>
      </c>
      <c r="R652" s="171" t="s">
        <v>211</v>
      </c>
      <c r="S652" s="171" t="str">
        <f>MID(PAA[[#This Row],[Meta Proyecto de Inversión]],1,4)</f>
        <v>8173</v>
      </c>
      <c r="T652" s="171" t="str">
        <f>MID(PAA[[#This Row],[Meta Proyecto de Inversión]],6,1)</f>
        <v>2</v>
      </c>
      <c r="U652" s="174" t="str">
        <f>IFERROR(VLOOKUP(N652,TD!$B$50:$F$54,2,0)," ")</f>
        <v>O230117</v>
      </c>
      <c r="V652" s="174" t="str">
        <f>IFERROR(VLOOKUP(N652,TD!$B$50:$F$54,3,0)," ")</f>
        <v>4503</v>
      </c>
      <c r="W652" s="174">
        <f>IFERROR(VLOOKUP(N652,TD!$B$50:$F$54,4,0)," ")</f>
        <v>20240255</v>
      </c>
      <c r="X652" s="171" t="s">
        <v>164</v>
      </c>
      <c r="Y652" s="160" t="str">
        <f>IFERROR(VLOOKUP(X652,TD!$J$51:$K$64,2,0)," ")</f>
        <v>Servicio de atención a incidentes y emergencias.</v>
      </c>
      <c r="Z652" s="172" t="str">
        <f>CONCATENATE(X652,"-",Y652)</f>
        <v>04-Servicio de atención a incidentes y emergencias.</v>
      </c>
      <c r="AA652" s="171" t="s">
        <v>221</v>
      </c>
      <c r="AB652" s="160" t="str">
        <f>IFERROR(VLOOKUP(AA652,TD!$N$51:$O$66,2,0)," ")</f>
        <v>Servicio de atención a emergencias y desastres</v>
      </c>
      <c r="AC652" s="172" t="str">
        <f>CONCATENATE(AA652,"_",AB652)</f>
        <v>004_Servicio de atención a emergencias y desastres</v>
      </c>
      <c r="AD652" s="172" t="str">
        <f>CONCATENATE(Z652," ",AC652)</f>
        <v>04-Servicio de atención a incidentes y emergencias. 004_Servicio de atención a emergencias y desastres</v>
      </c>
      <c r="AE652" s="174" t="str">
        <f>CONCATENATE(U652,V652,W652,X652,AA652)</f>
        <v>O23011745032024025504004</v>
      </c>
      <c r="AF652" s="160" t="str">
        <f>IFERROR(VLOOKUP(AD652,TD!$J$66:$K$89,2,0)," ")</f>
        <v>PM/0131/0104/45030040255</v>
      </c>
      <c r="AG652" s="135" t="s">
        <v>385</v>
      </c>
      <c r="AH652" s="176" t="s">
        <v>194</v>
      </c>
      <c r="AI652" s="177" t="str">
        <f>CONCATENATE(PAA[[#This Row],[Id Interno]],"-",PAA[[#This Row],[tipo de Contrato (TH talento humano - B/S bienes y/o servicios)]],"-",S652,"-",T652,"-",PAA[[#This Row],[Objeto de la contratación]])</f>
        <v>20260628-TH-8173-2-Adición y Prórroga al contrato de prestación de servicios # 446-2025, cuyo objeto es: "Prestar servicios de apoyo a la gestión en las actividades de monitoreo, seguimiento y reporte de información del Centro de Coordinación y Comunicaciones de la Subdirección Operativa".</v>
      </c>
    </row>
    <row r="653" spans="2:35" ht="56" x14ac:dyDescent="0.35">
      <c r="B653" s="142">
        <v>20260629</v>
      </c>
      <c r="C653" s="121" t="s">
        <v>1004</v>
      </c>
      <c r="D653" s="130" t="s">
        <v>105</v>
      </c>
      <c r="E653" s="130" t="s">
        <v>363</v>
      </c>
      <c r="F653" s="130" t="s">
        <v>144</v>
      </c>
      <c r="G653" s="131" t="s">
        <v>373</v>
      </c>
      <c r="H653" s="137">
        <v>7</v>
      </c>
      <c r="I653" s="137">
        <v>0</v>
      </c>
      <c r="J653" s="132">
        <v>49000000</v>
      </c>
      <c r="K653" s="133" t="s">
        <v>398</v>
      </c>
      <c r="L653" s="173" t="s">
        <v>158</v>
      </c>
      <c r="M653" s="171" t="s">
        <v>421</v>
      </c>
      <c r="N653" s="130" t="s">
        <v>198</v>
      </c>
      <c r="O653" s="171" t="s">
        <v>964</v>
      </c>
      <c r="P653" s="171" t="s">
        <v>348</v>
      </c>
      <c r="Q653" s="134">
        <v>80111600</v>
      </c>
      <c r="R653" s="171" t="s">
        <v>211</v>
      </c>
      <c r="S653" s="171" t="str">
        <f>MID(PAA[[#This Row],[Meta Proyecto de Inversión]],1,4)</f>
        <v>8173</v>
      </c>
      <c r="T653" s="171" t="str">
        <f>MID(PAA[[#This Row],[Meta Proyecto de Inversión]],6,1)</f>
        <v>2</v>
      </c>
      <c r="U653" s="174" t="str">
        <f>IFERROR(VLOOKUP(N653,TD!$B$50:$F$54,2,0)," ")</f>
        <v>O230117</v>
      </c>
      <c r="V653" s="174" t="str">
        <f>IFERROR(VLOOKUP(N653,TD!$B$50:$F$54,3,0)," ")</f>
        <v>4503</v>
      </c>
      <c r="W653" s="174">
        <f>IFERROR(VLOOKUP(N653,TD!$B$50:$F$54,4,0)," ")</f>
        <v>20240255</v>
      </c>
      <c r="X653" s="171" t="s">
        <v>164</v>
      </c>
      <c r="Y653" s="160" t="str">
        <f>IFERROR(VLOOKUP(X653,TD!$J$51:$K$64,2,0)," ")</f>
        <v>Servicio de atención a incidentes y emergencias.</v>
      </c>
      <c r="Z653" s="172" t="str">
        <f>CONCATENATE(X653,"-",Y653)</f>
        <v>04-Servicio de atención a incidentes y emergencias.</v>
      </c>
      <c r="AA653" s="171" t="s">
        <v>221</v>
      </c>
      <c r="AB653" s="160" t="str">
        <f>IFERROR(VLOOKUP(AA653,TD!$N$51:$O$66,2,0)," ")</f>
        <v>Servicio de atención a emergencias y desastres</v>
      </c>
      <c r="AC653" s="172" t="str">
        <f>CONCATENATE(AA653,"_",AB653)</f>
        <v>004_Servicio de atención a emergencias y desastres</v>
      </c>
      <c r="AD653" s="172" t="str">
        <f>CONCATENATE(Z653," ",AC653)</f>
        <v>04-Servicio de atención a incidentes y emergencias. 004_Servicio de atención a emergencias y desastres</v>
      </c>
      <c r="AE653" s="174" t="str">
        <f>CONCATENATE(U653,V653,W653,X653,AA653)</f>
        <v>O23011745032024025504004</v>
      </c>
      <c r="AF653" s="160" t="str">
        <f>IFERROR(VLOOKUP(AD653,TD!$J$66:$K$89,2,0)," ")</f>
        <v>PM/0131/0104/45030040255</v>
      </c>
      <c r="AG653" s="135" t="s">
        <v>385</v>
      </c>
      <c r="AH653" s="176" t="s">
        <v>193</v>
      </c>
      <c r="AI653" s="177" t="str">
        <f>CONCATENATE(PAA[[#This Row],[Id Interno]],"-",PAA[[#This Row],[tipo de Contrato (TH talento humano - B/S bienes y/o servicios)]],"-",S653,"-",T653,"-",PAA[[#This Row],[Objeto de la contratación]])</f>
        <v>20260629-TH-8173-2-Prestar servicios profesionales para apoyar jurídicamente el seguimiento y la revisión de derechos de petición y demás requerimientos, así como en la revisión de documentación referida a procesos de contratación a cargo de la Subdirección Operativa S.O.</v>
      </c>
    </row>
    <row r="654" spans="2:35" ht="56" x14ac:dyDescent="0.35">
      <c r="B654" s="142">
        <v>20260630</v>
      </c>
      <c r="C654" s="121" t="s">
        <v>961</v>
      </c>
      <c r="D654" s="130" t="s">
        <v>105</v>
      </c>
      <c r="E654" s="130" t="s">
        <v>363</v>
      </c>
      <c r="F654" s="130" t="s">
        <v>145</v>
      </c>
      <c r="G654" s="131" t="s">
        <v>373</v>
      </c>
      <c r="H654" s="137">
        <v>7</v>
      </c>
      <c r="I654" s="137">
        <v>0</v>
      </c>
      <c r="J654" s="132">
        <v>26250000</v>
      </c>
      <c r="K654" s="133" t="s">
        <v>398</v>
      </c>
      <c r="L654" s="173" t="s">
        <v>156</v>
      </c>
      <c r="M654" s="171" t="s">
        <v>513</v>
      </c>
      <c r="N654" s="130" t="s">
        <v>198</v>
      </c>
      <c r="O654" s="171" t="s">
        <v>964</v>
      </c>
      <c r="P654" s="171" t="s">
        <v>348</v>
      </c>
      <c r="Q654" s="134">
        <v>80111600</v>
      </c>
      <c r="R654" s="171" t="s">
        <v>210</v>
      </c>
      <c r="S654" s="171" t="str">
        <f>MID(PAA[[#This Row],[Meta Proyecto de Inversión]],1,4)</f>
        <v>8173</v>
      </c>
      <c r="T654" s="171" t="str">
        <f>MID(PAA[[#This Row],[Meta Proyecto de Inversión]],6,1)</f>
        <v>1</v>
      </c>
      <c r="U654" s="174" t="str">
        <f>IFERROR(VLOOKUP(N654,TD!$B$50:$F$54,2,0)," ")</f>
        <v>O230117</v>
      </c>
      <c r="V654" s="174" t="str">
        <f>IFERROR(VLOOKUP(N654,TD!$B$50:$F$54,3,0)," ")</f>
        <v>4503</v>
      </c>
      <c r="W654" s="174">
        <f>IFERROR(VLOOKUP(N654,TD!$B$50:$F$54,4,0)," ")</f>
        <v>20240255</v>
      </c>
      <c r="X654" s="171" t="s">
        <v>166</v>
      </c>
      <c r="Y654" s="160" t="str">
        <f>IFERROR(VLOOKUP(X654,TD!$J$51:$K$64,2,0)," ")</f>
        <v>Servicio de capacitaciones en gestión del riesgo de incendios  a la ciudadania.</v>
      </c>
      <c r="Z654" s="172" t="str">
        <f>CONCATENATE(X654,"-",Y654)</f>
        <v>05-Servicio de capacitaciones en gestión del riesgo de incendios  a la ciudadania.</v>
      </c>
      <c r="AA654" s="171" t="s">
        <v>223</v>
      </c>
      <c r="AB654" s="160" t="str">
        <f>IFERROR(VLOOKUP(AA654,TD!$N$51:$O$66,2,0)," ")</f>
        <v>Servicio prevención y control de incendios</v>
      </c>
      <c r="AC654" s="172" t="str">
        <f>CONCATENATE(AA654,"_",AB654)</f>
        <v>035_Servicio prevención y control de incendios</v>
      </c>
      <c r="AD654" s="172" t="str">
        <f>CONCATENATE(Z654," ",AC654)</f>
        <v>05-Servicio de capacitaciones en gestión del riesgo de incendios  a la ciudadania. 035_Servicio prevención y control de incendios</v>
      </c>
      <c r="AE654" s="174" t="str">
        <f>CONCATENATE(U654,V654,W654,X654,AA654)</f>
        <v>O23011745032024025505035</v>
      </c>
      <c r="AF654" s="160" t="str">
        <f>IFERROR(VLOOKUP(AD654,TD!$J$66:$K$89,2,0)," ")</f>
        <v>PM/0131/0105/45030350255</v>
      </c>
      <c r="AG654" s="135" t="s">
        <v>385</v>
      </c>
      <c r="AH654" s="176" t="s">
        <v>193</v>
      </c>
      <c r="AI654" s="177" t="str">
        <f>CONCATENATE(PAA[[#This Row],[Id Interno]],"-",PAA[[#This Row],[tipo de Contrato (TH talento humano - B/S bienes y/o servicios)]],"-",S654,"-",T654,"-",PAA[[#This Row],[Objeto de la contratación]])</f>
        <v>20260630-TH-8173-1-Prestar servicios de apoyo como conductor a las acciones misionales de la Subdirección de Gestión del Riesgo.</v>
      </c>
    </row>
    <row r="655" spans="2:35" ht="56" x14ac:dyDescent="0.35">
      <c r="B655" s="142">
        <v>20260631</v>
      </c>
      <c r="C655" s="121" t="s">
        <v>560</v>
      </c>
      <c r="D655" s="130" t="s">
        <v>105</v>
      </c>
      <c r="E655" s="130" t="s">
        <v>363</v>
      </c>
      <c r="F655" s="130" t="s">
        <v>144</v>
      </c>
      <c r="G655" s="131" t="s">
        <v>373</v>
      </c>
      <c r="H655" s="137">
        <v>6</v>
      </c>
      <c r="I655" s="137">
        <v>0</v>
      </c>
      <c r="J655" s="132">
        <v>21750000</v>
      </c>
      <c r="K655" s="133" t="s">
        <v>398</v>
      </c>
      <c r="L655" s="173" t="s">
        <v>156</v>
      </c>
      <c r="M655" s="171" t="s">
        <v>513</v>
      </c>
      <c r="N655" s="130" t="s">
        <v>198</v>
      </c>
      <c r="O655" s="171" t="s">
        <v>964</v>
      </c>
      <c r="P655" s="171" t="s">
        <v>348</v>
      </c>
      <c r="Q655" s="134">
        <v>80111600</v>
      </c>
      <c r="R655" s="171" t="s">
        <v>210</v>
      </c>
      <c r="S655" s="171" t="str">
        <f>MID(PAA[[#This Row],[Meta Proyecto de Inversión]],1,4)</f>
        <v>8173</v>
      </c>
      <c r="T655" s="171" t="str">
        <f>MID(PAA[[#This Row],[Meta Proyecto de Inversión]],6,1)</f>
        <v>1</v>
      </c>
      <c r="U655" s="174" t="str">
        <f>IFERROR(VLOOKUP(N655,TD!$B$50:$F$54,2,0)," ")</f>
        <v>O230117</v>
      </c>
      <c r="V655" s="174" t="str">
        <f>IFERROR(VLOOKUP(N655,TD!$B$50:$F$54,3,0)," ")</f>
        <v>4503</v>
      </c>
      <c r="W655" s="174">
        <f>IFERROR(VLOOKUP(N655,TD!$B$50:$F$54,4,0)," ")</f>
        <v>20240255</v>
      </c>
      <c r="X655" s="171" t="s">
        <v>166</v>
      </c>
      <c r="Y655" s="160" t="str">
        <f>IFERROR(VLOOKUP(X655,TD!$J$51:$K$64,2,0)," ")</f>
        <v>Servicio de capacitaciones en gestión del riesgo de incendios  a la ciudadania.</v>
      </c>
      <c r="Z655" s="172" t="str">
        <f>CONCATENATE(X655,"-",Y655)</f>
        <v>05-Servicio de capacitaciones en gestión del riesgo de incendios  a la ciudadania.</v>
      </c>
      <c r="AA655" s="171" t="s">
        <v>223</v>
      </c>
      <c r="AB655" s="160" t="str">
        <f>IFERROR(VLOOKUP(AA655,TD!$N$51:$O$66,2,0)," ")</f>
        <v>Servicio prevención y control de incendios</v>
      </c>
      <c r="AC655" s="172" t="str">
        <f>CONCATENATE(AA655,"_",AB655)</f>
        <v>035_Servicio prevención y control de incendios</v>
      </c>
      <c r="AD655" s="172" t="str">
        <f>CONCATENATE(Z655," ",AC655)</f>
        <v>05-Servicio de capacitaciones en gestión del riesgo de incendios  a la ciudadania. 035_Servicio prevención y control de incendios</v>
      </c>
      <c r="AE655" s="174" t="str">
        <f>CONCATENATE(U655,V655,W655,X655,AA655)</f>
        <v>O23011745032024025505035</v>
      </c>
      <c r="AF655" s="160" t="str">
        <f>IFERROR(VLOOKUP(AD655,TD!$J$66:$K$89,2,0)," ")</f>
        <v>PM/0131/0105/45030350255</v>
      </c>
      <c r="AG655" s="135" t="s">
        <v>385</v>
      </c>
      <c r="AH655" s="176" t="s">
        <v>193</v>
      </c>
      <c r="AI655" s="177" t="str">
        <f>CONCATENATE(PAA[[#This Row],[Id Interno]],"-",PAA[[#This Row],[tipo de Contrato (TH talento humano - B/S bienes y/o servicios)]],"-",S655,"-",T655,"-",PAA[[#This Row],[Objeto de la contratación]])</f>
        <v>20260631-TH-8173-1-Prestar servicios de apoyo en las actividades de Programas y Campañas de Prevención para la Subdirección de Gestión del Riesgo. _SGR</v>
      </c>
    </row>
    <row r="656" spans="2:35" ht="56" x14ac:dyDescent="0.35">
      <c r="B656" s="142">
        <v>20260632</v>
      </c>
      <c r="C656" s="121" t="s">
        <v>1006</v>
      </c>
      <c r="D656" s="130" t="s">
        <v>92</v>
      </c>
      <c r="E656" s="130" t="s">
        <v>402</v>
      </c>
      <c r="F656" s="130" t="s">
        <v>142</v>
      </c>
      <c r="G656" s="131" t="s">
        <v>374</v>
      </c>
      <c r="H656" s="137">
        <v>2</v>
      </c>
      <c r="I656" s="137">
        <v>0</v>
      </c>
      <c r="J656" s="132">
        <v>6664000</v>
      </c>
      <c r="K656" s="133" t="s">
        <v>398</v>
      </c>
      <c r="L656" s="173" t="s">
        <v>151</v>
      </c>
      <c r="M656" s="171" t="s">
        <v>401</v>
      </c>
      <c r="N656" s="130" t="s">
        <v>197</v>
      </c>
      <c r="O656" s="171" t="s">
        <v>963</v>
      </c>
      <c r="P656" s="171" t="s">
        <v>348</v>
      </c>
      <c r="Q656" s="134">
        <v>81112401</v>
      </c>
      <c r="R656" s="171" t="s">
        <v>204</v>
      </c>
      <c r="S656" s="171" t="str">
        <f>MID(PAA[[#This Row],[Meta Proyecto de Inversión]],1,4)</f>
        <v>8126</v>
      </c>
      <c r="T656" s="171" t="str">
        <f>MID(PAA[[#This Row],[Meta Proyecto de Inversión]],6,1)</f>
        <v>5</v>
      </c>
      <c r="U656" s="174" t="str">
        <f>IFERROR(VLOOKUP(N656,TD!$B$50:$F$54,2,0)," ")</f>
        <v>O230117</v>
      </c>
      <c r="V656" s="174" t="str">
        <f>IFERROR(VLOOKUP(N656,TD!$B$50:$F$54,3,0)," ")</f>
        <v>4599</v>
      </c>
      <c r="W656" s="174">
        <f>IFERROR(VLOOKUP(N656,TD!$B$50:$F$54,4,0)," ")</f>
        <v>20240207</v>
      </c>
      <c r="X656" s="171" t="s">
        <v>168</v>
      </c>
      <c r="Y656" s="160" t="str">
        <f>IFERROR(VLOOKUP(X656,TD!$J$51:$K$64,2,0)," ")</f>
        <v>Infraestructura Tecnológica   (Sistemas de Información y Tecnologia)</v>
      </c>
      <c r="Z656" s="172" t="str">
        <f>CONCATENATE(X656,"-",Y656)</f>
        <v>11-Infraestructura Tecnológica   (Sistemas de Información y Tecnologia)</v>
      </c>
      <c r="AA656" s="171" t="s">
        <v>228</v>
      </c>
      <c r="AB656" s="160" t="str">
        <f>IFERROR(VLOOKUP(AA656,TD!$N$51:$O$66,2,0)," ")</f>
        <v>Servicios tecnológicos</v>
      </c>
      <c r="AC656" s="172" t="str">
        <f>CONCATENATE(AA656,"_",AB656)</f>
        <v>007_Servicios tecnológicos</v>
      </c>
      <c r="AD656" s="172" t="str">
        <f>CONCATENATE(Z656," ",AC656)</f>
        <v>11-Infraestructura Tecnológica   (Sistemas de Información y Tecnologia) 007_Servicios tecnológicos</v>
      </c>
      <c r="AE656" s="174" t="str">
        <f>CONCATENATE(U656,V656,W656,X656,AA656)</f>
        <v>O23011745992024020711007</v>
      </c>
      <c r="AF656" s="160" t="str">
        <f>IFERROR(VLOOKUP(AD656,TD!$J$66:$K$89,2,0)," ")</f>
        <v>PM/0131/0111/45990070207</v>
      </c>
      <c r="AG656" s="135" t="s">
        <v>121</v>
      </c>
      <c r="AH656" s="176" t="s">
        <v>194</v>
      </c>
      <c r="AI656" s="177" t="str">
        <f>CONCATENATE(PAA[[#This Row],[Id Interno]],"-",PAA[[#This Row],[tipo de Contrato (TH talento humano - B/S bienes y/o servicios)]],"-",S656,"-",T656,"-",PAA[[#This Row],[Objeto de la contratación]])</f>
        <v>20260632-BS-8126-5-Adición y prórroga al contrato No. 490 de 2025 cuyo objeto es: "contratar el alquiler de equipos tecnológicos, periféricos y servicios complementarios para la U.A.E Cuerpo Oficial de bomberos de Bogota- TIC"</v>
      </c>
    </row>
    <row r="657" spans="2:35" ht="56" x14ac:dyDescent="0.35">
      <c r="B657" s="142">
        <v>20260633</v>
      </c>
      <c r="C657" s="121" t="s">
        <v>1005</v>
      </c>
      <c r="D657" s="130" t="s">
        <v>114</v>
      </c>
      <c r="E657" s="130" t="s">
        <v>402</v>
      </c>
      <c r="F657" s="130" t="s">
        <v>89</v>
      </c>
      <c r="G657" s="131" t="s">
        <v>374</v>
      </c>
      <c r="H657" s="137">
        <v>2</v>
      </c>
      <c r="I657" s="137">
        <v>0</v>
      </c>
      <c r="J657" s="132">
        <v>20246686</v>
      </c>
      <c r="K657" s="133" t="s">
        <v>398</v>
      </c>
      <c r="L657" s="173" t="s">
        <v>151</v>
      </c>
      <c r="M657" s="171" t="s">
        <v>401</v>
      </c>
      <c r="N657" s="130" t="s">
        <v>197</v>
      </c>
      <c r="O657" s="171" t="s">
        <v>963</v>
      </c>
      <c r="P657" s="171" t="s">
        <v>348</v>
      </c>
      <c r="Q657" s="134" t="s">
        <v>446</v>
      </c>
      <c r="R657" s="171" t="s">
        <v>203</v>
      </c>
      <c r="S657" s="171" t="str">
        <f>MID(PAA[[#This Row],[Meta Proyecto de Inversión]],1,4)</f>
        <v>8126</v>
      </c>
      <c r="T657" s="171" t="str">
        <f>MID(PAA[[#This Row],[Meta Proyecto de Inversión]],6,1)</f>
        <v>4</v>
      </c>
      <c r="U657" s="174" t="str">
        <f>IFERROR(VLOOKUP(N657,TD!$B$50:$F$54,2,0)," ")</f>
        <v>O230117</v>
      </c>
      <c r="V657" s="174" t="str">
        <f>IFERROR(VLOOKUP(N657,TD!$B$50:$F$54,3,0)," ")</f>
        <v>4599</v>
      </c>
      <c r="W657" s="174">
        <f>IFERROR(VLOOKUP(N657,TD!$B$50:$F$54,4,0)," ")</f>
        <v>20240207</v>
      </c>
      <c r="X657" s="171" t="s">
        <v>168</v>
      </c>
      <c r="Y657" s="160" t="str">
        <f>IFERROR(VLOOKUP(X657,TD!$J$51:$K$64,2,0)," ")</f>
        <v>Infraestructura Tecnológica   (Sistemas de Información y Tecnologia)</v>
      </c>
      <c r="Z657" s="172" t="str">
        <f>CONCATENATE(X657,"-",Y657)</f>
        <v>11-Infraestructura Tecnológica   (Sistemas de Información y Tecnologia)</v>
      </c>
      <c r="AA657" s="171" t="s">
        <v>228</v>
      </c>
      <c r="AB657" s="160" t="str">
        <f>IFERROR(VLOOKUP(AA657,TD!$N$51:$O$66,2,0)," ")</f>
        <v>Servicios tecnológicos</v>
      </c>
      <c r="AC657" s="172" t="str">
        <f>CONCATENATE(AA657,"_",AB657)</f>
        <v>007_Servicios tecnológicos</v>
      </c>
      <c r="AD657" s="172" t="str">
        <f>CONCATENATE(Z657," ",AC657)</f>
        <v>11-Infraestructura Tecnológica   (Sistemas de Información y Tecnologia) 007_Servicios tecnológicos</v>
      </c>
      <c r="AE657" s="174" t="str">
        <f>CONCATENATE(U657,V657,W657,X657,AA657)</f>
        <v>O23011745992024020711007</v>
      </c>
      <c r="AF657" s="160" t="str">
        <f>IFERROR(VLOOKUP(AD657,TD!$J$66:$K$89,2,0)," ")</f>
        <v>PM/0131/0111/45990070207</v>
      </c>
      <c r="AG657" s="135" t="s">
        <v>116</v>
      </c>
      <c r="AH657" s="176" t="s">
        <v>194</v>
      </c>
      <c r="AI657" s="177" t="str">
        <f>CONCATENATE(PAA[[#This Row],[Id Interno]],"-",PAA[[#This Row],[tipo de Contrato (TH talento humano - B/S bienes y/o servicios)]],"-",S657,"-",T657,"-",PAA[[#This Row],[Objeto de la contratación]])</f>
        <v>20260633-BS-8126-4-Adición y prórroga al contrato No. 411 de 2025 cuyo objeto es: "Contratar la prestación del servicio de monitoreo, control y seguimiento satelital a los vehículos de propiedad de la U.A.E. Cuerpo Oficial de Bomberos de Bogotá - TIC"</v>
      </c>
    </row>
  </sheetData>
  <mergeCells count="8">
    <mergeCell ref="F7:M7"/>
    <mergeCell ref="B2:F2"/>
    <mergeCell ref="F3:M3"/>
    <mergeCell ref="F4:M4"/>
    <mergeCell ref="N5:P5"/>
    <mergeCell ref="N6:P6"/>
    <mergeCell ref="F5:M5"/>
    <mergeCell ref="F6:M6"/>
  </mergeCells>
  <phoneticPr fontId="15" type="noConversion"/>
  <conditionalFormatting sqref="B12:B657">
    <cfRule type="duplicateValues" dxfId="93" priority="4"/>
  </conditionalFormatting>
  <hyperlinks>
    <hyperlink ref="O100" r:id="rId1" xr:uid="{67ED24B7-F4F9-4829-8333-FF5F4D482AA0}"/>
    <hyperlink ref="O13:O357" r:id="rId2" display="Subdirector@ de Gestión Corporativa" xr:uid="{4A323593-15EA-45D2-9634-A21BA9F6B864}"/>
    <hyperlink ref="O170" r:id="rId3" xr:uid="{81B5539B-B166-4896-9A39-27DB4B634BBD}"/>
    <hyperlink ref="O627" r:id="rId4" display="Subdirector@ de Gestión del Riesgo" xr:uid="{2DE2B215-9BB6-4D50-9C69-466623B82D83}"/>
    <hyperlink ref="O628" r:id="rId5" display="Subdirector@ de Gestión del Riesgo" xr:uid="{028CA609-76AF-4559-BA98-EFE6E22D3935}"/>
    <hyperlink ref="O176" r:id="rId6" xr:uid="{FEE9E9E5-B939-4FE7-90D7-C043A3ECF549}"/>
  </hyperlinks>
  <pageMargins left="0.7" right="0.7" top="0.75" bottom="0.75" header="0.3" footer="0.3"/>
  <pageSetup paperSize="9" scale="12" orientation="portrait" horizontalDpi="4294967294" verticalDpi="4294967294" r:id="rId7"/>
  <customProperties>
    <customPr name="EpmWorksheetKeyString_GUID" r:id="rId8"/>
  </customProperties>
  <ignoredErrors>
    <ignoredError sqref="O8" unlockedFormula="1"/>
  </ignoredErrors>
  <drawing r:id="rId9"/>
  <tableParts count="1">
    <tablePart r:id="rId10"/>
  </tableParts>
  <extLst>
    <ext xmlns:x14="http://schemas.microsoft.com/office/spreadsheetml/2009/9/main" uri="{CCE6A557-97BC-4b89-ADB6-D9C93CAAB3DF}">
      <x14:dataValidations xmlns:xm="http://schemas.microsoft.com/office/excel/2006/main" count="13">
        <x14:dataValidation type="list" allowBlank="1" showInputMessage="1" showErrorMessage="1" xr:uid="{33649DEA-794C-4C6A-8EB5-BC1A8079C3C2}">
          <x14:formula1>
            <xm:f>TD!$O$2:$O$14</xm:f>
          </x14:formula1>
          <xm:sqref>L12:L657</xm:sqref>
        </x14:dataValidation>
        <x14:dataValidation type="list" allowBlank="1" showInputMessage="1" showErrorMessage="1" xr:uid="{367956A3-3FF4-4469-AF49-C057EA7486FA}">
          <x14:formula1>
            <xm:f>TD!$D$2:$D$29</xm:f>
          </x14:formula1>
          <xm:sqref>F12:F657</xm:sqref>
        </x14:dataValidation>
        <x14:dataValidation type="list" allowBlank="1" showInputMessage="1" showErrorMessage="1" xr:uid="{AE9575A7-4CB7-4BD1-805F-4119048BA672}">
          <x14:formula1>
            <xm:f>TD!$B$15:$B$16</xm:f>
          </x14:formula1>
          <xm:sqref>E12:E657</xm:sqref>
        </x14:dataValidation>
        <x14:dataValidation type="list" allowBlank="1" showInputMessage="1" showErrorMessage="1" xr:uid="{447F3D67-5446-44A6-9358-32563267660F}">
          <x14:formula1>
            <xm:f>TD!$B$19:$B$31</xm:f>
          </x14:formula1>
          <xm:sqref>G12:G657</xm:sqref>
        </x14:dataValidation>
        <x14:dataValidation type="list" allowBlank="1" showInputMessage="1" showErrorMessage="1" xr:uid="{167B3C98-C85F-496C-B1F5-3644BB267750}">
          <x14:formula1>
            <xm:f>TD!$B$51:$B$54</xm:f>
          </x14:formula1>
          <xm:sqref>N12:N657</xm:sqref>
        </x14:dataValidation>
        <x14:dataValidation type="list" allowBlank="1" showInputMessage="1" showErrorMessage="1" xr:uid="{C19D9E6E-AEC7-4142-B89D-D61322877AFC}">
          <x14:formula1>
            <xm:f>TD!$J$3:$J$24</xm:f>
          </x14:formula1>
          <xm:sqref>R12:R657</xm:sqref>
        </x14:dataValidation>
        <x14:dataValidation type="list" allowBlank="1" showInputMessage="1" showErrorMessage="1" xr:uid="{B4D90150-9848-474F-8126-9F973D312285}">
          <x14:formula1>
            <xm:f>TD!$J$51:$J$64</xm:f>
          </x14:formula1>
          <xm:sqref>X12:X657</xm:sqref>
        </x14:dataValidation>
        <x14:dataValidation type="list" allowBlank="1" showInputMessage="1" showErrorMessage="1" xr:uid="{2840086A-4D8A-4E66-AD6D-EE95601C2C7C}">
          <x14:formula1>
            <xm:f>TD!$D$57:$D$58</xm:f>
          </x14:formula1>
          <xm:sqref>K12:K657</xm:sqref>
        </x14:dataValidation>
        <x14:dataValidation type="list" allowBlank="1" showInputMessage="1" showErrorMessage="1" xr:uid="{06E99C44-5C60-468B-8DDC-A942983538C2}">
          <x14:formula1>
            <xm:f>TD!$N$51:$N$63</xm:f>
          </x14:formula1>
          <xm:sqref>AA12:AA657</xm:sqref>
        </x14:dataValidation>
        <x14:dataValidation type="list" allowBlank="1" showInputMessage="1" showErrorMessage="1" xr:uid="{745A9AE1-DD02-4B8A-AEC0-3B73FB6B7E5F}">
          <x14:formula1>
            <xm:f>TD!$X$51:$X$52</xm:f>
          </x14:formula1>
          <xm:sqref>AH12:AH657</xm:sqref>
        </x14:dataValidation>
        <x14:dataValidation type="list" allowBlank="1" showInputMessage="1" showErrorMessage="1" xr:uid="{80D5954D-9596-4C04-B538-A744D1B2CB65}">
          <x14:formula1>
            <xm:f>TD!$Q$2:$Q$7</xm:f>
          </x14:formula1>
          <xm:sqref>P12:P657</xm:sqref>
        </x14:dataValidation>
        <x14:dataValidation type="list" allowBlank="1" showInputMessage="1" showErrorMessage="1" xr:uid="{74AFF05A-906B-4B39-99D3-E0E68439EEF0}">
          <x14:formula1>
            <xm:f>TD!$B$3:$B$11</xm:f>
          </x14:formula1>
          <xm:sqref>D12:D657</xm:sqref>
        </x14:dataValidation>
        <x14:dataValidation type="list" allowBlank="1" showInputMessage="1" showErrorMessage="1" xr:uid="{AF099CF4-1B60-420B-AF00-F2137A73C9C0}">
          <x14:formula1>
            <xm:f>TD!$F$2:$F$43</xm:f>
          </x14:formula1>
          <xm:sqref>AG12:AG657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39" customWidth="1"/>
    <col min="2" max="3" width="17.1796875" style="39"/>
    <col min="4" max="4" width="20.453125" style="39" customWidth="1"/>
    <col min="5" max="5" width="29.453125" style="39" customWidth="1"/>
    <col min="6" max="6" width="20.453125" style="40" customWidth="1"/>
    <col min="7" max="7" width="6.453125" style="39" customWidth="1"/>
    <col min="8" max="9" width="24.453125" style="39" customWidth="1"/>
    <col min="10" max="10" width="19.26953125" style="39" customWidth="1"/>
    <col min="11" max="11" width="28.81640625" style="40" bestFit="1" customWidth="1"/>
    <col min="12" max="12" width="21.36328125" style="39" customWidth="1"/>
    <col min="13" max="16384" width="17.1796875" style="39"/>
  </cols>
  <sheetData>
    <row r="2" spans="2:13" x14ac:dyDescent="0.45">
      <c r="B2" s="38" t="s">
        <v>338</v>
      </c>
      <c r="C2" s="38"/>
      <c r="H2" s="38" t="s">
        <v>341</v>
      </c>
    </row>
    <row r="3" spans="2:13" x14ac:dyDescent="0.45">
      <c r="B3" s="38" t="s">
        <v>339</v>
      </c>
      <c r="H3" s="38" t="s">
        <v>339</v>
      </c>
    </row>
    <row r="4" spans="2:13" x14ac:dyDescent="0.45">
      <c r="B4" s="38" t="s">
        <v>197</v>
      </c>
      <c r="C4" s="38"/>
      <c r="H4" s="38" t="s">
        <v>197</v>
      </c>
      <c r="I4" s="38"/>
    </row>
    <row r="5" spans="2:13" s="22" customFormat="1" ht="33" x14ac:dyDescent="0.35">
      <c r="B5" s="24" t="s">
        <v>52</v>
      </c>
      <c r="C5" s="24" t="s">
        <v>0</v>
      </c>
      <c r="D5" s="33" t="s">
        <v>2</v>
      </c>
      <c r="E5" s="24" t="s">
        <v>220</v>
      </c>
      <c r="F5" s="47" t="s">
        <v>337</v>
      </c>
      <c r="G5" s="21"/>
      <c r="H5" s="24" t="s">
        <v>52</v>
      </c>
      <c r="I5" s="24" t="s">
        <v>0</v>
      </c>
      <c r="J5" s="33" t="s">
        <v>2</v>
      </c>
      <c r="K5" s="24" t="s">
        <v>220</v>
      </c>
      <c r="L5" s="47" t="s">
        <v>337</v>
      </c>
      <c r="M5" s="47" t="s">
        <v>340</v>
      </c>
    </row>
    <row r="6" spans="2:13" x14ac:dyDescent="0.45">
      <c r="B6" s="42" t="s">
        <v>197</v>
      </c>
      <c r="C6" s="42" t="s">
        <v>45</v>
      </c>
      <c r="D6" s="42" t="s">
        <v>208</v>
      </c>
      <c r="E6" s="42" t="s">
        <v>254</v>
      </c>
      <c r="F6" s="43">
        <v>260870960</v>
      </c>
      <c r="H6" s="42" t="s">
        <v>197</v>
      </c>
      <c r="I6" s="42" t="s">
        <v>45</v>
      </c>
      <c r="J6" s="42" t="s">
        <v>208</v>
      </c>
      <c r="K6" s="42" t="s">
        <v>254</v>
      </c>
      <c r="L6" s="43">
        <v>260870960</v>
      </c>
      <c r="M6" s="45">
        <f t="shared" ref="M6:M19" si="0">+F6-L6</f>
        <v>0</v>
      </c>
    </row>
    <row r="7" spans="2:13" x14ac:dyDescent="0.45">
      <c r="B7" s="42" t="s">
        <v>197</v>
      </c>
      <c r="C7" s="42" t="s">
        <v>150</v>
      </c>
      <c r="D7" s="42" t="s">
        <v>209</v>
      </c>
      <c r="E7" s="42" t="s">
        <v>261</v>
      </c>
      <c r="F7" s="43">
        <v>260870960</v>
      </c>
      <c r="H7" s="42" t="s">
        <v>197</v>
      </c>
      <c r="I7" s="42" t="s">
        <v>150</v>
      </c>
      <c r="J7" s="42" t="s">
        <v>209</v>
      </c>
      <c r="K7" s="42" t="s">
        <v>261</v>
      </c>
      <c r="L7" s="43">
        <v>260870960</v>
      </c>
      <c r="M7" s="45">
        <f t="shared" si="0"/>
        <v>0</v>
      </c>
    </row>
    <row r="8" spans="2:13" x14ac:dyDescent="0.45">
      <c r="B8" s="42" t="s">
        <v>197</v>
      </c>
      <c r="C8" s="42" t="s">
        <v>151</v>
      </c>
      <c r="D8" s="42" t="s">
        <v>203</v>
      </c>
      <c r="E8" s="42" t="s">
        <v>257</v>
      </c>
      <c r="F8" s="43">
        <v>481960117</v>
      </c>
      <c r="H8" s="42" t="s">
        <v>197</v>
      </c>
      <c r="I8" s="42" t="s">
        <v>151</v>
      </c>
      <c r="J8" s="42" t="s">
        <v>203</v>
      </c>
      <c r="K8" s="42" t="s">
        <v>257</v>
      </c>
      <c r="L8" s="43">
        <v>481960117</v>
      </c>
      <c r="M8" s="45">
        <f t="shared" si="0"/>
        <v>0</v>
      </c>
    </row>
    <row r="9" spans="2:13" x14ac:dyDescent="0.45">
      <c r="B9" s="42" t="s">
        <v>197</v>
      </c>
      <c r="C9" s="42" t="s">
        <v>151</v>
      </c>
      <c r="D9" s="42" t="s">
        <v>204</v>
      </c>
      <c r="E9" s="42" t="s">
        <v>257</v>
      </c>
      <c r="F9" s="43">
        <v>926338572</v>
      </c>
      <c r="H9" s="42" t="s">
        <v>197</v>
      </c>
      <c r="I9" s="42" t="s">
        <v>151</v>
      </c>
      <c r="J9" s="42" t="s">
        <v>204</v>
      </c>
      <c r="K9" s="42" t="s">
        <v>257</v>
      </c>
      <c r="L9" s="43">
        <v>926338572</v>
      </c>
      <c r="M9" s="45">
        <f t="shared" si="0"/>
        <v>0</v>
      </c>
    </row>
    <row r="10" spans="2:13" x14ac:dyDescent="0.45">
      <c r="B10" s="42" t="s">
        <v>197</v>
      </c>
      <c r="C10" s="42" t="s">
        <v>151</v>
      </c>
      <c r="D10" s="42" t="s">
        <v>205</v>
      </c>
      <c r="E10" s="42" t="s">
        <v>257</v>
      </c>
      <c r="F10" s="43">
        <v>475003732</v>
      </c>
      <c r="H10" s="42" t="s">
        <v>197</v>
      </c>
      <c r="I10" s="42" t="s">
        <v>151</v>
      </c>
      <c r="J10" s="42" t="s">
        <v>205</v>
      </c>
      <c r="K10" s="42" t="s">
        <v>257</v>
      </c>
      <c r="L10" s="43">
        <v>475003732</v>
      </c>
      <c r="M10" s="45">
        <f t="shared" si="0"/>
        <v>0</v>
      </c>
    </row>
    <row r="11" spans="2:13" x14ac:dyDescent="0.45">
      <c r="B11" s="42" t="s">
        <v>197</v>
      </c>
      <c r="C11" s="42" t="s">
        <v>151</v>
      </c>
      <c r="D11" s="42" t="s">
        <v>206</v>
      </c>
      <c r="E11" s="42" t="s">
        <v>257</v>
      </c>
      <c r="F11" s="43">
        <v>175876971</v>
      </c>
      <c r="H11" s="42" t="s">
        <v>197</v>
      </c>
      <c r="I11" s="42" t="s">
        <v>151</v>
      </c>
      <c r="J11" s="42" t="s">
        <v>206</v>
      </c>
      <c r="K11" s="42" t="s">
        <v>257</v>
      </c>
      <c r="L11" s="43">
        <v>175876971</v>
      </c>
      <c r="M11" s="45">
        <f t="shared" si="0"/>
        <v>0</v>
      </c>
    </row>
    <row r="12" spans="2:13" x14ac:dyDescent="0.45">
      <c r="B12" s="42" t="s">
        <v>197</v>
      </c>
      <c r="C12" s="42" t="s">
        <v>36</v>
      </c>
      <c r="D12" s="42" t="s">
        <v>200</v>
      </c>
      <c r="E12" s="42" t="s">
        <v>259</v>
      </c>
      <c r="F12" s="43">
        <v>336851064</v>
      </c>
      <c r="H12" s="42" t="s">
        <v>197</v>
      </c>
      <c r="I12" s="42" t="s">
        <v>36</v>
      </c>
      <c r="J12" s="42" t="s">
        <v>200</v>
      </c>
      <c r="K12" s="42" t="s">
        <v>259</v>
      </c>
      <c r="L12" s="43">
        <v>336851064</v>
      </c>
      <c r="M12" s="45">
        <f t="shared" si="0"/>
        <v>0</v>
      </c>
    </row>
    <row r="13" spans="2:13" x14ac:dyDescent="0.45">
      <c r="B13" s="42" t="s">
        <v>197</v>
      </c>
      <c r="C13" s="42" t="s">
        <v>36</v>
      </c>
      <c r="D13" s="42" t="s">
        <v>201</v>
      </c>
      <c r="E13" s="42" t="s">
        <v>260</v>
      </c>
      <c r="F13" s="43">
        <v>168425532</v>
      </c>
      <c r="H13" s="42" t="s">
        <v>197</v>
      </c>
      <c r="I13" s="42" t="s">
        <v>36</v>
      </c>
      <c r="J13" s="42" t="s">
        <v>201</v>
      </c>
      <c r="K13" s="42" t="s">
        <v>260</v>
      </c>
      <c r="L13" s="43">
        <v>168425532</v>
      </c>
      <c r="M13" s="45">
        <f t="shared" si="0"/>
        <v>0</v>
      </c>
    </row>
    <row r="14" spans="2:13" x14ac:dyDescent="0.45">
      <c r="B14" s="42" t="s">
        <v>197</v>
      </c>
      <c r="C14" s="42" t="s">
        <v>36</v>
      </c>
      <c r="D14" s="42" t="s">
        <v>202</v>
      </c>
      <c r="E14" s="42" t="s">
        <v>260</v>
      </c>
      <c r="F14" s="43">
        <v>56141844</v>
      </c>
      <c r="H14" s="42" t="s">
        <v>197</v>
      </c>
      <c r="I14" s="42" t="s">
        <v>36</v>
      </c>
      <c r="J14" s="42" t="s">
        <v>202</v>
      </c>
      <c r="K14" s="42" t="s">
        <v>260</v>
      </c>
      <c r="L14" s="43">
        <v>56141844</v>
      </c>
      <c r="M14" s="45">
        <f t="shared" si="0"/>
        <v>0</v>
      </c>
    </row>
    <row r="15" spans="2:13" x14ac:dyDescent="0.45">
      <c r="B15" s="42" t="s">
        <v>197</v>
      </c>
      <c r="C15" s="42" t="s">
        <v>46</v>
      </c>
      <c r="D15" s="42" t="s">
        <v>208</v>
      </c>
      <c r="E15" s="42" t="s">
        <v>254</v>
      </c>
      <c r="F15" s="43">
        <v>206558000</v>
      </c>
      <c r="H15" s="42" t="s">
        <v>197</v>
      </c>
      <c r="I15" s="42" t="s">
        <v>46</v>
      </c>
      <c r="J15" s="42" t="s">
        <v>208</v>
      </c>
      <c r="K15" s="42" t="s">
        <v>254</v>
      </c>
      <c r="L15" s="43">
        <v>206558000</v>
      </c>
      <c r="M15" s="45">
        <f t="shared" si="0"/>
        <v>0</v>
      </c>
    </row>
    <row r="16" spans="2:13" x14ac:dyDescent="0.45">
      <c r="B16" s="42" t="s">
        <v>197</v>
      </c>
      <c r="C16" s="42" t="s">
        <v>152</v>
      </c>
      <c r="D16" s="42" t="s">
        <v>208</v>
      </c>
      <c r="E16" s="42" t="s">
        <v>254</v>
      </c>
      <c r="F16" s="43">
        <v>171068294</v>
      </c>
      <c r="H16" s="42" t="s">
        <v>197</v>
      </c>
      <c r="I16" s="42" t="s">
        <v>152</v>
      </c>
      <c r="J16" s="42" t="s">
        <v>208</v>
      </c>
      <c r="K16" s="42" t="s">
        <v>254</v>
      </c>
      <c r="L16" s="43">
        <v>171068294</v>
      </c>
      <c r="M16" s="45">
        <f t="shared" si="0"/>
        <v>0</v>
      </c>
    </row>
    <row r="17" spans="2:13" x14ac:dyDescent="0.45">
      <c r="B17" s="42" t="s">
        <v>197</v>
      </c>
      <c r="C17" s="42" t="s">
        <v>153</v>
      </c>
      <c r="D17" s="42" t="s">
        <v>208</v>
      </c>
      <c r="E17" s="42" t="s">
        <v>254</v>
      </c>
      <c r="F17" s="43">
        <v>229431788</v>
      </c>
      <c r="H17" s="42" t="s">
        <v>197</v>
      </c>
      <c r="I17" s="42" t="s">
        <v>153</v>
      </c>
      <c r="J17" s="42" t="s">
        <v>208</v>
      </c>
      <c r="K17" s="42" t="s">
        <v>254</v>
      </c>
      <c r="L17" s="43">
        <v>229431788</v>
      </c>
      <c r="M17" s="45">
        <f t="shared" si="0"/>
        <v>0</v>
      </c>
    </row>
    <row r="18" spans="2:13" x14ac:dyDescent="0.45">
      <c r="B18" s="42" t="s">
        <v>197</v>
      </c>
      <c r="C18" s="42" t="s">
        <v>155</v>
      </c>
      <c r="D18" s="42" t="s">
        <v>207</v>
      </c>
      <c r="E18" s="42" t="s">
        <v>254</v>
      </c>
      <c r="F18" s="43">
        <v>1239712750</v>
      </c>
      <c r="H18" s="42" t="s">
        <v>197</v>
      </c>
      <c r="I18" s="42" t="s">
        <v>155</v>
      </c>
      <c r="J18" s="42" t="s">
        <v>207</v>
      </c>
      <c r="K18" s="42" t="s">
        <v>254</v>
      </c>
      <c r="L18" s="43">
        <v>1239712750</v>
      </c>
      <c r="M18" s="45">
        <f t="shared" si="0"/>
        <v>0</v>
      </c>
    </row>
    <row r="19" spans="2:13" x14ac:dyDescent="0.45">
      <c r="B19" s="42" t="s">
        <v>197</v>
      </c>
      <c r="C19" s="42" t="s">
        <v>155</v>
      </c>
      <c r="D19" s="42" t="s">
        <v>208</v>
      </c>
      <c r="E19" s="42" t="s">
        <v>254</v>
      </c>
      <c r="F19" s="43">
        <v>248759474</v>
      </c>
      <c r="H19" s="42" t="s">
        <v>197</v>
      </c>
      <c r="I19" s="42" t="s">
        <v>155</v>
      </c>
      <c r="J19" s="42" t="s">
        <v>208</v>
      </c>
      <c r="K19" s="42" t="s">
        <v>254</v>
      </c>
      <c r="L19" s="43">
        <v>248759474</v>
      </c>
      <c r="M19" s="45">
        <f t="shared" si="0"/>
        <v>0</v>
      </c>
    </row>
    <row r="20" spans="2:13" x14ac:dyDescent="0.45">
      <c r="B20" s="38" t="s">
        <v>27</v>
      </c>
      <c r="C20" s="38"/>
      <c r="D20" s="38"/>
      <c r="E20" s="38"/>
      <c r="F20" s="44">
        <f>SUM(F6:F19)</f>
        <v>5237870058</v>
      </c>
      <c r="H20" s="38" t="s">
        <v>27</v>
      </c>
      <c r="K20" s="39"/>
      <c r="L20" s="46">
        <f>SUM(L6:L19)</f>
        <v>5237870058</v>
      </c>
      <c r="M20" s="40">
        <f>SUM(M6:M19)</f>
        <v>0</v>
      </c>
    </row>
    <row r="21" spans="2:13" x14ac:dyDescent="0.45">
      <c r="K21" s="39"/>
      <c r="L21" s="40"/>
    </row>
    <row r="22" spans="2:13" x14ac:dyDescent="0.45">
      <c r="B22" s="38" t="s">
        <v>338</v>
      </c>
      <c r="H22" s="38" t="s">
        <v>341</v>
      </c>
      <c r="K22" s="39"/>
      <c r="L22" s="40"/>
    </row>
    <row r="23" spans="2:13" x14ac:dyDescent="0.45">
      <c r="B23" s="38" t="s">
        <v>339</v>
      </c>
      <c r="H23" s="38" t="s">
        <v>339</v>
      </c>
      <c r="K23" s="39"/>
      <c r="L23" s="40"/>
    </row>
    <row r="24" spans="2:13" x14ac:dyDescent="0.45">
      <c r="B24" s="38" t="s">
        <v>198</v>
      </c>
      <c r="H24" s="38" t="s">
        <v>198</v>
      </c>
      <c r="K24" s="39"/>
      <c r="L24" s="40"/>
    </row>
    <row r="25" spans="2:13" s="22" customFormat="1" ht="33" x14ac:dyDescent="0.35">
      <c r="B25" s="24" t="s">
        <v>52</v>
      </c>
      <c r="C25" s="24" t="s">
        <v>0</v>
      </c>
      <c r="D25" s="33" t="s">
        <v>2</v>
      </c>
      <c r="E25" s="24" t="s">
        <v>220</v>
      </c>
      <c r="F25" s="47" t="s">
        <v>337</v>
      </c>
      <c r="H25" s="24" t="s">
        <v>52</v>
      </c>
      <c r="I25" s="24" t="s">
        <v>0</v>
      </c>
      <c r="J25" s="24" t="s">
        <v>2</v>
      </c>
      <c r="K25" s="24" t="s">
        <v>220</v>
      </c>
      <c r="L25" s="47" t="s">
        <v>337</v>
      </c>
      <c r="M25" s="47" t="s">
        <v>340</v>
      </c>
    </row>
    <row r="26" spans="2:13" x14ac:dyDescent="0.45">
      <c r="B26" s="42" t="s">
        <v>198</v>
      </c>
      <c r="C26" s="42" t="s">
        <v>155</v>
      </c>
      <c r="D26" s="42" t="s">
        <v>219</v>
      </c>
      <c r="E26" s="42" t="s">
        <v>262</v>
      </c>
      <c r="F26" s="43">
        <v>99912253</v>
      </c>
      <c r="H26" s="42" t="s">
        <v>198</v>
      </c>
      <c r="I26" s="42" t="s">
        <v>155</v>
      </c>
      <c r="J26" s="42" t="s">
        <v>219</v>
      </c>
      <c r="K26" s="42" t="s">
        <v>262</v>
      </c>
      <c r="L26" s="43">
        <v>99912253</v>
      </c>
      <c r="M26" s="45">
        <f t="shared" ref="M26:M37" si="1">+F26-L26</f>
        <v>0</v>
      </c>
    </row>
    <row r="27" spans="2:13" x14ac:dyDescent="0.45">
      <c r="B27" s="42" t="s">
        <v>198</v>
      </c>
      <c r="C27" s="42" t="s">
        <v>155</v>
      </c>
      <c r="D27" s="42" t="s">
        <v>216</v>
      </c>
      <c r="E27" s="42" t="s">
        <v>252</v>
      </c>
      <c r="F27" s="43">
        <v>899210268</v>
      </c>
      <c r="H27" s="42" t="s">
        <v>198</v>
      </c>
      <c r="I27" s="42" t="s">
        <v>155</v>
      </c>
      <c r="J27" s="42" t="s">
        <v>216</v>
      </c>
      <c r="K27" s="42" t="s">
        <v>252</v>
      </c>
      <c r="L27" s="43">
        <v>899210268</v>
      </c>
      <c r="M27" s="45">
        <f t="shared" si="1"/>
        <v>0</v>
      </c>
    </row>
    <row r="28" spans="2:13" x14ac:dyDescent="0.45">
      <c r="B28" s="42" t="s">
        <v>198</v>
      </c>
      <c r="C28" s="42" t="s">
        <v>154</v>
      </c>
      <c r="D28" s="42" t="s">
        <v>218</v>
      </c>
      <c r="E28" s="42" t="s">
        <v>251</v>
      </c>
      <c r="F28" s="43">
        <v>2793994517</v>
      </c>
      <c r="H28" s="42" t="s">
        <v>198</v>
      </c>
      <c r="I28" s="42" t="s">
        <v>154</v>
      </c>
      <c r="J28" s="42" t="s">
        <v>218</v>
      </c>
      <c r="K28" s="42" t="s">
        <v>251</v>
      </c>
      <c r="L28" s="43">
        <v>2793994517</v>
      </c>
      <c r="M28" s="45">
        <f t="shared" si="1"/>
        <v>0</v>
      </c>
    </row>
    <row r="29" spans="2:13" x14ac:dyDescent="0.45">
      <c r="B29" s="42" t="s">
        <v>198</v>
      </c>
      <c r="C29" s="42" t="s">
        <v>156</v>
      </c>
      <c r="D29" s="42" t="s">
        <v>210</v>
      </c>
      <c r="E29" s="42" t="s">
        <v>247</v>
      </c>
      <c r="F29" s="52">
        <v>162500000</v>
      </c>
      <c r="H29" s="42" t="s">
        <v>198</v>
      </c>
      <c r="I29" s="42" t="s">
        <v>156</v>
      </c>
      <c r="J29" s="42" t="s">
        <v>210</v>
      </c>
      <c r="K29" s="42" t="s">
        <v>247</v>
      </c>
      <c r="L29" s="52">
        <v>162500000</v>
      </c>
      <c r="M29" s="45">
        <f t="shared" si="1"/>
        <v>0</v>
      </c>
    </row>
    <row r="30" spans="2:13" x14ac:dyDescent="0.45">
      <c r="B30" s="42" t="s">
        <v>198</v>
      </c>
      <c r="C30" s="42" t="s">
        <v>156</v>
      </c>
      <c r="D30" s="42" t="s">
        <v>210</v>
      </c>
      <c r="E30" s="42" t="s">
        <v>248</v>
      </c>
      <c r="F30" s="52">
        <v>698601047</v>
      </c>
      <c r="H30" s="42" t="s">
        <v>198</v>
      </c>
      <c r="I30" s="42" t="s">
        <v>156</v>
      </c>
      <c r="J30" s="42" t="s">
        <v>210</v>
      </c>
      <c r="K30" s="42" t="s">
        <v>248</v>
      </c>
      <c r="L30" s="52">
        <v>698601047</v>
      </c>
      <c r="M30" s="45">
        <f t="shared" si="1"/>
        <v>0</v>
      </c>
    </row>
    <row r="31" spans="2:13" x14ac:dyDescent="0.45">
      <c r="B31" s="42" t="s">
        <v>198</v>
      </c>
      <c r="C31" s="42" t="s">
        <v>156</v>
      </c>
      <c r="D31" s="42" t="s">
        <v>210</v>
      </c>
      <c r="E31" s="42" t="s">
        <v>250</v>
      </c>
      <c r="F31" s="52">
        <v>387093222</v>
      </c>
      <c r="H31" s="42" t="s">
        <v>198</v>
      </c>
      <c r="I31" s="42" t="s">
        <v>156</v>
      </c>
      <c r="J31" s="42" t="s">
        <v>210</v>
      </c>
      <c r="K31" s="42" t="s">
        <v>250</v>
      </c>
      <c r="L31" s="52">
        <v>387093222</v>
      </c>
      <c r="M31" s="45">
        <f t="shared" si="1"/>
        <v>0</v>
      </c>
    </row>
    <row r="32" spans="2:13" x14ac:dyDescent="0.45">
      <c r="B32" s="42" t="s">
        <v>198</v>
      </c>
      <c r="C32" s="42" t="s">
        <v>156</v>
      </c>
      <c r="D32" s="42" t="s">
        <v>214</v>
      </c>
      <c r="E32" s="42" t="s">
        <v>249</v>
      </c>
      <c r="F32" s="43">
        <v>639843601</v>
      </c>
      <c r="H32" s="42" t="s">
        <v>198</v>
      </c>
      <c r="I32" s="42" t="s">
        <v>156</v>
      </c>
      <c r="J32" s="42" t="s">
        <v>214</v>
      </c>
      <c r="K32" s="42" t="s">
        <v>249</v>
      </c>
      <c r="L32" s="43">
        <v>639843601</v>
      </c>
      <c r="M32" s="45">
        <f t="shared" si="1"/>
        <v>0</v>
      </c>
    </row>
    <row r="33" spans="2:13" x14ac:dyDescent="0.45">
      <c r="B33" s="42" t="s">
        <v>198</v>
      </c>
      <c r="C33" s="42" t="s">
        <v>156</v>
      </c>
      <c r="D33" s="42" t="s">
        <v>215</v>
      </c>
      <c r="E33" s="42" t="s">
        <v>249</v>
      </c>
      <c r="F33" s="43">
        <v>51767209</v>
      </c>
      <c r="H33" s="42" t="s">
        <v>198</v>
      </c>
      <c r="I33" s="42" t="s">
        <v>156</v>
      </c>
      <c r="J33" s="42" t="s">
        <v>215</v>
      </c>
      <c r="K33" s="42" t="s">
        <v>249</v>
      </c>
      <c r="L33" s="43">
        <v>51767209</v>
      </c>
      <c r="M33" s="45">
        <f t="shared" si="1"/>
        <v>0</v>
      </c>
    </row>
    <row r="34" spans="2:13" x14ac:dyDescent="0.45">
      <c r="B34" s="42" t="s">
        <v>198</v>
      </c>
      <c r="C34" s="42" t="s">
        <v>157</v>
      </c>
      <c r="D34" s="42" t="s">
        <v>213</v>
      </c>
      <c r="E34" s="42" t="s">
        <v>255</v>
      </c>
      <c r="F34" s="43">
        <v>4450000000</v>
      </c>
      <c r="H34" s="42" t="s">
        <v>198</v>
      </c>
      <c r="I34" s="42" t="s">
        <v>157</v>
      </c>
      <c r="J34" s="42" t="s">
        <v>213</v>
      </c>
      <c r="K34" s="42" t="s">
        <v>255</v>
      </c>
      <c r="L34" s="43">
        <v>4450000000</v>
      </c>
      <c r="M34" s="45">
        <f t="shared" si="1"/>
        <v>0</v>
      </c>
    </row>
    <row r="35" spans="2:13" x14ac:dyDescent="0.45">
      <c r="B35" s="42" t="s">
        <v>198</v>
      </c>
      <c r="C35" s="42" t="s">
        <v>157</v>
      </c>
      <c r="D35" s="42" t="s">
        <v>213</v>
      </c>
      <c r="E35" s="42" t="s">
        <v>258</v>
      </c>
      <c r="F35" s="43">
        <v>1071405909</v>
      </c>
      <c r="H35" s="42" t="s">
        <v>198</v>
      </c>
      <c r="I35" s="42" t="s">
        <v>157</v>
      </c>
      <c r="J35" s="42" t="s">
        <v>213</v>
      </c>
      <c r="K35" s="42" t="s">
        <v>258</v>
      </c>
      <c r="L35" s="43">
        <v>1071405909</v>
      </c>
      <c r="M35" s="45">
        <f t="shared" si="1"/>
        <v>0</v>
      </c>
    </row>
    <row r="36" spans="2:13" x14ac:dyDescent="0.45">
      <c r="B36" s="42" t="s">
        <v>198</v>
      </c>
      <c r="C36" s="42" t="s">
        <v>158</v>
      </c>
      <c r="D36" s="42" t="s">
        <v>211</v>
      </c>
      <c r="E36" s="42" t="s">
        <v>246</v>
      </c>
      <c r="F36" s="43">
        <v>1275620000</v>
      </c>
      <c r="H36" s="42" t="s">
        <v>198</v>
      </c>
      <c r="I36" s="42" t="s">
        <v>158</v>
      </c>
      <c r="J36" s="42" t="s">
        <v>211</v>
      </c>
      <c r="K36" s="42" t="s">
        <v>246</v>
      </c>
      <c r="L36" s="43">
        <v>1275620000</v>
      </c>
      <c r="M36" s="45">
        <f t="shared" si="1"/>
        <v>0</v>
      </c>
    </row>
    <row r="37" spans="2:13" x14ac:dyDescent="0.45">
      <c r="B37" s="42" t="s">
        <v>198</v>
      </c>
      <c r="C37" s="42" t="s">
        <v>158</v>
      </c>
      <c r="D37" s="42" t="s">
        <v>211</v>
      </c>
      <c r="E37" s="42" t="s">
        <v>256</v>
      </c>
      <c r="F37" s="43">
        <v>5739596933</v>
      </c>
      <c r="H37" s="42" t="s">
        <v>198</v>
      </c>
      <c r="I37" s="42" t="s">
        <v>158</v>
      </c>
      <c r="J37" s="42" t="s">
        <v>211</v>
      </c>
      <c r="K37" s="42" t="s">
        <v>256</v>
      </c>
      <c r="L37" s="43">
        <v>5739596933</v>
      </c>
      <c r="M37" s="45">
        <f t="shared" si="1"/>
        <v>0</v>
      </c>
    </row>
    <row r="38" spans="2:13" x14ac:dyDescent="0.45">
      <c r="B38" s="38" t="s">
        <v>27</v>
      </c>
      <c r="F38" s="44">
        <v>18269544959</v>
      </c>
      <c r="H38" s="38" t="s">
        <v>27</v>
      </c>
      <c r="K38" s="39"/>
      <c r="L38" s="44">
        <v>18269544959</v>
      </c>
      <c r="M38" s="41"/>
    </row>
    <row r="39" spans="2:13" x14ac:dyDescent="0.45">
      <c r="M39" s="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19"/>
    <col min="2" max="2" width="58.08984375" style="22" customWidth="1"/>
    <col min="3" max="3" width="15.90625" style="20" customWidth="1"/>
    <col min="4" max="4" width="20" style="28" bestFit="1" customWidth="1"/>
    <col min="5" max="5" width="31.453125" style="20" customWidth="1"/>
    <col min="6" max="6" width="36.453125" style="20" customWidth="1"/>
    <col min="7" max="7" width="53.08984375" style="22" customWidth="1"/>
    <col min="8" max="11" width="10.7265625" style="22"/>
    <col min="12" max="16384" width="10.7265625" style="19"/>
  </cols>
  <sheetData>
    <row r="2" spans="2:7" x14ac:dyDescent="0.35">
      <c r="B2" s="24">
        <v>8126</v>
      </c>
    </row>
    <row r="3" spans="2:7" ht="49.5" x14ac:dyDescent="0.35">
      <c r="B3" s="24" t="s">
        <v>81</v>
      </c>
      <c r="C3" s="24" t="s">
        <v>289</v>
      </c>
      <c r="D3" s="29" t="s">
        <v>290</v>
      </c>
      <c r="E3" s="33" t="s">
        <v>195</v>
      </c>
      <c r="F3" s="24" t="s">
        <v>196</v>
      </c>
      <c r="G3" s="24" t="s">
        <v>291</v>
      </c>
    </row>
    <row r="4" spans="2:7" ht="49.5" x14ac:dyDescent="0.35">
      <c r="B4" s="25" t="s">
        <v>86</v>
      </c>
      <c r="C4" s="26" t="s">
        <v>292</v>
      </c>
      <c r="D4" s="30">
        <v>336851064</v>
      </c>
      <c r="E4" s="26" t="s">
        <v>293</v>
      </c>
      <c r="F4" s="26" t="s">
        <v>259</v>
      </c>
      <c r="G4" s="25" t="s">
        <v>129</v>
      </c>
    </row>
    <row r="5" spans="2:7" ht="99" x14ac:dyDescent="0.35">
      <c r="B5" s="25" t="s">
        <v>90</v>
      </c>
      <c r="C5" s="26" t="s">
        <v>292</v>
      </c>
      <c r="D5" s="30">
        <v>168425532</v>
      </c>
      <c r="E5" s="26" t="s">
        <v>294</v>
      </c>
      <c r="F5" s="26" t="s">
        <v>260</v>
      </c>
      <c r="G5" s="25" t="s">
        <v>129</v>
      </c>
    </row>
    <row r="6" spans="2:7" ht="33" x14ac:dyDescent="0.35">
      <c r="B6" s="25" t="s">
        <v>95</v>
      </c>
      <c r="C6" s="26" t="s">
        <v>292</v>
      </c>
      <c r="D6" s="30">
        <v>56141844</v>
      </c>
      <c r="E6" s="26" t="s">
        <v>294</v>
      </c>
      <c r="F6" s="26" t="s">
        <v>260</v>
      </c>
      <c r="G6" s="25" t="s">
        <v>129</v>
      </c>
    </row>
    <row r="7" spans="2:7" ht="115.5" x14ac:dyDescent="0.35">
      <c r="B7" s="25" t="s">
        <v>98</v>
      </c>
      <c r="C7" s="26" t="s">
        <v>295</v>
      </c>
      <c r="D7" s="30">
        <v>481960117</v>
      </c>
      <c r="E7" s="26" t="s">
        <v>296</v>
      </c>
      <c r="F7" s="26" t="s">
        <v>257</v>
      </c>
      <c r="G7" s="25" t="s">
        <v>297</v>
      </c>
    </row>
    <row r="8" spans="2:7" ht="115.5" x14ac:dyDescent="0.35">
      <c r="B8" s="25" t="s">
        <v>103</v>
      </c>
      <c r="C8" s="26" t="s">
        <v>295</v>
      </c>
      <c r="D8" s="30">
        <v>926338572</v>
      </c>
      <c r="E8" s="26" t="s">
        <v>296</v>
      </c>
      <c r="F8" s="26" t="s">
        <v>257</v>
      </c>
      <c r="G8" s="25" t="s">
        <v>298</v>
      </c>
    </row>
    <row r="9" spans="2:7" ht="49.5" x14ac:dyDescent="0.35">
      <c r="B9" s="25" t="s">
        <v>108</v>
      </c>
      <c r="C9" s="26" t="s">
        <v>295</v>
      </c>
      <c r="D9" s="30">
        <v>475003732</v>
      </c>
      <c r="E9" s="26" t="s">
        <v>296</v>
      </c>
      <c r="F9" s="26" t="s">
        <v>257</v>
      </c>
      <c r="G9" s="25" t="s">
        <v>129</v>
      </c>
    </row>
    <row r="10" spans="2:7" ht="49.5" x14ac:dyDescent="0.35">
      <c r="B10" s="25" t="s">
        <v>112</v>
      </c>
      <c r="C10" s="26" t="s">
        <v>295</v>
      </c>
      <c r="D10" s="30">
        <v>175876971</v>
      </c>
      <c r="E10" s="26" t="s">
        <v>296</v>
      </c>
      <c r="F10" s="26" t="s">
        <v>257</v>
      </c>
      <c r="G10" s="25" t="s">
        <v>37</v>
      </c>
    </row>
    <row r="11" spans="2:7" ht="148.5" x14ac:dyDescent="0.35">
      <c r="B11" s="25" t="s">
        <v>117</v>
      </c>
      <c r="C11" s="26" t="s">
        <v>299</v>
      </c>
      <c r="D11" s="30">
        <v>1239712750</v>
      </c>
      <c r="E11" s="26" t="s">
        <v>300</v>
      </c>
      <c r="F11" s="26" t="s">
        <v>254</v>
      </c>
      <c r="G11" s="25" t="s">
        <v>301</v>
      </c>
    </row>
    <row r="12" spans="2:7" ht="49.5" customHeight="1" x14ac:dyDescent="0.35">
      <c r="B12" s="210" t="s">
        <v>122</v>
      </c>
      <c r="C12" s="26" t="s">
        <v>302</v>
      </c>
      <c r="D12" s="30">
        <v>260870960</v>
      </c>
      <c r="E12" s="26" t="s">
        <v>300</v>
      </c>
      <c r="F12" s="26" t="s">
        <v>254</v>
      </c>
      <c r="G12" s="25" t="s">
        <v>129</v>
      </c>
    </row>
    <row r="13" spans="2:7" ht="33" x14ac:dyDescent="0.35">
      <c r="B13" s="214"/>
      <c r="C13" s="26" t="s">
        <v>303</v>
      </c>
      <c r="D13" s="30">
        <v>206558000</v>
      </c>
      <c r="E13" s="26" t="s">
        <v>300</v>
      </c>
      <c r="F13" s="26" t="s">
        <v>254</v>
      </c>
      <c r="G13" s="25" t="s">
        <v>129</v>
      </c>
    </row>
    <row r="14" spans="2:7" ht="33" x14ac:dyDescent="0.35">
      <c r="B14" s="214"/>
      <c r="C14" s="26" t="s">
        <v>304</v>
      </c>
      <c r="D14" s="30">
        <v>171068294</v>
      </c>
      <c r="E14" s="26" t="s">
        <v>300</v>
      </c>
      <c r="F14" s="26" t="s">
        <v>254</v>
      </c>
      <c r="G14" s="25" t="s">
        <v>129</v>
      </c>
    </row>
    <row r="15" spans="2:7" ht="33" x14ac:dyDescent="0.35">
      <c r="B15" s="214"/>
      <c r="C15" s="26" t="s">
        <v>305</v>
      </c>
      <c r="D15" s="30">
        <v>229431788</v>
      </c>
      <c r="E15" s="26" t="s">
        <v>300</v>
      </c>
      <c r="F15" s="26" t="s">
        <v>254</v>
      </c>
      <c r="G15" s="25" t="s">
        <v>129</v>
      </c>
    </row>
    <row r="16" spans="2:7" ht="33" x14ac:dyDescent="0.35">
      <c r="B16" s="211"/>
      <c r="C16" s="26" t="s">
        <v>299</v>
      </c>
      <c r="D16" s="30">
        <v>248759474</v>
      </c>
      <c r="E16" s="26" t="s">
        <v>300</v>
      </c>
      <c r="F16" s="26" t="s">
        <v>254</v>
      </c>
      <c r="G16" s="25" t="s">
        <v>129</v>
      </c>
    </row>
    <row r="17" spans="2:11" ht="66" x14ac:dyDescent="0.35">
      <c r="B17" s="25" t="s">
        <v>126</v>
      </c>
      <c r="C17" s="26" t="s">
        <v>302</v>
      </c>
      <c r="D17" s="30">
        <v>260870960</v>
      </c>
      <c r="E17" s="26" t="s">
        <v>306</v>
      </c>
      <c r="F17" s="26" t="s">
        <v>261</v>
      </c>
      <c r="G17" s="25" t="s">
        <v>129</v>
      </c>
    </row>
    <row r="18" spans="2:11" x14ac:dyDescent="0.35">
      <c r="B18" s="21" t="s">
        <v>328</v>
      </c>
      <c r="D18" s="31">
        <v>5237870058</v>
      </c>
    </row>
    <row r="19" spans="2:11" x14ac:dyDescent="0.35">
      <c r="F19" s="20" t="s">
        <v>307</v>
      </c>
    </row>
    <row r="20" spans="2:11" x14ac:dyDescent="0.35">
      <c r="F20" s="20" t="s">
        <v>307</v>
      </c>
    </row>
    <row r="21" spans="2:11" x14ac:dyDescent="0.35">
      <c r="B21" s="24">
        <v>8173</v>
      </c>
      <c r="C21" s="26"/>
      <c r="D21" s="30"/>
      <c r="E21" s="26"/>
      <c r="F21" s="26" t="s">
        <v>307</v>
      </c>
      <c r="G21" s="27"/>
    </row>
    <row r="22" spans="2:11" s="51" customFormat="1" ht="49.5" x14ac:dyDescent="0.35">
      <c r="B22" s="24" t="s">
        <v>82</v>
      </c>
      <c r="C22" s="24" t="s">
        <v>289</v>
      </c>
      <c r="D22" s="29" t="s">
        <v>290</v>
      </c>
      <c r="E22" s="33" t="s">
        <v>195</v>
      </c>
      <c r="F22" s="24" t="s">
        <v>196</v>
      </c>
      <c r="G22" s="24" t="s">
        <v>291</v>
      </c>
      <c r="H22" s="21"/>
      <c r="I22" s="21"/>
      <c r="J22" s="21"/>
      <c r="K22" s="21"/>
    </row>
    <row r="23" spans="2:11" ht="33" x14ac:dyDescent="0.35">
      <c r="B23" s="215" t="s">
        <v>87</v>
      </c>
      <c r="C23" s="218" t="s">
        <v>308</v>
      </c>
      <c r="D23" s="48">
        <v>162500000</v>
      </c>
      <c r="E23" s="50" t="s">
        <v>309</v>
      </c>
      <c r="F23" s="50" t="s">
        <v>247</v>
      </c>
      <c r="G23" s="49" t="s">
        <v>129</v>
      </c>
    </row>
    <row r="24" spans="2:11" ht="33" x14ac:dyDescent="0.35">
      <c r="B24" s="216"/>
      <c r="C24" s="219"/>
      <c r="D24" s="48">
        <v>698601047</v>
      </c>
      <c r="E24" s="50" t="s">
        <v>310</v>
      </c>
      <c r="F24" s="50" t="s">
        <v>248</v>
      </c>
      <c r="G24" s="49" t="s">
        <v>311</v>
      </c>
    </row>
    <row r="25" spans="2:11" ht="33" x14ac:dyDescent="0.35">
      <c r="B25" s="217"/>
      <c r="C25" s="220"/>
      <c r="D25" s="48">
        <v>387093222</v>
      </c>
      <c r="E25" s="50" t="s">
        <v>312</v>
      </c>
      <c r="F25" s="50" t="s">
        <v>250</v>
      </c>
      <c r="G25" s="49" t="s">
        <v>129</v>
      </c>
    </row>
    <row r="26" spans="2:11" ht="33" x14ac:dyDescent="0.35">
      <c r="B26" s="210" t="s">
        <v>91</v>
      </c>
      <c r="C26" s="212" t="s">
        <v>313</v>
      </c>
      <c r="D26" s="30">
        <v>1275620000</v>
      </c>
      <c r="E26" s="26" t="s">
        <v>314</v>
      </c>
      <c r="F26" s="26" t="s">
        <v>246</v>
      </c>
      <c r="G26" s="25" t="s">
        <v>129</v>
      </c>
    </row>
    <row r="27" spans="2:11" ht="49.5" x14ac:dyDescent="0.35">
      <c r="B27" s="211"/>
      <c r="C27" s="213"/>
      <c r="D27" s="30">
        <v>5739596933</v>
      </c>
      <c r="E27" s="26" t="s">
        <v>315</v>
      </c>
      <c r="F27" s="26" t="s">
        <v>256</v>
      </c>
      <c r="G27" s="25" t="s">
        <v>316</v>
      </c>
    </row>
    <row r="28" spans="2:11" ht="49.5" x14ac:dyDescent="0.35">
      <c r="B28" s="25" t="s">
        <v>96</v>
      </c>
      <c r="C28" s="26" t="s">
        <v>313</v>
      </c>
      <c r="D28" s="30">
        <v>0</v>
      </c>
      <c r="E28" s="26" t="s">
        <v>317</v>
      </c>
      <c r="F28" s="26" t="s">
        <v>255</v>
      </c>
      <c r="G28" s="25" t="s">
        <v>288</v>
      </c>
    </row>
    <row r="29" spans="2:11" ht="115.5" x14ac:dyDescent="0.35">
      <c r="B29" s="210" t="s">
        <v>99</v>
      </c>
      <c r="C29" s="212" t="s">
        <v>318</v>
      </c>
      <c r="D29" s="30">
        <v>4450000000</v>
      </c>
      <c r="E29" s="26" t="s">
        <v>317</v>
      </c>
      <c r="F29" s="26" t="s">
        <v>255</v>
      </c>
      <c r="G29" s="25" t="s">
        <v>342</v>
      </c>
    </row>
    <row r="30" spans="2:11" ht="33" x14ac:dyDescent="0.35">
      <c r="B30" s="211"/>
      <c r="C30" s="213"/>
      <c r="D30" s="30">
        <v>1071405909</v>
      </c>
      <c r="E30" s="26" t="s">
        <v>319</v>
      </c>
      <c r="F30" s="26" t="s">
        <v>258</v>
      </c>
      <c r="G30" s="25" t="s">
        <v>129</v>
      </c>
    </row>
    <row r="31" spans="2:11" ht="33" x14ac:dyDescent="0.35">
      <c r="B31" s="49" t="s">
        <v>104</v>
      </c>
      <c r="C31" s="50" t="s">
        <v>308</v>
      </c>
      <c r="D31" s="48">
        <v>639843601</v>
      </c>
      <c r="E31" s="50" t="s">
        <v>320</v>
      </c>
      <c r="F31" s="50" t="s">
        <v>249</v>
      </c>
      <c r="G31" s="49" t="s">
        <v>129</v>
      </c>
    </row>
    <row r="32" spans="2:11" ht="49.5" x14ac:dyDescent="0.35">
      <c r="B32" s="49" t="s">
        <v>109</v>
      </c>
      <c r="C32" s="50" t="s">
        <v>308</v>
      </c>
      <c r="D32" s="48">
        <v>51767209</v>
      </c>
      <c r="E32" s="50" t="s">
        <v>320</v>
      </c>
      <c r="F32" s="50" t="s">
        <v>249</v>
      </c>
      <c r="G32" s="49" t="s">
        <v>129</v>
      </c>
    </row>
    <row r="33" spans="2:7" ht="33" x14ac:dyDescent="0.35">
      <c r="B33" s="27" t="s">
        <v>113</v>
      </c>
      <c r="C33" s="26" t="s">
        <v>299</v>
      </c>
      <c r="D33" s="30">
        <v>899210268</v>
      </c>
      <c r="E33" s="26" t="s">
        <v>321</v>
      </c>
      <c r="F33" s="26" t="s">
        <v>252</v>
      </c>
      <c r="G33" s="25" t="s">
        <v>322</v>
      </c>
    </row>
    <row r="34" spans="2:7" ht="33" x14ac:dyDescent="0.35">
      <c r="B34" s="27" t="s">
        <v>118</v>
      </c>
      <c r="C34" s="26" t="s">
        <v>299</v>
      </c>
      <c r="D34" s="30">
        <v>0</v>
      </c>
      <c r="E34" s="26" t="s">
        <v>323</v>
      </c>
      <c r="F34" s="26" t="s">
        <v>253</v>
      </c>
      <c r="G34" s="25" t="s">
        <v>94</v>
      </c>
    </row>
    <row r="35" spans="2:7" ht="66" x14ac:dyDescent="0.35">
      <c r="B35" s="25" t="s">
        <v>123</v>
      </c>
      <c r="C35" s="26" t="s">
        <v>324</v>
      </c>
      <c r="D35" s="30">
        <v>2793994517</v>
      </c>
      <c r="E35" s="26" t="s">
        <v>325</v>
      </c>
      <c r="F35" s="26" t="s">
        <v>251</v>
      </c>
      <c r="G35" s="25" t="s">
        <v>326</v>
      </c>
    </row>
    <row r="36" spans="2:7" ht="33" x14ac:dyDescent="0.35">
      <c r="B36" s="25" t="s">
        <v>127</v>
      </c>
      <c r="C36" s="26" t="s">
        <v>299</v>
      </c>
      <c r="D36" s="30">
        <v>99912253</v>
      </c>
      <c r="E36" s="26" t="s">
        <v>327</v>
      </c>
      <c r="F36" s="26" t="s">
        <v>262</v>
      </c>
      <c r="G36" s="25" t="s">
        <v>129</v>
      </c>
    </row>
    <row r="37" spans="2:7" x14ac:dyDescent="0.35">
      <c r="B37" s="21" t="s">
        <v>328</v>
      </c>
      <c r="D37" s="31">
        <f>SUM(D23:D36)</f>
        <v>18269544959</v>
      </c>
      <c r="F37" s="20" t="s">
        <v>307</v>
      </c>
    </row>
    <row r="39" spans="2:7" x14ac:dyDescent="0.35">
      <c r="B39" s="21" t="s">
        <v>329</v>
      </c>
      <c r="C39" s="21"/>
      <c r="D39" s="32">
        <v>23507415017</v>
      </c>
      <c r="F39" s="20" t="s">
        <v>307</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89"/>
  <sheetViews>
    <sheetView zoomScale="55" zoomScaleNormal="55" workbookViewId="0">
      <selection activeCell="C31" sqref="C31"/>
    </sheetView>
  </sheetViews>
  <sheetFormatPr baseColWidth="10" defaultColWidth="10.7265625" defaultRowHeight="15" x14ac:dyDescent="0.3"/>
  <cols>
    <col min="1" max="1" width="10.7265625" style="15"/>
    <col min="2" max="2" width="64.453125" style="15" customWidth="1"/>
    <col min="3" max="3" width="15.1796875" style="15" customWidth="1"/>
    <col min="4" max="4" width="60.81640625" style="15" customWidth="1"/>
    <col min="5" max="5" width="19.54296875" style="15" customWidth="1"/>
    <col min="6" max="6" width="54.1796875" style="15" customWidth="1"/>
    <col min="7" max="7" width="62.81640625" style="15" customWidth="1"/>
    <col min="8" max="8" width="35.54296875" style="15" customWidth="1"/>
    <col min="9" max="9" width="10.7265625" style="15"/>
    <col min="10" max="10" width="24.7265625" style="15" customWidth="1"/>
    <col min="11" max="11" width="25.1796875" style="15" customWidth="1"/>
    <col min="12" max="14" width="10.7265625" style="15"/>
    <col min="15" max="15" width="16.81640625" style="15" customWidth="1"/>
    <col min="16" max="16" width="10.7265625" style="15"/>
    <col min="17" max="17" width="20.1796875" style="15" customWidth="1"/>
    <col min="18" max="18" width="10.7265625" style="15"/>
    <col min="19" max="19" width="16.36328125" style="15" customWidth="1"/>
    <col min="20" max="16384" width="10.7265625" style="15"/>
  </cols>
  <sheetData>
    <row r="1" spans="2:19" ht="30" x14ac:dyDescent="0.3">
      <c r="B1" s="15" t="s">
        <v>76</v>
      </c>
      <c r="D1" s="15" t="s">
        <v>75</v>
      </c>
      <c r="F1" s="15" t="s">
        <v>77</v>
      </c>
      <c r="H1" s="16"/>
      <c r="J1" s="16"/>
      <c r="L1" s="15" t="s">
        <v>199</v>
      </c>
      <c r="O1" s="15" t="s">
        <v>0</v>
      </c>
      <c r="Q1" s="15" t="s">
        <v>160</v>
      </c>
      <c r="S1" s="90" t="s">
        <v>71</v>
      </c>
    </row>
    <row r="2" spans="2:19" x14ac:dyDescent="0.3">
      <c r="B2" s="15" t="s">
        <v>78</v>
      </c>
      <c r="D2" s="15" t="s">
        <v>79</v>
      </c>
      <c r="F2" s="15" t="s">
        <v>349</v>
      </c>
      <c r="H2" s="17" t="s">
        <v>81</v>
      </c>
      <c r="J2" s="17" t="s">
        <v>82</v>
      </c>
      <c r="L2" s="15" t="s">
        <v>197</v>
      </c>
      <c r="O2" s="15" t="s">
        <v>45</v>
      </c>
      <c r="Q2" s="15" t="s">
        <v>161</v>
      </c>
      <c r="S2" s="15" t="s">
        <v>193</v>
      </c>
    </row>
    <row r="3" spans="2:19" x14ac:dyDescent="0.3">
      <c r="B3" s="15" t="s">
        <v>83</v>
      </c>
      <c r="D3" s="15" t="s">
        <v>84</v>
      </c>
      <c r="F3" s="15" t="s">
        <v>345</v>
      </c>
      <c r="H3" s="15" t="s">
        <v>86</v>
      </c>
      <c r="I3" s="16">
        <v>8126</v>
      </c>
      <c r="J3" s="17" t="s">
        <v>200</v>
      </c>
      <c r="L3" s="15" t="s">
        <v>198</v>
      </c>
      <c r="O3" s="15" t="s">
        <v>150</v>
      </c>
      <c r="Q3" s="15" t="s">
        <v>348</v>
      </c>
      <c r="S3" s="15" t="s">
        <v>194</v>
      </c>
    </row>
    <row r="4" spans="2:19" x14ac:dyDescent="0.3">
      <c r="B4" s="15" t="s">
        <v>88</v>
      </c>
      <c r="D4" s="15" t="s">
        <v>89</v>
      </c>
      <c r="F4" s="15" t="s">
        <v>344</v>
      </c>
      <c r="H4" s="15" t="s">
        <v>90</v>
      </c>
      <c r="I4" s="16">
        <v>8126</v>
      </c>
      <c r="J4" s="17" t="s">
        <v>201</v>
      </c>
      <c r="L4" s="15" t="s">
        <v>330</v>
      </c>
      <c r="O4" s="15" t="s">
        <v>151</v>
      </c>
      <c r="Q4" s="15" t="s">
        <v>573</v>
      </c>
    </row>
    <row r="5" spans="2:19" x14ac:dyDescent="0.3">
      <c r="B5" s="15" t="s">
        <v>92</v>
      </c>
      <c r="D5" s="15" t="s">
        <v>93</v>
      </c>
      <c r="F5" s="15" t="s">
        <v>343</v>
      </c>
      <c r="H5" s="15" t="s">
        <v>95</v>
      </c>
      <c r="I5" s="16">
        <v>8126</v>
      </c>
      <c r="J5" s="17" t="s">
        <v>202</v>
      </c>
      <c r="L5" s="15" t="s">
        <v>335</v>
      </c>
      <c r="O5" s="15" t="s">
        <v>36</v>
      </c>
      <c r="Q5" s="15" t="s">
        <v>162</v>
      </c>
    </row>
    <row r="6" spans="2:19" x14ac:dyDescent="0.3">
      <c r="B6" s="15" t="s">
        <v>100</v>
      </c>
      <c r="D6" s="15" t="s">
        <v>97</v>
      </c>
      <c r="F6" s="15" t="s">
        <v>80</v>
      </c>
      <c r="H6" s="15" t="s">
        <v>98</v>
      </c>
      <c r="I6" s="16">
        <v>8126</v>
      </c>
      <c r="J6" s="17" t="s">
        <v>203</v>
      </c>
      <c r="O6" s="15" t="s">
        <v>46</v>
      </c>
      <c r="Q6" s="15" t="s">
        <v>357</v>
      </c>
    </row>
    <row r="7" spans="2:19" x14ac:dyDescent="0.3">
      <c r="B7" s="15" t="s">
        <v>105</v>
      </c>
      <c r="D7" s="15" t="s">
        <v>101</v>
      </c>
      <c r="F7" s="15" t="s">
        <v>355</v>
      </c>
      <c r="H7" s="15" t="s">
        <v>103</v>
      </c>
      <c r="I7" s="16">
        <v>8126</v>
      </c>
      <c r="J7" s="17" t="s">
        <v>204</v>
      </c>
      <c r="O7" s="15" t="s">
        <v>152</v>
      </c>
      <c r="Q7" s="15" t="s">
        <v>588</v>
      </c>
    </row>
    <row r="8" spans="2:19" x14ac:dyDescent="0.3">
      <c r="B8" s="15" t="s">
        <v>110</v>
      </c>
      <c r="D8" s="15" t="s">
        <v>106</v>
      </c>
      <c r="F8" s="15" t="s">
        <v>353</v>
      </c>
      <c r="H8" s="15" t="s">
        <v>108</v>
      </c>
      <c r="I8" s="16">
        <v>8126</v>
      </c>
      <c r="J8" s="17" t="s">
        <v>205</v>
      </c>
      <c r="O8" s="15" t="s">
        <v>153</v>
      </c>
    </row>
    <row r="9" spans="2:19" x14ac:dyDescent="0.3">
      <c r="B9" s="15" t="s">
        <v>114</v>
      </c>
      <c r="D9" s="15" t="s">
        <v>111</v>
      </c>
      <c r="F9" s="15" t="s">
        <v>354</v>
      </c>
      <c r="H9" s="15" t="s">
        <v>112</v>
      </c>
      <c r="I9" s="16">
        <v>8126</v>
      </c>
      <c r="J9" s="17" t="s">
        <v>206</v>
      </c>
      <c r="O9" s="15" t="s">
        <v>155</v>
      </c>
    </row>
    <row r="10" spans="2:19" x14ac:dyDescent="0.3">
      <c r="B10" s="15" t="s">
        <v>119</v>
      </c>
      <c r="D10" s="15" t="s">
        <v>115</v>
      </c>
      <c r="F10" s="15" t="s">
        <v>159</v>
      </c>
      <c r="H10" s="15" t="s">
        <v>117</v>
      </c>
      <c r="I10" s="16">
        <v>8126</v>
      </c>
      <c r="J10" s="17" t="s">
        <v>207</v>
      </c>
      <c r="O10" s="15" t="s">
        <v>154</v>
      </c>
    </row>
    <row r="11" spans="2:19" x14ac:dyDescent="0.3">
      <c r="B11" s="15" t="s">
        <v>332</v>
      </c>
      <c r="D11" s="15" t="s">
        <v>120</v>
      </c>
      <c r="F11" s="15" t="s">
        <v>85</v>
      </c>
      <c r="H11" s="15" t="s">
        <v>122</v>
      </c>
      <c r="I11" s="16">
        <v>8126</v>
      </c>
      <c r="J11" s="17" t="s">
        <v>208</v>
      </c>
      <c r="O11" s="15" t="s">
        <v>156</v>
      </c>
    </row>
    <row r="12" spans="2:19" x14ac:dyDescent="0.3">
      <c r="D12" s="15" t="s">
        <v>124</v>
      </c>
      <c r="F12" s="15" t="s">
        <v>352</v>
      </c>
      <c r="H12" s="15" t="s">
        <v>126</v>
      </c>
      <c r="I12" s="16">
        <v>8126</v>
      </c>
      <c r="J12" s="17" t="s">
        <v>209</v>
      </c>
      <c r="O12" s="15" t="s">
        <v>157</v>
      </c>
    </row>
    <row r="13" spans="2:19" x14ac:dyDescent="0.3">
      <c r="D13" s="15" t="s">
        <v>128</v>
      </c>
      <c r="F13" s="15" t="s">
        <v>356</v>
      </c>
      <c r="H13" s="15" t="s">
        <v>87</v>
      </c>
      <c r="I13" s="16">
        <v>8173</v>
      </c>
      <c r="J13" s="17" t="s">
        <v>210</v>
      </c>
      <c r="O13" s="15" t="s">
        <v>158</v>
      </c>
    </row>
    <row r="14" spans="2:19" x14ac:dyDescent="0.3">
      <c r="B14" s="15" t="s">
        <v>362</v>
      </c>
      <c r="D14" s="15" t="s">
        <v>130</v>
      </c>
      <c r="F14" s="15" t="s">
        <v>94</v>
      </c>
      <c r="H14" s="15" t="s">
        <v>91</v>
      </c>
      <c r="I14" s="16">
        <v>8173</v>
      </c>
      <c r="J14" s="17" t="s">
        <v>211</v>
      </c>
      <c r="O14" s="15" t="s">
        <v>1001</v>
      </c>
    </row>
    <row r="15" spans="2:19" x14ac:dyDescent="0.3">
      <c r="B15" s="15" t="s">
        <v>363</v>
      </c>
      <c r="D15" s="15" t="s">
        <v>131</v>
      </c>
      <c r="F15" s="15" t="s">
        <v>102</v>
      </c>
      <c r="H15" s="15" t="s">
        <v>96</v>
      </c>
      <c r="I15" s="16">
        <v>8173</v>
      </c>
      <c r="J15" s="17" t="s">
        <v>212</v>
      </c>
    </row>
    <row r="16" spans="2:19" x14ac:dyDescent="0.3">
      <c r="B16" s="15" t="s">
        <v>402</v>
      </c>
      <c r="D16" s="15" t="s">
        <v>133</v>
      </c>
      <c r="F16" s="15" t="s">
        <v>572</v>
      </c>
      <c r="H16" s="15" t="s">
        <v>99</v>
      </c>
      <c r="I16" s="16">
        <v>8173</v>
      </c>
      <c r="J16" s="17" t="s">
        <v>213</v>
      </c>
    </row>
    <row r="17" spans="2:10" x14ac:dyDescent="0.3">
      <c r="D17" s="15" t="s">
        <v>135</v>
      </c>
      <c r="F17" s="15" t="s">
        <v>107</v>
      </c>
      <c r="H17" s="15" t="s">
        <v>104</v>
      </c>
      <c r="I17" s="16">
        <v>8173</v>
      </c>
      <c r="J17" s="17" t="s">
        <v>214</v>
      </c>
    </row>
    <row r="18" spans="2:10" x14ac:dyDescent="0.3">
      <c r="B18" s="91" t="s">
        <v>365</v>
      </c>
      <c r="D18" s="15" t="s">
        <v>136</v>
      </c>
      <c r="F18" s="15" t="s">
        <v>116</v>
      </c>
      <c r="H18" s="15" t="s">
        <v>109</v>
      </c>
      <c r="I18" s="16">
        <v>8173</v>
      </c>
      <c r="J18" s="17" t="s">
        <v>215</v>
      </c>
    </row>
    <row r="19" spans="2:10" x14ac:dyDescent="0.3">
      <c r="B19" s="122" t="s">
        <v>373</v>
      </c>
      <c r="D19" s="15" t="s">
        <v>137</v>
      </c>
      <c r="F19" s="15" t="s">
        <v>121</v>
      </c>
      <c r="H19" s="15" t="s">
        <v>113</v>
      </c>
      <c r="I19" s="16">
        <v>8173</v>
      </c>
      <c r="J19" s="17" t="s">
        <v>216</v>
      </c>
    </row>
    <row r="20" spans="2:10" x14ac:dyDescent="0.3">
      <c r="B20" s="15" t="s">
        <v>374</v>
      </c>
      <c r="D20" s="15" t="s">
        <v>138</v>
      </c>
      <c r="F20" s="15" t="s">
        <v>386</v>
      </c>
      <c r="H20" s="15" t="s">
        <v>118</v>
      </c>
      <c r="I20" s="16">
        <v>8173</v>
      </c>
      <c r="J20" s="17" t="s">
        <v>217</v>
      </c>
    </row>
    <row r="21" spans="2:10" x14ac:dyDescent="0.3">
      <c r="B21" s="15" t="s">
        <v>375</v>
      </c>
      <c r="D21" s="15" t="s">
        <v>139</v>
      </c>
      <c r="F21" s="15" t="s">
        <v>125</v>
      </c>
      <c r="H21" s="15" t="s">
        <v>123</v>
      </c>
      <c r="I21" s="16">
        <v>8173</v>
      </c>
      <c r="J21" s="17" t="s">
        <v>218</v>
      </c>
    </row>
    <row r="22" spans="2:10" x14ac:dyDescent="0.3">
      <c r="B22" s="15" t="s">
        <v>376</v>
      </c>
      <c r="D22" s="15" t="s">
        <v>140</v>
      </c>
      <c r="F22" s="15" t="s">
        <v>132</v>
      </c>
      <c r="H22" s="15" t="s">
        <v>127</v>
      </c>
      <c r="I22" s="16">
        <v>8173</v>
      </c>
      <c r="J22" s="17" t="s">
        <v>219</v>
      </c>
    </row>
    <row r="23" spans="2:10" x14ac:dyDescent="0.3">
      <c r="B23" s="15" t="s">
        <v>377</v>
      </c>
      <c r="D23" s="15" t="s">
        <v>141</v>
      </c>
      <c r="F23" s="15" t="s">
        <v>134</v>
      </c>
      <c r="I23" s="16">
        <v>8173</v>
      </c>
      <c r="J23" s="17" t="s">
        <v>351</v>
      </c>
    </row>
    <row r="24" spans="2:10" x14ac:dyDescent="0.3">
      <c r="B24" s="15" t="s">
        <v>378</v>
      </c>
      <c r="D24" s="15" t="s">
        <v>142</v>
      </c>
      <c r="F24" s="15" t="s">
        <v>387</v>
      </c>
      <c r="J24" s="15" t="s">
        <v>331</v>
      </c>
    </row>
    <row r="25" spans="2:10" x14ac:dyDescent="0.3">
      <c r="B25" s="15" t="s">
        <v>379</v>
      </c>
      <c r="D25" s="15" t="s">
        <v>143</v>
      </c>
      <c r="F25" s="15" t="s">
        <v>571</v>
      </c>
    </row>
    <row r="26" spans="2:10" x14ac:dyDescent="0.3">
      <c r="B26" s="15" t="s">
        <v>380</v>
      </c>
      <c r="D26" s="15" t="s">
        <v>144</v>
      </c>
      <c r="F26" s="15" t="s">
        <v>385</v>
      </c>
    </row>
    <row r="27" spans="2:10" x14ac:dyDescent="0.3">
      <c r="B27" s="15" t="s">
        <v>381</v>
      </c>
      <c r="D27" s="15" t="s">
        <v>145</v>
      </c>
      <c r="F27" s="15" t="s">
        <v>578</v>
      </c>
      <c r="H27" s="15" t="s">
        <v>336</v>
      </c>
    </row>
    <row r="28" spans="2:10" x14ac:dyDescent="0.3">
      <c r="B28" s="15" t="s">
        <v>382</v>
      </c>
      <c r="D28" s="15" t="s">
        <v>146</v>
      </c>
      <c r="F28" s="15" t="s">
        <v>581</v>
      </c>
    </row>
    <row r="29" spans="2:10" x14ac:dyDescent="0.3">
      <c r="B29" s="15" t="s">
        <v>383</v>
      </c>
      <c r="D29" s="15" t="s">
        <v>147</v>
      </c>
      <c r="F29" s="15" t="s">
        <v>582</v>
      </c>
    </row>
    <row r="30" spans="2:10" x14ac:dyDescent="0.3">
      <c r="B30" s="15" t="s">
        <v>384</v>
      </c>
      <c r="F30" s="15" t="s">
        <v>583</v>
      </c>
    </row>
    <row r="31" spans="2:10" x14ac:dyDescent="0.3">
      <c r="B31" s="15" t="s">
        <v>1012</v>
      </c>
      <c r="F31" s="15" t="s">
        <v>584</v>
      </c>
    </row>
    <row r="32" spans="2:10" x14ac:dyDescent="0.3">
      <c r="F32" s="15" t="s">
        <v>586</v>
      </c>
    </row>
    <row r="33" spans="6:6" x14ac:dyDescent="0.3">
      <c r="F33" s="15" t="s">
        <v>587</v>
      </c>
    </row>
    <row r="34" spans="6:6" x14ac:dyDescent="0.3">
      <c r="F34" s="15" t="s">
        <v>332</v>
      </c>
    </row>
    <row r="35" spans="6:6" x14ac:dyDescent="0.3">
      <c r="F35" s="15" t="s">
        <v>937</v>
      </c>
    </row>
    <row r="36" spans="6:6" x14ac:dyDescent="0.3">
      <c r="F36" s="15" t="s">
        <v>938</v>
      </c>
    </row>
    <row r="37" spans="6:6" x14ac:dyDescent="0.3">
      <c r="F37" s="15" t="s">
        <v>939</v>
      </c>
    </row>
    <row r="38" spans="6:6" x14ac:dyDescent="0.3">
      <c r="F38" s="15" t="s">
        <v>940</v>
      </c>
    </row>
    <row r="39" spans="6:6" x14ac:dyDescent="0.3">
      <c r="F39" s="15" t="s">
        <v>941</v>
      </c>
    </row>
    <row r="40" spans="6:6" x14ac:dyDescent="0.3">
      <c r="F40" s="15" t="s">
        <v>942</v>
      </c>
    </row>
    <row r="41" spans="6:6" x14ac:dyDescent="0.3">
      <c r="F41" s="15" t="s">
        <v>943</v>
      </c>
    </row>
    <row r="42" spans="6:6" x14ac:dyDescent="0.3">
      <c r="F42" s="15" t="s">
        <v>944</v>
      </c>
    </row>
    <row r="43" spans="6:6" x14ac:dyDescent="0.3">
      <c r="F43" s="15" t="s">
        <v>945</v>
      </c>
    </row>
    <row r="50" spans="2:26" ht="45" x14ac:dyDescent="0.3">
      <c r="B50" s="92" t="s">
        <v>199</v>
      </c>
      <c r="C50" s="92" t="s">
        <v>184</v>
      </c>
      <c r="D50" s="92" t="s">
        <v>185</v>
      </c>
      <c r="E50" s="92" t="s">
        <v>163</v>
      </c>
      <c r="F50" s="92" t="s">
        <v>192</v>
      </c>
      <c r="J50" s="92" t="s">
        <v>72</v>
      </c>
      <c r="K50" s="92" t="s">
        <v>73</v>
      </c>
      <c r="N50" s="92" t="s">
        <v>74</v>
      </c>
      <c r="O50" s="92" t="s">
        <v>245</v>
      </c>
      <c r="P50" s="93"/>
      <c r="R50" s="92" t="s">
        <v>184</v>
      </c>
      <c r="T50" s="92" t="s">
        <v>185</v>
      </c>
      <c r="V50" s="92" t="s">
        <v>186</v>
      </c>
      <c r="X50" s="94" t="s">
        <v>71</v>
      </c>
      <c r="Z50" s="94" t="s">
        <v>232</v>
      </c>
    </row>
    <row r="51" spans="2:26" x14ac:dyDescent="0.3">
      <c r="B51" s="15" t="s">
        <v>198</v>
      </c>
      <c r="C51" s="16" t="s">
        <v>187</v>
      </c>
      <c r="D51" s="16" t="s">
        <v>188</v>
      </c>
      <c r="E51" s="16">
        <v>20240255</v>
      </c>
      <c r="F51" s="15" t="s">
        <v>149</v>
      </c>
      <c r="J51" s="89" t="s">
        <v>164</v>
      </c>
      <c r="K51" s="15" t="s">
        <v>165</v>
      </c>
      <c r="N51" s="15" t="s">
        <v>222</v>
      </c>
      <c r="O51" s="15" t="s">
        <v>235</v>
      </c>
      <c r="R51" s="15" t="s">
        <v>187</v>
      </c>
      <c r="T51" s="15" t="s">
        <v>188</v>
      </c>
      <c r="V51" s="15" t="s">
        <v>190</v>
      </c>
      <c r="X51" s="15" t="s">
        <v>193</v>
      </c>
      <c r="Z51" s="15" t="s">
        <v>222</v>
      </c>
    </row>
    <row r="52" spans="2:26" x14ac:dyDescent="0.3">
      <c r="B52" s="15" t="s">
        <v>197</v>
      </c>
      <c r="C52" s="16" t="s">
        <v>187</v>
      </c>
      <c r="D52" s="16" t="s">
        <v>189</v>
      </c>
      <c r="E52" s="16">
        <v>20240207</v>
      </c>
      <c r="F52" s="15" t="s">
        <v>148</v>
      </c>
      <c r="J52" s="89" t="s">
        <v>166</v>
      </c>
      <c r="K52" s="15" t="s">
        <v>167</v>
      </c>
      <c r="N52" s="15" t="s">
        <v>221</v>
      </c>
      <c r="O52" s="15" t="s">
        <v>234</v>
      </c>
      <c r="T52" s="15" t="s">
        <v>189</v>
      </c>
      <c r="V52" s="15" t="s">
        <v>191</v>
      </c>
      <c r="X52" s="15" t="s">
        <v>194</v>
      </c>
      <c r="Z52" s="15" t="s">
        <v>221</v>
      </c>
    </row>
    <row r="53" spans="2:26" x14ac:dyDescent="0.3">
      <c r="B53" s="15" t="s">
        <v>330</v>
      </c>
      <c r="C53" s="16" t="s">
        <v>333</v>
      </c>
      <c r="D53" s="16" t="s">
        <v>333</v>
      </c>
      <c r="E53" s="16" t="s">
        <v>333</v>
      </c>
      <c r="F53" s="16" t="s">
        <v>333</v>
      </c>
      <c r="J53" s="89" t="s">
        <v>170</v>
      </c>
      <c r="K53" s="15" t="s">
        <v>171</v>
      </c>
      <c r="N53" s="15" t="s">
        <v>228</v>
      </c>
      <c r="O53" s="15" t="s">
        <v>240</v>
      </c>
      <c r="Z53" s="15" t="s">
        <v>228</v>
      </c>
    </row>
    <row r="54" spans="2:26" x14ac:dyDescent="0.3">
      <c r="B54" s="17" t="s">
        <v>335</v>
      </c>
      <c r="C54" s="16" t="s">
        <v>333</v>
      </c>
      <c r="D54" s="16" t="s">
        <v>333</v>
      </c>
      <c r="E54" s="16" t="s">
        <v>333</v>
      </c>
      <c r="F54" s="16" t="s">
        <v>333</v>
      </c>
      <c r="J54" s="89" t="s">
        <v>172</v>
      </c>
      <c r="K54" s="15" t="s">
        <v>173</v>
      </c>
      <c r="N54" s="15" t="s">
        <v>225</v>
      </c>
      <c r="O54" s="15" t="s">
        <v>237</v>
      </c>
      <c r="Z54" s="15" t="s">
        <v>225</v>
      </c>
    </row>
    <row r="55" spans="2:26" x14ac:dyDescent="0.3">
      <c r="J55" s="89" t="s">
        <v>174</v>
      </c>
      <c r="K55" s="15" t="s">
        <v>175</v>
      </c>
      <c r="N55" s="15" t="s">
        <v>226</v>
      </c>
      <c r="O55" s="15" t="s">
        <v>238</v>
      </c>
      <c r="Z55" s="15" t="s">
        <v>226</v>
      </c>
    </row>
    <row r="56" spans="2:26" x14ac:dyDescent="0.3">
      <c r="D56" s="15" t="s">
        <v>396</v>
      </c>
      <c r="J56" s="89" t="s">
        <v>176</v>
      </c>
      <c r="K56" s="15" t="s">
        <v>177</v>
      </c>
      <c r="N56" s="15" t="s">
        <v>227</v>
      </c>
      <c r="O56" s="15" t="s">
        <v>239</v>
      </c>
      <c r="Z56" s="15" t="s">
        <v>227</v>
      </c>
    </row>
    <row r="57" spans="2:26" x14ac:dyDescent="0.3">
      <c r="D57" s="15" t="s">
        <v>397</v>
      </c>
      <c r="J57" s="89" t="s">
        <v>178</v>
      </c>
      <c r="K57" s="15" t="s">
        <v>179</v>
      </c>
      <c r="N57" s="15" t="s">
        <v>224</v>
      </c>
      <c r="O57" s="15" t="s">
        <v>390</v>
      </c>
      <c r="Z57" s="15" t="s">
        <v>224</v>
      </c>
    </row>
    <row r="58" spans="2:26" x14ac:dyDescent="0.3">
      <c r="D58" s="15" t="s">
        <v>398</v>
      </c>
      <c r="J58" s="89" t="s">
        <v>168</v>
      </c>
      <c r="K58" s="15" t="s">
        <v>169</v>
      </c>
      <c r="N58" s="15" t="s">
        <v>231</v>
      </c>
      <c r="O58" s="15" t="s">
        <v>243</v>
      </c>
      <c r="Z58" s="15" t="s">
        <v>231</v>
      </c>
    </row>
    <row r="59" spans="2:26" x14ac:dyDescent="0.3">
      <c r="J59" s="89" t="s">
        <v>180</v>
      </c>
      <c r="K59" s="15" t="s">
        <v>181</v>
      </c>
      <c r="N59" s="15" t="s">
        <v>230</v>
      </c>
      <c r="O59" s="15" t="s">
        <v>242</v>
      </c>
      <c r="Z59" s="15" t="s">
        <v>230</v>
      </c>
    </row>
    <row r="60" spans="2:26" x14ac:dyDescent="0.3">
      <c r="J60" s="89" t="s">
        <v>182</v>
      </c>
      <c r="K60" s="15" t="s">
        <v>183</v>
      </c>
      <c r="N60" s="15" t="s">
        <v>229</v>
      </c>
      <c r="O60" s="15" t="s">
        <v>241</v>
      </c>
      <c r="Z60" s="15" t="s">
        <v>229</v>
      </c>
    </row>
    <row r="61" spans="2:26" x14ac:dyDescent="0.3">
      <c r="J61" s="89">
        <v>14</v>
      </c>
      <c r="K61" s="15" t="s">
        <v>388</v>
      </c>
      <c r="N61" s="15" t="s">
        <v>282</v>
      </c>
      <c r="O61" s="15" t="s">
        <v>244</v>
      </c>
      <c r="Z61" s="15" t="s">
        <v>223</v>
      </c>
    </row>
    <row r="62" spans="2:26" x14ac:dyDescent="0.3">
      <c r="J62" s="89">
        <v>15</v>
      </c>
      <c r="K62" s="15" t="s">
        <v>389</v>
      </c>
      <c r="N62" s="15" t="s">
        <v>223</v>
      </c>
      <c r="O62" s="15" t="s">
        <v>236</v>
      </c>
    </row>
    <row r="63" spans="2:26" x14ac:dyDescent="0.3">
      <c r="J63" s="89">
        <v>16</v>
      </c>
      <c r="K63" s="15" t="s">
        <v>390</v>
      </c>
      <c r="N63" s="15" t="s">
        <v>335</v>
      </c>
      <c r="O63" s="15" t="s">
        <v>335</v>
      </c>
    </row>
    <row r="64" spans="2:26" x14ac:dyDescent="0.3">
      <c r="J64" s="15" t="s">
        <v>335</v>
      </c>
      <c r="K64" s="15" t="s">
        <v>335</v>
      </c>
    </row>
    <row r="66" spans="10:11" x14ac:dyDescent="0.3">
      <c r="J66" s="18" t="s">
        <v>264</v>
      </c>
      <c r="K66" s="18" t="s">
        <v>281</v>
      </c>
    </row>
    <row r="67" spans="10:11" x14ac:dyDescent="0.3">
      <c r="J67" s="15" t="s">
        <v>265</v>
      </c>
      <c r="K67" s="15" t="s">
        <v>246</v>
      </c>
    </row>
    <row r="68" spans="10:11" x14ac:dyDescent="0.3">
      <c r="J68" s="15" t="s">
        <v>266</v>
      </c>
      <c r="K68" s="15" t="s">
        <v>247</v>
      </c>
    </row>
    <row r="69" spans="10:11" x14ac:dyDescent="0.3">
      <c r="J69" s="15" t="s">
        <v>267</v>
      </c>
      <c r="K69" s="15" t="s">
        <v>248</v>
      </c>
    </row>
    <row r="70" spans="10:11" x14ac:dyDescent="0.3">
      <c r="J70" s="15" t="s">
        <v>269</v>
      </c>
      <c r="K70" s="15" t="s">
        <v>250</v>
      </c>
    </row>
    <row r="71" spans="10:11" x14ac:dyDescent="0.3">
      <c r="J71" s="15" t="s">
        <v>270</v>
      </c>
      <c r="K71" s="15" t="s">
        <v>251</v>
      </c>
    </row>
    <row r="72" spans="10:11" x14ac:dyDescent="0.3">
      <c r="J72" s="15" t="s">
        <v>271</v>
      </c>
      <c r="K72" s="15" t="s">
        <v>252</v>
      </c>
    </row>
    <row r="73" spans="10:11" x14ac:dyDescent="0.3">
      <c r="J73" s="15" t="s">
        <v>272</v>
      </c>
      <c r="K73" s="15" t="s">
        <v>253</v>
      </c>
    </row>
    <row r="74" spans="10:11" x14ac:dyDescent="0.3">
      <c r="J74" s="15" t="s">
        <v>273</v>
      </c>
      <c r="K74" s="15" t="s">
        <v>254</v>
      </c>
    </row>
    <row r="75" spans="10:11" x14ac:dyDescent="0.3">
      <c r="J75" s="15" t="s">
        <v>283</v>
      </c>
      <c r="K75" s="15" t="s">
        <v>262</v>
      </c>
    </row>
    <row r="76" spans="10:11" x14ac:dyDescent="0.3">
      <c r="J76" s="15" t="s">
        <v>274</v>
      </c>
      <c r="K76" s="15" t="s">
        <v>255</v>
      </c>
    </row>
    <row r="77" spans="10:11" x14ac:dyDescent="0.3">
      <c r="J77" s="15" t="s">
        <v>275</v>
      </c>
      <c r="K77" s="15" t="s">
        <v>256</v>
      </c>
    </row>
    <row r="78" spans="10:11" x14ac:dyDescent="0.3">
      <c r="J78" s="15" t="s">
        <v>276</v>
      </c>
      <c r="K78" s="15" t="s">
        <v>257</v>
      </c>
    </row>
    <row r="79" spans="10:11" x14ac:dyDescent="0.3">
      <c r="J79" s="15" t="s">
        <v>268</v>
      </c>
      <c r="K79" s="15" t="s">
        <v>249</v>
      </c>
    </row>
    <row r="80" spans="10:11" x14ac:dyDescent="0.3">
      <c r="J80" s="15" t="s">
        <v>277</v>
      </c>
      <c r="K80" s="15" t="s">
        <v>258</v>
      </c>
    </row>
    <row r="81" spans="10:11" x14ac:dyDescent="0.3">
      <c r="J81" s="15" t="s">
        <v>280</v>
      </c>
      <c r="K81" s="15" t="s">
        <v>261</v>
      </c>
    </row>
    <row r="82" spans="10:11" x14ac:dyDescent="0.3">
      <c r="J82" s="15" t="s">
        <v>279</v>
      </c>
      <c r="K82" s="15" t="s">
        <v>260</v>
      </c>
    </row>
    <row r="83" spans="10:11" x14ac:dyDescent="0.3">
      <c r="J83" s="15" t="s">
        <v>278</v>
      </c>
      <c r="K83" s="15" t="s">
        <v>259</v>
      </c>
    </row>
    <row r="84" spans="10:11" x14ac:dyDescent="0.3">
      <c r="J84" s="15" t="s">
        <v>391</v>
      </c>
      <c r="K84" s="15" t="s">
        <v>392</v>
      </c>
    </row>
    <row r="85" spans="10:11" x14ac:dyDescent="0.3">
      <c r="J85" s="15" t="s">
        <v>580</v>
      </c>
      <c r="K85" s="15" t="s">
        <v>579</v>
      </c>
    </row>
    <row r="86" spans="10:11" x14ac:dyDescent="0.3">
      <c r="J86" s="15" t="s">
        <v>393</v>
      </c>
      <c r="K86" s="15" t="s">
        <v>394</v>
      </c>
    </row>
    <row r="87" spans="10:11" x14ac:dyDescent="0.3">
      <c r="J87" s="15" t="s">
        <v>574</v>
      </c>
      <c r="K87" s="15" t="s">
        <v>395</v>
      </c>
    </row>
    <row r="88" spans="10:11" x14ac:dyDescent="0.3">
      <c r="J88" s="15" t="s">
        <v>331</v>
      </c>
      <c r="K88" s="15" t="s">
        <v>331</v>
      </c>
    </row>
    <row r="89" spans="10:11" x14ac:dyDescent="0.3">
      <c r="J89" s="15" t="s">
        <v>336</v>
      </c>
      <c r="K89" s="15" t="s">
        <v>335</v>
      </c>
    </row>
  </sheetData>
  <sortState xmlns:xlrd2="http://schemas.microsoft.com/office/spreadsheetml/2017/richdata2" ref="F2:F32">
    <sortCondition ref="F2"/>
  </sortState>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224" t="s">
        <v>60</v>
      </c>
      <c r="F3" s="224"/>
      <c r="G3" s="224"/>
      <c r="H3" s="224"/>
      <c r="I3" s="224"/>
      <c r="J3" s="224"/>
    </row>
    <row r="5" spans="2:10" x14ac:dyDescent="0.35">
      <c r="B5" s="9" t="s">
        <v>49</v>
      </c>
      <c r="C5" s="7" t="s">
        <v>50</v>
      </c>
      <c r="E5" s="9" t="s">
        <v>0</v>
      </c>
      <c r="F5" s="9" t="s">
        <v>52</v>
      </c>
      <c r="G5" s="11">
        <v>7637</v>
      </c>
      <c r="H5" s="11">
        <v>7655</v>
      </c>
      <c r="I5" s="11">
        <v>7658</v>
      </c>
      <c r="J5" s="9" t="s">
        <v>54</v>
      </c>
    </row>
    <row r="6" spans="2:10" x14ac:dyDescent="0.35">
      <c r="B6" s="1">
        <v>7658</v>
      </c>
      <c r="C6" s="4">
        <v>32529175840</v>
      </c>
      <c r="E6" s="225" t="s">
        <v>45</v>
      </c>
      <c r="F6" s="225"/>
      <c r="G6" s="4"/>
      <c r="H6" s="4">
        <v>596500000</v>
      </c>
      <c r="I6" s="4"/>
      <c r="J6" s="4">
        <v>596500000</v>
      </c>
    </row>
    <row r="7" spans="2:10" x14ac:dyDescent="0.35">
      <c r="B7" s="1">
        <v>7655</v>
      </c>
      <c r="C7" s="4">
        <v>6691034160</v>
      </c>
      <c r="E7" s="225" t="s">
        <v>44</v>
      </c>
      <c r="F7" s="225"/>
      <c r="G7" s="4"/>
      <c r="H7" s="4">
        <v>403500000</v>
      </c>
      <c r="I7" s="4"/>
      <c r="J7" s="4">
        <v>403500000</v>
      </c>
    </row>
    <row r="8" spans="2:10" x14ac:dyDescent="0.35">
      <c r="B8" s="1">
        <v>7637</v>
      </c>
      <c r="C8" s="4">
        <v>3299800000</v>
      </c>
      <c r="E8" s="225" t="s">
        <v>36</v>
      </c>
      <c r="F8" s="225"/>
      <c r="G8" s="4">
        <v>3299800000</v>
      </c>
      <c r="H8" s="4">
        <v>900200000</v>
      </c>
      <c r="I8" s="4"/>
      <c r="J8" s="4">
        <v>4200000000</v>
      </c>
    </row>
    <row r="9" spans="2:10" x14ac:dyDescent="0.35">
      <c r="B9" s="9" t="s">
        <v>51</v>
      </c>
      <c r="C9" s="8">
        <v>42520010000</v>
      </c>
      <c r="E9" s="225" t="s">
        <v>46</v>
      </c>
      <c r="F9" s="225"/>
      <c r="G9" s="4"/>
      <c r="H9" s="4">
        <v>432858000</v>
      </c>
      <c r="I9" s="4"/>
      <c r="J9" s="4">
        <v>432858000</v>
      </c>
    </row>
    <row r="10" spans="2:10" x14ac:dyDescent="0.35">
      <c r="E10" s="225" t="s">
        <v>32</v>
      </c>
      <c r="F10" s="225"/>
      <c r="G10" s="4"/>
      <c r="H10" s="4">
        <v>323006000</v>
      </c>
      <c r="I10" s="4"/>
      <c r="J10" s="4">
        <v>323006000</v>
      </c>
    </row>
    <row r="11" spans="2:10" x14ac:dyDescent="0.35">
      <c r="E11" s="225" t="s">
        <v>28</v>
      </c>
      <c r="F11" s="225"/>
      <c r="G11" s="4"/>
      <c r="H11" s="4">
        <v>1200000000</v>
      </c>
      <c r="I11" s="4"/>
      <c r="J11" s="4">
        <v>1200000000</v>
      </c>
    </row>
    <row r="12" spans="2:10" x14ac:dyDescent="0.35">
      <c r="E12" s="225" t="s">
        <v>3</v>
      </c>
      <c r="F12" s="225"/>
      <c r="G12" s="4"/>
      <c r="H12" s="4">
        <v>2214252160</v>
      </c>
      <c r="I12" s="4">
        <v>7786929840</v>
      </c>
      <c r="J12" s="4">
        <v>10001182000</v>
      </c>
    </row>
    <row r="13" spans="2:10" x14ac:dyDescent="0.35">
      <c r="E13" s="225" t="s">
        <v>29</v>
      </c>
      <c r="F13" s="225"/>
      <c r="G13" s="4"/>
      <c r="H13" s="4">
        <v>170000000</v>
      </c>
      <c r="I13" s="4">
        <v>3730000000</v>
      </c>
      <c r="J13" s="4">
        <v>3900000000</v>
      </c>
    </row>
    <row r="14" spans="2:10" x14ac:dyDescent="0.35">
      <c r="E14" s="225" t="s">
        <v>33</v>
      </c>
      <c r="F14" s="225"/>
      <c r="G14" s="4"/>
      <c r="H14" s="4">
        <v>450718000</v>
      </c>
      <c r="I14" s="4">
        <v>1449282000</v>
      </c>
      <c r="J14" s="4">
        <v>1900000000</v>
      </c>
    </row>
    <row r="15" spans="2:10" x14ac:dyDescent="0.35">
      <c r="E15" s="225" t="s">
        <v>19</v>
      </c>
      <c r="F15" s="225"/>
      <c r="G15" s="4"/>
      <c r="H15" s="4"/>
      <c r="I15" s="4">
        <v>10011982000</v>
      </c>
      <c r="J15" s="4">
        <v>10011982000</v>
      </c>
    </row>
    <row r="16" spans="2:10" x14ac:dyDescent="0.35">
      <c r="E16" s="225" t="s">
        <v>47</v>
      </c>
      <c r="F16" s="225"/>
      <c r="G16" s="4"/>
      <c r="H16" s="4"/>
      <c r="I16" s="4">
        <v>9550982000</v>
      </c>
      <c r="J16" s="4">
        <v>9550982000</v>
      </c>
    </row>
    <row r="17" spans="3:10" x14ac:dyDescent="0.35">
      <c r="E17" s="226" t="s">
        <v>53</v>
      </c>
      <c r="F17" s="228"/>
      <c r="G17" s="8">
        <v>3299800000</v>
      </c>
      <c r="H17" s="8">
        <v>6691034160</v>
      </c>
      <c r="I17" s="8">
        <v>32529175840</v>
      </c>
      <c r="J17" s="8">
        <v>42520010000</v>
      </c>
    </row>
    <row r="20" spans="3:10" x14ac:dyDescent="0.35">
      <c r="C20" s="229" t="s">
        <v>62</v>
      </c>
      <c r="D20" s="229"/>
      <c r="E20" s="229"/>
      <c r="F20" s="229"/>
      <c r="G20" s="229"/>
    </row>
    <row r="22" spans="3:10" x14ac:dyDescent="0.35">
      <c r="C22" s="12" t="s">
        <v>63</v>
      </c>
    </row>
    <row r="23" spans="3:10" x14ac:dyDescent="0.35">
      <c r="C23" s="9" t="s">
        <v>55</v>
      </c>
      <c r="D23" s="13" t="s">
        <v>56</v>
      </c>
      <c r="E23" s="221" t="s">
        <v>0</v>
      </c>
      <c r="F23" s="221"/>
      <c r="G23" s="9" t="s">
        <v>57</v>
      </c>
    </row>
    <row r="24" spans="3:10" x14ac:dyDescent="0.35">
      <c r="C24" s="3" t="s">
        <v>35</v>
      </c>
      <c r="D24" s="6" t="s">
        <v>34</v>
      </c>
      <c r="E24" s="225" t="s">
        <v>33</v>
      </c>
      <c r="F24" s="225"/>
      <c r="G24" s="4">
        <v>1449282000</v>
      </c>
    </row>
    <row r="25" spans="3:10" x14ac:dyDescent="0.35">
      <c r="C25" s="3" t="s">
        <v>31</v>
      </c>
      <c r="D25" s="6" t="s">
        <v>30</v>
      </c>
      <c r="E25" s="225" t="s">
        <v>29</v>
      </c>
      <c r="F25" s="225"/>
      <c r="G25" s="4">
        <v>3730000000</v>
      </c>
    </row>
    <row r="26" spans="3:10" x14ac:dyDescent="0.35">
      <c r="C26" s="3" t="s">
        <v>6</v>
      </c>
      <c r="D26" s="6" t="s">
        <v>9</v>
      </c>
      <c r="E26" s="225" t="s">
        <v>3</v>
      </c>
      <c r="F26" s="225"/>
      <c r="G26" s="4">
        <v>2822768000</v>
      </c>
    </row>
    <row r="27" spans="3:10" x14ac:dyDescent="0.35">
      <c r="C27" s="3" t="s">
        <v>6</v>
      </c>
      <c r="D27" s="6" t="s">
        <v>48</v>
      </c>
      <c r="E27" s="225" t="s">
        <v>47</v>
      </c>
      <c r="F27" s="225"/>
      <c r="G27" s="4">
        <v>9550982000</v>
      </c>
    </row>
    <row r="28" spans="3:10" x14ac:dyDescent="0.35">
      <c r="C28" s="3" t="s">
        <v>6</v>
      </c>
      <c r="D28" s="6" t="s">
        <v>23</v>
      </c>
      <c r="E28" s="225" t="s">
        <v>19</v>
      </c>
      <c r="F28" s="225"/>
      <c r="G28" s="4">
        <v>2028491000</v>
      </c>
    </row>
    <row r="29" spans="3:10" x14ac:dyDescent="0.35">
      <c r="C29" s="3" t="s">
        <v>6</v>
      </c>
      <c r="D29" s="6" t="s">
        <v>21</v>
      </c>
      <c r="E29" s="225" t="s">
        <v>19</v>
      </c>
      <c r="F29" s="225"/>
      <c r="G29" s="4">
        <v>7983491000</v>
      </c>
    </row>
    <row r="30" spans="3:10" x14ac:dyDescent="0.35">
      <c r="C30" s="3" t="s">
        <v>18</v>
      </c>
      <c r="D30" s="6" t="s">
        <v>17</v>
      </c>
      <c r="E30" s="225" t="s">
        <v>3</v>
      </c>
      <c r="F30" s="225"/>
      <c r="G30" s="4">
        <v>100000000</v>
      </c>
    </row>
    <row r="31" spans="3:10" x14ac:dyDescent="0.35">
      <c r="C31" s="3" t="s">
        <v>15</v>
      </c>
      <c r="D31" s="6" t="s">
        <v>14</v>
      </c>
      <c r="E31" s="225" t="s">
        <v>3</v>
      </c>
      <c r="F31" s="225"/>
      <c r="G31" s="4">
        <v>4864161840</v>
      </c>
    </row>
    <row r="32" spans="3:10" x14ac:dyDescent="0.35">
      <c r="C32" s="226" t="s">
        <v>27</v>
      </c>
      <c r="D32" s="227"/>
      <c r="E32" s="227"/>
      <c r="F32" s="228"/>
      <c r="G32" s="8">
        <f>SUM(G24:G31)</f>
        <v>32529175840</v>
      </c>
    </row>
    <row r="34" spans="3:7" x14ac:dyDescent="0.35">
      <c r="C34" s="12" t="s">
        <v>64</v>
      </c>
    </row>
    <row r="35" spans="3:7" x14ac:dyDescent="0.35">
      <c r="C35" s="9" t="s">
        <v>55</v>
      </c>
      <c r="D35" s="13" t="s">
        <v>56</v>
      </c>
      <c r="E35" s="221" t="s">
        <v>0</v>
      </c>
      <c r="F35" s="221"/>
      <c r="G35" s="9" t="s">
        <v>57</v>
      </c>
    </row>
    <row r="36" spans="3:7" x14ac:dyDescent="0.35">
      <c r="C36" s="6" t="s">
        <v>16</v>
      </c>
      <c r="D36" s="2" t="s">
        <v>5</v>
      </c>
      <c r="E36" s="225" t="s">
        <v>45</v>
      </c>
      <c r="F36" s="225"/>
      <c r="G36" s="2">
        <v>596500000</v>
      </c>
    </row>
    <row r="37" spans="3:7" x14ac:dyDescent="0.35">
      <c r="C37" s="6" t="s">
        <v>16</v>
      </c>
      <c r="D37" s="2" t="s">
        <v>5</v>
      </c>
      <c r="E37" s="225" t="s">
        <v>44</v>
      </c>
      <c r="F37" s="225"/>
      <c r="G37" s="2">
        <v>403500000</v>
      </c>
    </row>
    <row r="38" spans="3:7" x14ac:dyDescent="0.35">
      <c r="C38" s="6" t="s">
        <v>16</v>
      </c>
      <c r="D38" s="2" t="s">
        <v>5</v>
      </c>
      <c r="E38" s="225" t="s">
        <v>36</v>
      </c>
      <c r="F38" s="225"/>
      <c r="G38" s="2">
        <v>900200000</v>
      </c>
    </row>
    <row r="39" spans="3:7" x14ac:dyDescent="0.35">
      <c r="C39" s="6" t="s">
        <v>16</v>
      </c>
      <c r="D39" s="2" t="s">
        <v>5</v>
      </c>
      <c r="E39" s="225" t="s">
        <v>46</v>
      </c>
      <c r="F39" s="225"/>
      <c r="G39" s="2">
        <v>432858000</v>
      </c>
    </row>
    <row r="40" spans="3:7" x14ac:dyDescent="0.35">
      <c r="C40" s="6" t="s">
        <v>16</v>
      </c>
      <c r="D40" s="2" t="s">
        <v>5</v>
      </c>
      <c r="E40" s="225" t="s">
        <v>32</v>
      </c>
      <c r="F40" s="225"/>
      <c r="G40" s="2">
        <v>323006000</v>
      </c>
    </row>
    <row r="41" spans="3:7" x14ac:dyDescent="0.35">
      <c r="C41" s="6" t="s">
        <v>16</v>
      </c>
      <c r="D41" s="2" t="s">
        <v>5</v>
      </c>
      <c r="E41" s="225" t="s">
        <v>28</v>
      </c>
      <c r="F41" s="225"/>
      <c r="G41" s="2">
        <v>1200000000</v>
      </c>
    </row>
    <row r="42" spans="3:7" x14ac:dyDescent="0.35">
      <c r="C42" s="6" t="s">
        <v>16</v>
      </c>
      <c r="D42" s="2" t="s">
        <v>5</v>
      </c>
      <c r="E42" s="225" t="s">
        <v>3</v>
      </c>
      <c r="F42" s="225"/>
      <c r="G42" s="2">
        <v>2214252160</v>
      </c>
    </row>
    <row r="43" spans="3:7" x14ac:dyDescent="0.35">
      <c r="C43" s="6" t="s">
        <v>16</v>
      </c>
      <c r="D43" s="2" t="s">
        <v>5</v>
      </c>
      <c r="E43" s="225" t="s">
        <v>29</v>
      </c>
      <c r="F43" s="225"/>
      <c r="G43" s="2">
        <v>170000000</v>
      </c>
    </row>
    <row r="44" spans="3:7" x14ac:dyDescent="0.35">
      <c r="C44" s="6" t="s">
        <v>16</v>
      </c>
      <c r="D44" s="2" t="s">
        <v>5</v>
      </c>
      <c r="E44" s="225" t="s">
        <v>33</v>
      </c>
      <c r="F44" s="225"/>
      <c r="G44" s="2">
        <v>450718000</v>
      </c>
    </row>
    <row r="45" spans="3:7" x14ac:dyDescent="0.35">
      <c r="C45" s="226" t="s">
        <v>27</v>
      </c>
      <c r="D45" s="227"/>
      <c r="E45" s="227"/>
      <c r="F45" s="228"/>
      <c r="G45" s="8">
        <f>SUM(G36:G44)</f>
        <v>6691034160</v>
      </c>
    </row>
    <row r="47" spans="3:7" x14ac:dyDescent="0.35">
      <c r="C47" s="12" t="s">
        <v>65</v>
      </c>
    </row>
    <row r="48" spans="3:7" x14ac:dyDescent="0.35">
      <c r="C48" s="9" t="s">
        <v>55</v>
      </c>
      <c r="D48" s="13" t="s">
        <v>56</v>
      </c>
      <c r="E48" s="221" t="s">
        <v>0</v>
      </c>
      <c r="F48" s="221"/>
      <c r="G48" s="9" t="s">
        <v>57</v>
      </c>
    </row>
    <row r="49" spans="3:7" x14ac:dyDescent="0.35">
      <c r="C49" s="6" t="s">
        <v>39</v>
      </c>
      <c r="D49" s="2" t="s">
        <v>41</v>
      </c>
      <c r="E49" s="225" t="s">
        <v>36</v>
      </c>
      <c r="F49" s="225"/>
      <c r="G49" s="6">
        <v>575315000</v>
      </c>
    </row>
    <row r="50" spans="3:7" x14ac:dyDescent="0.35">
      <c r="C50" s="6" t="s">
        <v>39</v>
      </c>
      <c r="D50" s="2" t="s">
        <v>38</v>
      </c>
      <c r="E50" s="225" t="s">
        <v>36</v>
      </c>
      <c r="F50" s="225"/>
      <c r="G50" s="6">
        <v>2724485000</v>
      </c>
    </row>
    <row r="51" spans="3:7" x14ac:dyDescent="0.35">
      <c r="C51" s="226" t="s">
        <v>27</v>
      </c>
      <c r="D51" s="227"/>
      <c r="E51" s="227"/>
      <c r="F51" s="228"/>
      <c r="G51" s="7">
        <f>SUM(G49:G50)</f>
        <v>3299800000</v>
      </c>
    </row>
    <row r="54" spans="3:7" x14ac:dyDescent="0.35">
      <c r="C54" s="14"/>
      <c r="D54" s="14"/>
      <c r="E54" s="224" t="s">
        <v>58</v>
      </c>
      <c r="F54" s="224"/>
      <c r="G54" s="224"/>
    </row>
    <row r="56" spans="3:7" x14ac:dyDescent="0.35">
      <c r="E56" s="12" t="s">
        <v>63</v>
      </c>
    </row>
    <row r="57" spans="3:7" x14ac:dyDescent="0.35">
      <c r="E57" s="221" t="s">
        <v>61</v>
      </c>
      <c r="F57" s="221"/>
      <c r="G57" s="9" t="s">
        <v>57</v>
      </c>
    </row>
    <row r="58" spans="3:7" x14ac:dyDescent="0.35">
      <c r="E58" s="222" t="s">
        <v>10</v>
      </c>
      <c r="F58" s="222"/>
      <c r="G58" s="6">
        <v>2490000000</v>
      </c>
    </row>
    <row r="59" spans="3:7" x14ac:dyDescent="0.35">
      <c r="E59" s="222" t="s">
        <v>22</v>
      </c>
      <c r="F59" s="222"/>
      <c r="G59" s="6">
        <v>1400000000</v>
      </c>
    </row>
    <row r="60" spans="3:7" x14ac:dyDescent="0.35">
      <c r="E60" s="222" t="s">
        <v>26</v>
      </c>
      <c r="F60" s="222"/>
      <c r="G60" s="6">
        <v>60000000</v>
      </c>
    </row>
    <row r="61" spans="3:7" x14ac:dyDescent="0.35">
      <c r="E61" s="222" t="s">
        <v>11</v>
      </c>
      <c r="F61" s="222"/>
      <c r="G61" s="6">
        <v>12229155840</v>
      </c>
    </row>
    <row r="62" spans="3:7" x14ac:dyDescent="0.35">
      <c r="E62" s="222" t="s">
        <v>24</v>
      </c>
      <c r="F62" s="222"/>
      <c r="G62" s="6">
        <v>375000000</v>
      </c>
    </row>
    <row r="63" spans="3:7" x14ac:dyDescent="0.35">
      <c r="E63" s="222" t="s">
        <v>7</v>
      </c>
      <c r="F63" s="222"/>
      <c r="G63" s="6">
        <v>92758400</v>
      </c>
    </row>
    <row r="64" spans="3:7" x14ac:dyDescent="0.35">
      <c r="E64" s="222" t="s">
        <v>25</v>
      </c>
      <c r="F64" s="222"/>
      <c r="G64" s="6">
        <v>120000000</v>
      </c>
    </row>
    <row r="65" spans="5:7" x14ac:dyDescent="0.35">
      <c r="E65" s="222" t="s">
        <v>4</v>
      </c>
      <c r="F65" s="222"/>
      <c r="G65" s="6">
        <v>10259061600</v>
      </c>
    </row>
    <row r="66" spans="5:7" x14ac:dyDescent="0.35">
      <c r="E66" s="222" t="s">
        <v>13</v>
      </c>
      <c r="F66" s="222"/>
      <c r="G66" s="6">
        <v>500000000</v>
      </c>
    </row>
    <row r="67" spans="5:7" x14ac:dyDescent="0.35">
      <c r="E67" s="222" t="s">
        <v>12</v>
      </c>
      <c r="F67" s="222"/>
      <c r="G67" s="6">
        <v>100000000</v>
      </c>
    </row>
    <row r="68" spans="5:7" x14ac:dyDescent="0.35">
      <c r="E68" s="222" t="s">
        <v>20</v>
      </c>
      <c r="F68" s="222"/>
      <c r="G68" s="6">
        <v>4350000000</v>
      </c>
    </row>
    <row r="69" spans="5:7" x14ac:dyDescent="0.35">
      <c r="E69" s="222" t="s">
        <v>8</v>
      </c>
      <c r="F69" s="222"/>
      <c r="G69" s="6">
        <v>553200000</v>
      </c>
    </row>
    <row r="70" spans="5:7" x14ac:dyDescent="0.35">
      <c r="E70" s="223" t="s">
        <v>27</v>
      </c>
      <c r="F70" s="223"/>
      <c r="G70" s="7">
        <f>SUM(G58:G69)</f>
        <v>32529175840</v>
      </c>
    </row>
    <row r="72" spans="5:7" x14ac:dyDescent="0.35">
      <c r="E72" s="12" t="s">
        <v>64</v>
      </c>
    </row>
    <row r="73" spans="5:7" x14ac:dyDescent="0.35">
      <c r="E73" s="221" t="s">
        <v>61</v>
      </c>
      <c r="F73" s="221"/>
      <c r="G73" s="9" t="s">
        <v>57</v>
      </c>
    </row>
    <row r="74" spans="5:7" x14ac:dyDescent="0.35">
      <c r="E74" s="222" t="s">
        <v>7</v>
      </c>
      <c r="F74" s="222"/>
      <c r="G74" s="6">
        <v>1177022750</v>
      </c>
    </row>
    <row r="75" spans="5:7" x14ac:dyDescent="0.35">
      <c r="E75" s="222" t="s">
        <v>4</v>
      </c>
      <c r="F75" s="222"/>
      <c r="G75" s="6">
        <v>5514011410</v>
      </c>
    </row>
    <row r="76" spans="5:7" x14ac:dyDescent="0.35">
      <c r="E76" s="223" t="s">
        <v>27</v>
      </c>
      <c r="F76" s="223"/>
      <c r="G76" s="7">
        <f>SUM(G74:G75)</f>
        <v>6691034160</v>
      </c>
    </row>
    <row r="79" spans="5:7" x14ac:dyDescent="0.35">
      <c r="E79" s="12" t="s">
        <v>65</v>
      </c>
    </row>
    <row r="80" spans="5:7" x14ac:dyDescent="0.35">
      <c r="E80" s="221" t="s">
        <v>61</v>
      </c>
      <c r="F80" s="221"/>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223" t="s">
        <v>27</v>
      </c>
      <c r="F86" s="223"/>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customXml/itemProps2.xml><?xml version="1.0" encoding="utf-8"?>
<ds:datastoreItem xmlns:ds="http://schemas.openxmlformats.org/officeDocument/2006/customXml" ds:itemID="{F46C19F8-7026-4C1D-A03A-C78DB94D6FE1}">
  <ds:schemaRefs>
    <ds:schemaRef ds:uri="http://schemas.microsoft.com/sharepoint/v3/contenttype/forms"/>
  </ds:schemaRefs>
</ds:datastoreItem>
</file>

<file path=customXml/itemProps3.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PAA VR3 2026 UAECOB BCS</vt:lpstr>
      <vt:lpstr>Control PAA Vr0</vt:lpstr>
      <vt:lpstr>Distribución Pptal Inv</vt:lpstr>
      <vt:lpstr>TD</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2026-01-23T00:53:31Z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