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fesc\Downloads\"/>
    </mc:Choice>
  </mc:AlternateContent>
  <xr:revisionPtr revIDLastSave="0" documentId="8_{6816485D-07AE-4508-AC4A-42F6A997BA3C}" xr6:coauthVersionLast="47" xr6:coauthVersionMax="47" xr10:uidLastSave="{00000000-0000-0000-0000-000000000000}"/>
  <bookViews>
    <workbookView xWindow="-108" yWindow="-108" windowWidth="23256" windowHeight="12456"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3" sheetId="56" r:id="rId8"/>
    <sheet name="PAA V4" sheetId="49" state="hidden" r:id="rId9"/>
    <sheet name="PAA V5" sheetId="51" state="hidden" r:id="rId10"/>
    <sheet name="PPA V 21" sheetId="34" state="hidden" r:id="rId11"/>
    <sheet name="Viabilidades" sheetId="27" state="hidden" r:id="rId12"/>
    <sheet name="Reservas x Metas" sheetId="16" state="hidden" r:id="rId13"/>
    <sheet name="SEG. METAS PDD a 30 de Ene 2021" sheetId="10" state="hidden" r:id="rId14"/>
  </sheets>
  <externalReferences>
    <externalReference r:id="rId15"/>
    <externalReference r:id="rId16"/>
    <externalReference r:id="rId17"/>
  </externalReferences>
  <definedNames>
    <definedName name="_xlnm._FilterDatabase" localSheetId="1" hidden="1">'EN PLATAFORMA'!$A$2:$F$12</definedName>
    <definedName name="_xlnm._FilterDatabase" localSheetId="7" hidden="1">'PAA V23'!$S$3:$V$5</definedName>
    <definedName name="_xlnm._FilterDatabase" localSheetId="8" hidden="1">'PAA V4'!$A$6:$CY$6</definedName>
    <definedName name="_xlnm._FilterDatabase" localSheetId="9" hidden="1">'PAA V5'!$A$6:$R$6</definedName>
    <definedName name="_xlnm._FilterDatabase" localSheetId="10"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2" hidden="1">'Reservas x Metas'!$A$1:$M$8</definedName>
    <definedName name="_xlnm._FilterDatabase" localSheetId="13" hidden="1">'SEG. METAS PDD a 30 de Ene 2021'!$A$7:$AE$21</definedName>
    <definedName name="_xlnm._FilterDatabase" localSheetId="0" hidden="1">'SEGUIMIENTO CON PAA '!$A$7:$AS$100</definedName>
    <definedName name="_xlnm._FilterDatabase" localSheetId="11"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8"/>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4" i="56" l="1"/>
  <c r="T284" i="56"/>
  <c r="M672" i="56"/>
  <c r="M30" i="56"/>
  <c r="M579" i="56" l="1"/>
  <c r="M470" i="56"/>
  <c r="M756" i="56"/>
  <c r="M172" i="56"/>
  <c r="M732" i="56"/>
  <c r="M645" i="56"/>
  <c r="M644" i="56"/>
  <c r="M643" i="56"/>
  <c r="M389" i="56"/>
  <c r="M445" i="56"/>
  <c r="M373" i="56"/>
  <c r="M611" i="56"/>
  <c r="M607" i="56"/>
  <c r="M606" i="56"/>
  <c r="M618" i="56"/>
  <c r="M617" i="56"/>
  <c r="M616" i="56"/>
  <c r="M615" i="56"/>
  <c r="M614" i="56"/>
  <c r="M605" i="56"/>
  <c r="M612" i="56"/>
  <c r="M613" i="56"/>
  <c r="M637" i="56" l="1"/>
  <c r="M588" i="56"/>
  <c r="M557" i="56"/>
  <c r="V5" i="56"/>
  <c r="S5" i="56"/>
  <c r="U5" i="56"/>
  <c r="T1109" i="56"/>
  <c r="M168" i="56" l="1"/>
  <c r="M638" i="56"/>
  <c r="M705" i="56"/>
  <c r="M703" i="56"/>
  <c r="M702" i="56"/>
  <c r="M701" i="56"/>
  <c r="M704" i="56"/>
  <c r="M307" i="56"/>
  <c r="M308" i="56"/>
  <c r="M770" i="56"/>
  <c r="M728" i="56"/>
  <c r="M296" i="56"/>
  <c r="M591" i="56"/>
  <c r="M586" i="56"/>
  <c r="M211" i="56" l="1"/>
  <c r="M720" i="56"/>
  <c r="M540" i="56" l="1"/>
  <c r="M539" i="56"/>
  <c r="M538" i="56"/>
  <c r="M537" i="56"/>
  <c r="M289" i="56"/>
  <c r="M663" i="56"/>
  <c r="M52" i="56"/>
  <c r="M231" i="56" l="1"/>
  <c r="M641" i="56" l="1"/>
  <c r="M784" i="56"/>
  <c r="M169" i="56"/>
  <c r="M180" i="56" l="1"/>
  <c r="M171" i="56"/>
  <c r="T1108" i="56"/>
  <c r="T1107" i="56"/>
  <c r="M640" i="56" l="1"/>
  <c r="M11" i="56" l="1"/>
  <c r="T1106" i="56"/>
  <c r="T1105" i="56" l="1"/>
  <c r="M686" i="56" l="1"/>
  <c r="M247" i="56"/>
  <c r="M541" i="56"/>
  <c r="M514" i="56"/>
  <c r="M542" i="56"/>
  <c r="M623" i="56"/>
  <c r="M286" i="56"/>
  <c r="M287" i="56"/>
  <c r="M592" i="56"/>
  <c r="M291" i="56"/>
  <c r="M290" i="56"/>
  <c r="M288" i="56"/>
  <c r="T1104" i="56" l="1"/>
  <c r="T1103" i="56" l="1"/>
  <c r="M565" i="56"/>
  <c r="M567" i="56"/>
  <c r="M282" i="56"/>
  <c r="M280" i="56"/>
  <c r="M281" i="56" l="1"/>
  <c r="M253" i="56"/>
  <c r="M252" i="56"/>
  <c r="M250" i="56"/>
  <c r="M245" i="56"/>
  <c r="M251" i="56"/>
  <c r="M62" i="56" l="1"/>
  <c r="M706" i="56" l="1"/>
  <c r="M22" i="56" l="1"/>
  <c r="M20" i="56"/>
  <c r="M14" i="56"/>
  <c r="M214" i="56" l="1"/>
  <c r="M213" i="56"/>
  <c r="M202" i="56"/>
  <c r="M434" i="56" l="1"/>
  <c r="M603" i="56"/>
  <c r="M443" i="56"/>
  <c r="M439" i="56"/>
  <c r="T1102" i="56" l="1"/>
  <c r="M23" i="56"/>
  <c r="M10" i="56"/>
  <c r="M8" i="56"/>
  <c r="M7" i="56"/>
  <c r="M738" i="56" l="1"/>
  <c r="M28" i="56"/>
  <c r="M17" i="56" l="1"/>
  <c r="M26" i="56" l="1"/>
  <c r="M25" i="56"/>
  <c r="M21" i="56" l="1"/>
  <c r="M16" i="56"/>
  <c r="M15" i="56"/>
  <c r="M658" i="56" l="1"/>
  <c r="M507" i="56"/>
  <c r="M657" i="56"/>
  <c r="M458" i="56"/>
  <c r="M497" i="56"/>
  <c r="T1101" i="56" l="1"/>
  <c r="M9" i="56"/>
  <c r="M12" i="56" l="1"/>
  <c r="M170" i="56"/>
  <c r="T1100" i="56"/>
  <c r="T1099" i="56"/>
  <c r="M24" i="56"/>
  <c r="M372" i="56" l="1"/>
  <c r="M625" i="56"/>
  <c r="M370" i="56"/>
  <c r="M620" i="56"/>
  <c r="M413" i="56"/>
  <c r="M407" i="56"/>
  <c r="T372" i="56"/>
  <c r="M471" i="56" l="1"/>
  <c r="M163" i="56" l="1"/>
  <c r="M167" i="56"/>
  <c r="M138" i="56"/>
  <c r="M149" i="56"/>
  <c r="M143" i="56"/>
  <c r="M160" i="56"/>
  <c r="M137" i="56"/>
  <c r="M136" i="56"/>
  <c r="M297" i="56"/>
  <c r="M301" i="56"/>
  <c r="M295" i="56"/>
  <c r="M294" i="56"/>
  <c r="M708" i="56"/>
  <c r="T1098" i="56"/>
  <c r="M305" i="56"/>
  <c r="M697" i="56"/>
  <c r="M654" i="56"/>
  <c r="M707" i="56"/>
  <c r="M315" i="56" l="1"/>
  <c r="M314" i="56"/>
  <c r="M206" i="56"/>
  <c r="M209" i="56"/>
  <c r="M177" i="56" l="1"/>
  <c r="M176" i="56"/>
  <c r="M175" i="56"/>
  <c r="M174" i="56"/>
  <c r="M173" i="56"/>
  <c r="M212" i="56"/>
  <c r="M208" i="56"/>
  <c r="M204" i="56"/>
  <c r="M573" i="56" l="1"/>
  <c r="M216" i="56"/>
  <c r="T1097" i="56"/>
  <c r="T1096" i="56"/>
  <c r="R1111" i="56" l="1"/>
  <c r="T712" i="56"/>
  <c r="T711" i="56"/>
  <c r="T710" i="56"/>
  <c r="T707" i="56"/>
  <c r="T706" i="56"/>
  <c r="T704" i="56"/>
  <c r="T703" i="56"/>
  <c r="T700" i="56"/>
  <c r="T693" i="56"/>
  <c r="T691" i="56"/>
  <c r="T680" i="56"/>
  <c r="T676" i="56"/>
  <c r="T675" i="56"/>
  <c r="T664" i="56"/>
  <c r="T652" i="56"/>
  <c r="T651" i="56"/>
  <c r="T648" i="56"/>
  <c r="T638" i="56"/>
  <c r="T573" i="56"/>
  <c r="T572" i="56"/>
  <c r="T571" i="56"/>
  <c r="T244" i="56"/>
  <c r="T242" i="56"/>
  <c r="T241" i="56"/>
  <c r="T240" i="56"/>
  <c r="T239" i="56"/>
  <c r="T238" i="56"/>
  <c r="T237" i="56"/>
  <c r="T236" i="56"/>
  <c r="T234" i="56"/>
  <c r="T233" i="56"/>
  <c r="T232" i="56"/>
  <c r="T231" i="56"/>
  <c r="T226" i="56"/>
  <c r="T222" i="56"/>
  <c r="T218" i="56"/>
  <c r="T214" i="56"/>
  <c r="T210" i="56"/>
  <c r="T206" i="56"/>
  <c r="T202" i="56"/>
  <c r="T198" i="56"/>
  <c r="T194" i="56"/>
  <c r="T190" i="56"/>
  <c r="T186" i="56"/>
  <c r="T182" i="56"/>
  <c r="T178" i="56"/>
  <c r="T174" i="56"/>
  <c r="T170" i="56"/>
  <c r="T169" i="56"/>
  <c r="T168" i="56"/>
  <c r="T166" i="56"/>
  <c r="T165" i="56"/>
  <c r="T164" i="56"/>
  <c r="T162" i="56"/>
  <c r="T161" i="56"/>
  <c r="T160" i="56"/>
  <c r="T158" i="56"/>
  <c r="T157" i="56"/>
  <c r="T156" i="56"/>
  <c r="T154" i="56"/>
  <c r="T153" i="56"/>
  <c r="T152" i="56"/>
  <c r="T150" i="56"/>
  <c r="T149" i="56"/>
  <c r="T148" i="56"/>
  <c r="T146" i="56"/>
  <c r="T145" i="56"/>
  <c r="T144" i="56"/>
  <c r="T142" i="56"/>
  <c r="T141" i="56"/>
  <c r="T140" i="56"/>
  <c r="T138" i="56"/>
  <c r="T137" i="56"/>
  <c r="T136" i="56"/>
  <c r="T134" i="56"/>
  <c r="T133" i="56"/>
  <c r="T132" i="56"/>
  <c r="T130" i="56"/>
  <c r="T129" i="56"/>
  <c r="T127" i="56"/>
  <c r="T126" i="56"/>
  <c r="T125" i="56"/>
  <c r="T123" i="56"/>
  <c r="T122" i="56"/>
  <c r="T119" i="56"/>
  <c r="T115" i="56"/>
  <c r="T114" i="56"/>
  <c r="T111" i="56"/>
  <c r="T110" i="56"/>
  <c r="T107" i="56"/>
  <c r="T105" i="56"/>
  <c r="T103" i="56"/>
  <c r="T102" i="56"/>
  <c r="T99" i="56"/>
  <c r="T98" i="56"/>
  <c r="T96" i="56"/>
  <c r="T95" i="56"/>
  <c r="T92" i="56"/>
  <c r="T91" i="56"/>
  <c r="T85" i="56"/>
  <c r="T84" i="56"/>
  <c r="T83" i="56"/>
  <c r="T81" i="56"/>
  <c r="T80" i="56"/>
  <c r="T77" i="56"/>
  <c r="T75" i="56"/>
  <c r="T73" i="56"/>
  <c r="T72" i="56"/>
  <c r="T71" i="56"/>
  <c r="T70" i="56"/>
  <c r="T69" i="56"/>
  <c r="T68" i="56"/>
  <c r="T63" i="56"/>
  <c r="T62" i="56"/>
  <c r="T60" i="56"/>
  <c r="T58" i="56"/>
  <c r="T57" i="56"/>
  <c r="T55" i="56"/>
  <c r="T54" i="56"/>
  <c r="T52" i="56"/>
  <c r="T51" i="56"/>
  <c r="T48" i="56"/>
  <c r="T47" i="56"/>
  <c r="T44" i="56"/>
  <c r="T696" i="56"/>
  <c r="T695" i="56"/>
  <c r="T692" i="56"/>
  <c r="T690" i="56"/>
  <c r="T684" i="56"/>
  <c r="T681" i="56"/>
  <c r="T679" i="56"/>
  <c r="T659" i="56"/>
  <c r="T656" i="56"/>
  <c r="T655" i="56"/>
  <c r="T635" i="56"/>
  <c r="T623" i="56"/>
  <c r="T591" i="56"/>
  <c r="T589" i="56"/>
  <c r="T570" i="56"/>
  <c r="T458" i="56"/>
  <c r="T447" i="56"/>
  <c r="T431" i="56"/>
  <c r="T380" i="56"/>
  <c r="T376" i="56"/>
  <c r="T351" i="56"/>
  <c r="T316" i="56"/>
  <c r="T291" i="56"/>
  <c r="T290" i="56"/>
  <c r="T288" i="56"/>
  <c r="T270" i="56"/>
  <c r="T42" i="56"/>
  <c r="T40" i="56"/>
  <c r="T35" i="56"/>
  <c r="T32" i="56"/>
  <c r="T694" i="56"/>
  <c r="T673" i="56"/>
  <c r="T672" i="56"/>
  <c r="T636" i="56"/>
  <c r="T634" i="56"/>
  <c r="T628" i="56"/>
  <c r="T601" i="56"/>
  <c r="T593" i="56"/>
  <c r="T586" i="56"/>
  <c r="T576" i="56"/>
  <c r="T439" i="56"/>
  <c r="T281" i="56"/>
  <c r="T276" i="56"/>
  <c r="T29" i="56"/>
  <c r="T43" i="56"/>
  <c r="T38" i="56"/>
  <c r="T33" i="56"/>
  <c r="T31" i="56"/>
  <c r="T30" i="56"/>
  <c r="T28" i="56"/>
  <c r="T26" i="56"/>
  <c r="T24" i="56"/>
  <c r="T23" i="56"/>
  <c r="T20" i="56"/>
  <c r="T19" i="56"/>
  <c r="T18" i="56"/>
  <c r="T17" i="56"/>
  <c r="T16" i="56"/>
  <c r="T15" i="56"/>
  <c r="T14" i="56"/>
  <c r="T12" i="56"/>
  <c r="T11" i="56"/>
  <c r="T10" i="56"/>
  <c r="T9" i="56"/>
  <c r="T7" i="56"/>
  <c r="T8" i="56"/>
  <c r="T27" i="56"/>
  <c r="T39" i="56"/>
  <c r="T46" i="56"/>
  <c r="T67" i="56"/>
  <c r="T76" i="56"/>
  <c r="T87" i="56"/>
  <c r="T101" i="56"/>
  <c r="T106" i="56"/>
  <c r="T113" i="56"/>
  <c r="T117" i="56"/>
  <c r="T118" i="56"/>
  <c r="T121" i="56"/>
  <c r="T109" i="56"/>
  <c r="T94" i="56"/>
  <c r="T90" i="56"/>
  <c r="T79" i="56"/>
  <c r="T61" i="56"/>
  <c r="T50" i="56"/>
  <c r="T34" i="56"/>
  <c r="T22" i="56"/>
  <c r="T698" i="56"/>
  <c r="T697" i="56"/>
  <c r="T687" i="56"/>
  <c r="T686" i="56"/>
  <c r="T685" i="56"/>
  <c r="T683" i="56"/>
  <c r="T682" i="56"/>
  <c r="T671" i="56"/>
  <c r="T670" i="56"/>
  <c r="T669" i="56"/>
  <c r="T668" i="56"/>
  <c r="T667" i="56"/>
  <c r="T666" i="56"/>
  <c r="T665" i="56"/>
  <c r="T663" i="56"/>
  <c r="T662" i="56"/>
  <c r="T661" i="56"/>
  <c r="T660" i="56"/>
  <c r="T658" i="56"/>
  <c r="T657" i="56"/>
  <c r="T647" i="56"/>
  <c r="T645" i="56"/>
  <c r="T644" i="56"/>
  <c r="T643" i="56"/>
  <c r="T642" i="56"/>
  <c r="T641" i="56"/>
  <c r="T640" i="56"/>
  <c r="T639" i="56"/>
  <c r="T632" i="56"/>
  <c r="T627" i="56"/>
  <c r="T626" i="56"/>
  <c r="T625" i="56"/>
  <c r="T624" i="56"/>
  <c r="T620" i="56"/>
  <c r="T619" i="56"/>
  <c r="T618" i="56"/>
  <c r="T617" i="56"/>
  <c r="T616" i="56"/>
  <c r="T615" i="56"/>
  <c r="T614" i="56"/>
  <c r="T613" i="56"/>
  <c r="T612" i="56"/>
  <c r="T611" i="56"/>
  <c r="T610" i="56"/>
  <c r="T609" i="56"/>
  <c r="T608" i="56"/>
  <c r="T607" i="56"/>
  <c r="T606" i="56"/>
  <c r="T605" i="56"/>
  <c r="T604" i="56"/>
  <c r="T603" i="56"/>
  <c r="T602" i="56"/>
  <c r="T600" i="56"/>
  <c r="T599" i="56"/>
  <c r="T598" i="56"/>
  <c r="T595" i="56"/>
  <c r="T592" i="56"/>
  <c r="T590" i="56"/>
  <c r="T587" i="56"/>
  <c r="T584" i="56"/>
  <c r="T583" i="56"/>
  <c r="T582" i="56"/>
  <c r="T581" i="56"/>
  <c r="T580" i="56"/>
  <c r="T579" i="56"/>
  <c r="T577" i="56"/>
  <c r="T511" i="56"/>
  <c r="T510" i="56"/>
  <c r="T509" i="56"/>
  <c r="T508"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4" i="56"/>
  <c r="T483" i="56"/>
  <c r="T482" i="56"/>
  <c r="T481" i="56"/>
  <c r="T480" i="56"/>
  <c r="T479" i="56"/>
  <c r="T478" i="56"/>
  <c r="T477" i="56"/>
  <c r="T476" i="56"/>
  <c r="T475" i="56"/>
  <c r="T474" i="56"/>
  <c r="T473" i="56"/>
  <c r="T472" i="56"/>
  <c r="T471" i="56"/>
  <c r="T470" i="56"/>
  <c r="T469" i="56"/>
  <c r="T468" i="56"/>
  <c r="T467" i="56"/>
  <c r="T466" i="56"/>
  <c r="T465" i="56"/>
  <c r="T464" i="56"/>
  <c r="T463" i="56"/>
  <c r="T462" i="56"/>
  <c r="T461" i="56"/>
  <c r="T460" i="56"/>
  <c r="T459" i="56"/>
  <c r="T457" i="56"/>
  <c r="T456" i="56"/>
  <c r="T455" i="56"/>
  <c r="T454" i="56"/>
  <c r="T453" i="56"/>
  <c r="T452" i="56"/>
  <c r="T451" i="56"/>
  <c r="T450" i="56"/>
  <c r="T449" i="56"/>
  <c r="T448" i="56"/>
  <c r="T446" i="56"/>
  <c r="T445" i="56"/>
  <c r="T444" i="56"/>
  <c r="T443" i="56"/>
  <c r="T442" i="56"/>
  <c r="T441" i="56"/>
  <c r="T440" i="56"/>
  <c r="T438" i="56"/>
  <c r="T437" i="56"/>
  <c r="T436" i="56"/>
  <c r="T435" i="56"/>
  <c r="T434" i="56"/>
  <c r="T433" i="56"/>
  <c r="T432" i="56"/>
  <c r="T430" i="56"/>
  <c r="T429" i="56"/>
  <c r="T428" i="56"/>
  <c r="T427" i="56"/>
  <c r="T426" i="56"/>
  <c r="T425" i="56"/>
  <c r="T424" i="56"/>
  <c r="T423" i="56"/>
  <c r="T422" i="56"/>
  <c r="T421" i="56"/>
  <c r="T420" i="56"/>
  <c r="T419" i="56"/>
  <c r="T418" i="56"/>
  <c r="T417" i="56"/>
  <c r="T416" i="56"/>
  <c r="T415" i="56"/>
  <c r="T414" i="56"/>
  <c r="T413" i="56"/>
  <c r="T412" i="56"/>
  <c r="T411" i="56"/>
  <c r="T410" i="56"/>
  <c r="T409" i="56"/>
  <c r="T408" i="56"/>
  <c r="T407" i="56"/>
  <c r="T406" i="56"/>
  <c r="T405" i="56"/>
  <c r="T404" i="56"/>
  <c r="T403" i="56"/>
  <c r="T402" i="56"/>
  <c r="T401" i="56"/>
  <c r="T400" i="56"/>
  <c r="T399" i="56"/>
  <c r="T398" i="56"/>
  <c r="T397" i="56"/>
  <c r="T396" i="56"/>
  <c r="T395" i="56"/>
  <c r="T394" i="56"/>
  <c r="T393" i="56"/>
  <c r="T392" i="56"/>
  <c r="T391" i="56"/>
  <c r="T390" i="56"/>
  <c r="T389" i="56"/>
  <c r="T388" i="56"/>
  <c r="T387" i="56"/>
  <c r="T386" i="56"/>
  <c r="T385" i="56"/>
  <c r="T384" i="56"/>
  <c r="T383" i="56"/>
  <c r="T382" i="56"/>
  <c r="T381" i="56"/>
  <c r="T379" i="56"/>
  <c r="T378" i="56"/>
  <c r="T377" i="56"/>
  <c r="T375" i="56"/>
  <c r="T374" i="56"/>
  <c r="T371" i="56"/>
  <c r="T370" i="56"/>
  <c r="T369" i="56"/>
  <c r="T368" i="56"/>
  <c r="T367" i="56"/>
  <c r="T366" i="56"/>
  <c r="T365" i="56"/>
  <c r="T364" i="56"/>
  <c r="T363" i="56"/>
  <c r="T362" i="56"/>
  <c r="T361" i="56"/>
  <c r="T360" i="56"/>
  <c r="T359" i="56"/>
  <c r="T358" i="56"/>
  <c r="T357" i="56"/>
  <c r="T356" i="56"/>
  <c r="T355" i="56"/>
  <c r="T354" i="56"/>
  <c r="T353" i="56"/>
  <c r="T352" i="56"/>
  <c r="T350" i="56"/>
  <c r="T349" i="56"/>
  <c r="T348" i="56"/>
  <c r="T347" i="56"/>
  <c r="T346" i="56"/>
  <c r="T345" i="56"/>
  <c r="T344" i="56"/>
  <c r="T343" i="56"/>
  <c r="T342" i="56"/>
  <c r="T341" i="56"/>
  <c r="T340" i="56"/>
  <c r="T339" i="56"/>
  <c r="T338" i="56"/>
  <c r="T337" i="56"/>
  <c r="T336" i="56"/>
  <c r="T335" i="56"/>
  <c r="T334" i="56"/>
  <c r="T333" i="56"/>
  <c r="T332" i="56"/>
  <c r="T331" i="56"/>
  <c r="T330" i="56"/>
  <c r="T329" i="56"/>
  <c r="T328" i="56"/>
  <c r="T327" i="56"/>
  <c r="T326" i="56"/>
  <c r="T325" i="56"/>
  <c r="T324" i="56"/>
  <c r="T323" i="56"/>
  <c r="T322" i="56"/>
  <c r="T321" i="56"/>
  <c r="T320" i="56"/>
  <c r="T319" i="56"/>
  <c r="T318" i="56"/>
  <c r="T317" i="56"/>
  <c r="T315" i="56"/>
  <c r="T314" i="56"/>
  <c r="T313" i="56"/>
  <c r="T312" i="56"/>
  <c r="T310" i="56"/>
  <c r="T309" i="56"/>
  <c r="T308" i="56"/>
  <c r="T307" i="56"/>
  <c r="T306" i="56"/>
  <c r="T305" i="56"/>
  <c r="T304" i="56"/>
  <c r="T303" i="56"/>
  <c r="T302" i="56"/>
  <c r="T301" i="56"/>
  <c r="T300" i="56"/>
  <c r="T299" i="56"/>
  <c r="T298" i="56"/>
  <c r="T297" i="56"/>
  <c r="T296" i="56"/>
  <c r="T295" i="56"/>
  <c r="T294" i="56"/>
  <c r="T293" i="56"/>
  <c r="T292" i="56"/>
  <c r="T289" i="56"/>
  <c r="T287" i="56"/>
  <c r="T286" i="56"/>
  <c r="T285" i="56"/>
  <c r="T311" i="56"/>
  <c r="T283" i="56"/>
  <c r="T282" i="56"/>
  <c r="T280" i="56"/>
  <c r="T279" i="56"/>
  <c r="T278" i="56"/>
  <c r="T277" i="56"/>
  <c r="T275" i="56"/>
  <c r="T274" i="56"/>
  <c r="T273" i="56"/>
  <c r="T272" i="56"/>
  <c r="T271" i="56"/>
  <c r="T269" i="56"/>
  <c r="T268" i="56"/>
  <c r="T267" i="56"/>
  <c r="T266" i="56"/>
  <c r="T265" i="56"/>
  <c r="T264" i="56"/>
  <c r="T263" i="56"/>
  <c r="T262" i="56"/>
  <c r="T261" i="56"/>
  <c r="T260" i="56"/>
  <c r="T259" i="56"/>
  <c r="T258" i="56"/>
  <c r="T257" i="56"/>
  <c r="T256" i="56"/>
  <c r="T255" i="56"/>
  <c r="T254" i="56"/>
  <c r="T253" i="56"/>
  <c r="T252" i="56"/>
  <c r="T251" i="56"/>
  <c r="T250" i="56"/>
  <c r="T249" i="56"/>
  <c r="T248" i="56"/>
  <c r="T247" i="56"/>
  <c r="T246" i="56"/>
  <c r="T13" i="56"/>
  <c r="T21" i="56"/>
  <c r="T25" i="56"/>
  <c r="T36" i="56"/>
  <c r="T37" i="56"/>
  <c r="T41" i="56"/>
  <c r="T45" i="56"/>
  <c r="T49" i="56"/>
  <c r="T53" i="56"/>
  <c r="T56" i="56"/>
  <c r="T59" i="56"/>
  <c r="T64" i="56"/>
  <c r="T65" i="56"/>
  <c r="T66" i="56"/>
  <c r="T74" i="56"/>
  <c r="T78" i="56"/>
  <c r="T82" i="56"/>
  <c r="T86" i="56"/>
  <c r="T88" i="56"/>
  <c r="T89" i="56"/>
  <c r="T93" i="56"/>
  <c r="T97" i="56"/>
  <c r="T100" i="56"/>
  <c r="T104" i="56"/>
  <c r="T108" i="56"/>
  <c r="T112" i="56"/>
  <c r="T116" i="56"/>
  <c r="T120" i="56"/>
  <c r="T124" i="56"/>
  <c r="T128" i="56"/>
  <c r="T131" i="56"/>
  <c r="T135" i="56"/>
  <c r="T139" i="56"/>
  <c r="T143" i="56"/>
  <c r="T147" i="56"/>
  <c r="T151" i="56"/>
  <c r="T155" i="56"/>
  <c r="T159" i="56"/>
  <c r="T163" i="56"/>
  <c r="T167" i="56"/>
  <c r="T171" i="56"/>
  <c r="T172" i="56"/>
  <c r="T173" i="56"/>
  <c r="T175" i="56"/>
  <c r="T176" i="56"/>
  <c r="T177" i="56"/>
  <c r="T179" i="56"/>
  <c r="T180" i="56"/>
  <c r="T181" i="56"/>
  <c r="T183" i="56"/>
  <c r="T184" i="56"/>
  <c r="T185" i="56"/>
  <c r="T187" i="56"/>
  <c r="T188" i="56"/>
  <c r="T189" i="56"/>
  <c r="T191" i="56"/>
  <c r="T192" i="56"/>
  <c r="T193" i="56"/>
  <c r="T195" i="56"/>
  <c r="T196" i="56"/>
  <c r="T197" i="56"/>
  <c r="T199" i="56"/>
  <c r="T200" i="56"/>
  <c r="T201" i="56"/>
  <c r="T203" i="56"/>
  <c r="T204" i="56"/>
  <c r="T205" i="56"/>
  <c r="T207" i="56"/>
  <c r="T208" i="56"/>
  <c r="T209" i="56"/>
  <c r="T211" i="56"/>
  <c r="T212" i="56"/>
  <c r="T213" i="56"/>
  <c r="T215" i="56"/>
  <c r="T216" i="56"/>
  <c r="T217" i="56"/>
  <c r="T219" i="56"/>
  <c r="T220" i="56"/>
  <c r="T221" i="56"/>
  <c r="T223" i="56"/>
  <c r="T224" i="56"/>
  <c r="T225" i="56"/>
  <c r="T227" i="56"/>
  <c r="T228" i="56"/>
  <c r="T229" i="56"/>
  <c r="T230" i="56"/>
  <c r="T235" i="56"/>
  <c r="T243" i="56"/>
  <c r="T512" i="56"/>
  <c r="T513" i="56"/>
  <c r="T514" i="56"/>
  <c r="T515" i="56"/>
  <c r="T516" i="56"/>
  <c r="T517" i="56"/>
  <c r="T518" i="56"/>
  <c r="T519" i="56"/>
  <c r="T520" i="56"/>
  <c r="T521" i="56"/>
  <c r="T522" i="56"/>
  <c r="T523" i="56"/>
  <c r="T524" i="56"/>
  <c r="T525" i="56"/>
  <c r="T526" i="56"/>
  <c r="T527" i="56"/>
  <c r="T528" i="56"/>
  <c r="T529" i="56"/>
  <c r="T530" i="56"/>
  <c r="T531" i="56"/>
  <c r="T532" i="56"/>
  <c r="T533" i="56"/>
  <c r="T534" i="56"/>
  <c r="T535" i="56"/>
  <c r="T536" i="56"/>
  <c r="T537" i="56"/>
  <c r="T538" i="56"/>
  <c r="T539" i="56"/>
  <c r="T540" i="56"/>
  <c r="T541" i="56"/>
  <c r="T542" i="56"/>
  <c r="T543" i="56"/>
  <c r="T544" i="56"/>
  <c r="T545" i="56"/>
  <c r="T546" i="56"/>
  <c r="T547" i="56"/>
  <c r="T548" i="56"/>
  <c r="T549" i="56"/>
  <c r="T550" i="56"/>
  <c r="T551" i="56"/>
  <c r="T552" i="56"/>
  <c r="T553" i="56"/>
  <c r="T554" i="56"/>
  <c r="T555" i="56"/>
  <c r="T556" i="56"/>
  <c r="T557" i="56"/>
  <c r="T558" i="56"/>
  <c r="T559" i="56"/>
  <c r="T560" i="56"/>
  <c r="T561" i="56"/>
  <c r="T562" i="56"/>
  <c r="T563" i="56"/>
  <c r="T564" i="56"/>
  <c r="T565" i="56"/>
  <c r="T566" i="56"/>
  <c r="T567" i="56"/>
  <c r="T568" i="56"/>
  <c r="T569" i="56"/>
  <c r="T574" i="56"/>
  <c r="T575" i="56"/>
  <c r="T578" i="56"/>
  <c r="T585" i="56"/>
  <c r="T588" i="56"/>
  <c r="T594" i="56"/>
  <c r="T596" i="56"/>
  <c r="T597" i="56"/>
  <c r="T621" i="56"/>
  <c r="T622" i="56"/>
  <c r="T629" i="56"/>
  <c r="T630" i="56"/>
  <c r="T631" i="56"/>
  <c r="T633" i="56"/>
  <c r="T637" i="56"/>
  <c r="T646" i="56"/>
  <c r="T649" i="56"/>
  <c r="T650" i="56"/>
  <c r="T653" i="56"/>
  <c r="T654" i="56"/>
  <c r="T674" i="56"/>
  <c r="T677" i="56"/>
  <c r="T678" i="56"/>
  <c r="T688" i="56"/>
  <c r="T689" i="56"/>
  <c r="T699" i="56"/>
  <c r="T701" i="56"/>
  <c r="T702" i="56"/>
  <c r="T705" i="56"/>
  <c r="T708" i="56"/>
  <c r="T709" i="56"/>
  <c r="T713" i="56"/>
  <c r="T714" i="56"/>
  <c r="T715" i="56"/>
  <c r="T716" i="56"/>
  <c r="T717" i="56"/>
  <c r="T718" i="56"/>
  <c r="T719" i="56"/>
  <c r="T720" i="56"/>
  <c r="T721" i="56"/>
  <c r="T722" i="56"/>
  <c r="T723" i="56"/>
  <c r="T724" i="56"/>
  <c r="T725" i="56"/>
  <c r="T726" i="56"/>
  <c r="T727" i="56"/>
  <c r="T728" i="56"/>
  <c r="T729" i="56"/>
  <c r="T730" i="56"/>
  <c r="T731" i="56"/>
  <c r="T732" i="56"/>
  <c r="T733" i="56"/>
  <c r="T734" i="56"/>
  <c r="T735" i="56"/>
  <c r="T736" i="56"/>
  <c r="T737" i="56"/>
  <c r="T738" i="56"/>
  <c r="T739" i="56"/>
  <c r="T740" i="56"/>
  <c r="T741" i="56"/>
  <c r="T742" i="56"/>
  <c r="T743" i="56"/>
  <c r="T744" i="56"/>
  <c r="T745" i="56"/>
  <c r="T746" i="56"/>
  <c r="T747" i="56"/>
  <c r="T748" i="56"/>
  <c r="T749" i="56"/>
  <c r="T750" i="56"/>
  <c r="T752"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6" i="56"/>
  <c r="T777" i="56"/>
  <c r="T778" i="56"/>
  <c r="T779" i="56"/>
  <c r="T780" i="56"/>
  <c r="T781" i="56"/>
  <c r="T782" i="56"/>
  <c r="T783" i="56"/>
  <c r="T784" i="56"/>
  <c r="T785" i="56"/>
  <c r="T786" i="56"/>
  <c r="T787" i="56"/>
  <c r="T788" i="56"/>
  <c r="T789" i="56"/>
  <c r="T790" i="56"/>
  <c r="T791" i="56"/>
  <c r="T792" i="56"/>
  <c r="T793" i="56"/>
  <c r="T794" i="56"/>
  <c r="T795" i="56"/>
  <c r="T796" i="56"/>
  <c r="T797" i="56"/>
  <c r="T798" i="56"/>
  <c r="T799" i="56"/>
  <c r="T800" i="56"/>
  <c r="T801" i="56"/>
  <c r="T802" i="56"/>
  <c r="T803"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1091" i="56"/>
  <c r="T1092" i="56"/>
  <c r="T1093" i="56"/>
  <c r="T1094" i="56"/>
  <c r="T1095" i="56"/>
  <c r="T245" i="56" l="1"/>
  <c r="M217" i="56" l="1"/>
  <c r="M428" i="56" l="1"/>
  <c r="M447" i="56"/>
  <c r="M293" i="56" l="1"/>
  <c r="M156" i="56"/>
  <c r="M142" i="56"/>
  <c r="M158" i="56"/>
  <c r="M141" i="56"/>
  <c r="M299" i="56"/>
  <c r="M302" i="56"/>
  <c r="M219" i="56" l="1"/>
  <c r="M27" i="56" l="1"/>
  <c r="M31" i="56"/>
  <c r="M33" i="56"/>
  <c r="M34" i="56"/>
  <c r="M35" i="56"/>
  <c r="M37" i="56"/>
  <c r="M38" i="56"/>
  <c r="M41" i="56"/>
  <c r="M42" i="56"/>
  <c r="M153" i="56"/>
  <c r="M190" i="56"/>
  <c r="M198" i="56"/>
  <c r="M218" i="56"/>
  <c r="M221" i="56"/>
  <c r="M223" i="56"/>
  <c r="M225" i="56"/>
  <c r="M228" i="56"/>
  <c r="M230" i="56"/>
  <c r="M232" i="56"/>
  <c r="M274" i="56"/>
  <c r="M275" i="56"/>
  <c r="M276" i="56"/>
  <c r="M278" i="56"/>
  <c r="M279" i="56"/>
  <c r="M292" i="56"/>
  <c r="M303" i="56"/>
  <c r="M306" i="56"/>
  <c r="M309" i="56"/>
  <c r="M312" i="56"/>
  <c r="M316" i="56"/>
  <c r="M327" i="56"/>
  <c r="M333" i="56"/>
  <c r="M334" i="56"/>
  <c r="M335" i="56"/>
  <c r="M336" i="56"/>
  <c r="M337" i="56"/>
  <c r="M338" i="56"/>
  <c r="M339" i="56"/>
  <c r="M341" i="56"/>
  <c r="M342" i="56"/>
  <c r="M343" i="56"/>
  <c r="M344" i="56"/>
  <c r="M345" i="56"/>
  <c r="M351" i="56"/>
  <c r="M352" i="56"/>
  <c r="M353" i="56"/>
  <c r="M354" i="56"/>
  <c r="M368" i="56"/>
  <c r="M371" i="56"/>
  <c r="M374" i="56"/>
  <c r="M387" i="56"/>
  <c r="M392" i="56"/>
  <c r="M393" i="56"/>
  <c r="M396" i="56"/>
  <c r="M398" i="56"/>
  <c r="M421" i="56"/>
  <c r="M422" i="56"/>
  <c r="M433" i="56"/>
  <c r="M435" i="56"/>
  <c r="M438" i="56"/>
  <c r="M454" i="56"/>
  <c r="M455" i="56"/>
  <c r="M456" i="56"/>
  <c r="M464" i="56"/>
  <c r="M469" i="56"/>
  <c r="M472" i="56"/>
  <c r="M473" i="56"/>
  <c r="M474" i="56"/>
  <c r="M475" i="56"/>
  <c r="M476" i="56"/>
  <c r="M477" i="56"/>
  <c r="M478" i="56"/>
  <c r="M479" i="56"/>
  <c r="M480" i="56"/>
  <c r="M481" i="56"/>
  <c r="M482" i="56"/>
  <c r="M483" i="56"/>
  <c r="M484" i="56"/>
  <c r="M485" i="56"/>
  <c r="M486" i="56"/>
  <c r="M487" i="56"/>
  <c r="M488" i="56"/>
  <c r="M489" i="56"/>
  <c r="M490" i="56"/>
  <c r="M491" i="56"/>
  <c r="M492" i="56"/>
  <c r="M493" i="56"/>
  <c r="M494" i="56"/>
  <c r="M495" i="56"/>
  <c r="M496" i="56"/>
  <c r="M498" i="56"/>
  <c r="M499" i="56"/>
  <c r="M500" i="56"/>
  <c r="M501" i="56"/>
  <c r="M502" i="56"/>
  <c r="M503" i="56"/>
  <c r="M504" i="56"/>
  <c r="M505" i="56"/>
  <c r="M506" i="56"/>
  <c r="M508" i="56"/>
  <c r="M509" i="56"/>
  <c r="M510" i="56"/>
  <c r="M511" i="56"/>
  <c r="M518" i="56"/>
  <c r="M519" i="56"/>
  <c r="M531" i="56"/>
  <c r="M532" i="56"/>
  <c r="M533" i="56"/>
  <c r="M534" i="56"/>
  <c r="M535" i="56"/>
  <c r="M536" i="56"/>
  <c r="M543" i="56"/>
  <c r="M544" i="56"/>
  <c r="M545" i="56"/>
  <c r="M546" i="56"/>
  <c r="M558" i="56"/>
  <c r="M577" i="56"/>
  <c r="M580" i="56"/>
  <c r="M581" i="56"/>
  <c r="M587" i="56"/>
  <c r="M589" i="56"/>
  <c r="M590" i="56"/>
  <c r="M595" i="56"/>
  <c r="M604" i="56"/>
  <c r="M608" i="56"/>
  <c r="M609" i="56"/>
  <c r="M610" i="56"/>
  <c r="M619" i="56"/>
  <c r="M621" i="56"/>
  <c r="M630" i="56"/>
  <c r="M632" i="56"/>
  <c r="M639" i="56"/>
  <c r="M646" i="56"/>
  <c r="M647" i="56"/>
  <c r="M652" i="56"/>
  <c r="M690" i="56"/>
  <c r="M5" i="56" l="1"/>
  <c r="X6" i="56"/>
  <c r="M620" i="51" l="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Y23" i="32" l="1"/>
  <c r="E20" i="10"/>
  <c r="AG52" i="27"/>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40"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24"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412"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469"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25"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<sst xmlns="http://schemas.openxmlformats.org/spreadsheetml/2006/main" count="46859" uniqueCount="4783">
  <si>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</si>
  <si>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</si>
  <si>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</si>
  <si>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</si>
  <si>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</si>
  <si>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</si>
  <si>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</si>
  <si>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</si>
  <si>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</si>
  <si>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</si>
  <si>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</si>
  <si>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</si>
  <si>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</si>
  <si>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</si>
  <si>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</si>
  <si>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</si>
  <si>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</si>
  <si>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</si>
  <si>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</si>
  <si>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</si>
  <si>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</si>
  <si>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</si>
  <si>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</si>
  <si>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</si>
  <si>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</si>
  <si>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</si>
  <si>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</si>
  <si>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</si>
  <si>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</si>
  <si>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</si>
  <si>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</si>
  <si>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</si>
  <si>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</si>
  <si>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</si>
  <si>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</si>
  <si>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</si>
  <si>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</si>
  <si>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</si>
  <si>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</si>
  <si>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</si>
  <si>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</si>
  <si>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</si>
  <si>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</si>
  <si>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</si>
  <si>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</si>
  <si>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</si>
  <si>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</si>
  <si>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</si>
  <si>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</si>
  <si>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</si>
  <si>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</si>
  <si>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</si>
  <si>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</si>
  <si>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</si>
  <si>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</si>
  <si>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</si>
  <si>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</si>
  <si>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</si>
  <si>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</si>
  <si>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</si>
  <si>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</si>
  <si>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</si>
  <si>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</si>
  <si>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</si>
  <si>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</si>
  <si>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</si>
  <si>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</si>
  <si>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</si>
  <si>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</si>
  <si>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</si>
  <si>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</si>
  <si>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</si>
  <si>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</si>
  <si>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</si>
  <si>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</si>
  <si>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</si>
  <si>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</si>
  <si>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</si>
  <si>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</si>
  <si>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</si>
  <si>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</si>
  <si>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</si>
  <si>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</si>
  <si>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</si>
  <si>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</si>
  <si>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</si>
  <si>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</si>
  <si>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</si>
  <si>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</si>
  <si>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</si>
  <si>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</si>
  <si>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</si>
  <si>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</si>
  <si>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</si>
  <si>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</si>
  <si>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</si>
  <si>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</si>
  <si>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</si>
  <si>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</si>
  <si>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</si>
  <si>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</si>
  <si>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</si>
  <si>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</si>
  <si>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</si>
  <si>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</si>
  <si>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</si>
  <si>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</si>
  <si>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</si>
  <si>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</si>
  <si>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</si>
  <si>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</si>
  <si>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</si>
  <si>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</si>
  <si>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</si>
  <si>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</si>
  <si>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</si>
  <si>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</si>
  <si>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</si>
  <si>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</si>
  <si>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</si>
  <si>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</si>
  <si>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</si>
  <si>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</si>
  <si>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</si>
  <si>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</si>
  <si>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</si>
  <si>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</si>
  <si>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</si>
  <si>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</si>
  <si>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</si>
  <si>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</si>
  <si>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</si>
  <si>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</si>
  <si>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</si>
  <si>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</si>
  <si>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</si>
  <si>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</si>
  <si>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</si>
  <si>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</si>
  <si>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</si>
  <si>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</si>
  <si>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</si>
  <si>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</si>
  <si>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</si>
  <si>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</si>
  <si>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</si>
  <si>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</si>
  <si>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</si>
  <si>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</si>
  <si>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</si>
  <si>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</si>
  <si>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</si>
  <si>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</si>
  <si>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</si>
  <si>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</si>
  <si>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</si>
  <si>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</si>
  <si>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</si>
  <si>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</si>
  <si>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</si>
  <si>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</si>
  <si>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</si>
  <si>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</si>
  <si>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</si>
  <si>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</si>
  <si>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</si>
  <si>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</si>
  <si>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</si>
  <si>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</si>
  <si>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</si>
  <si>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</si>
  <si>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</si>
  <si>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</si>
  <si>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</si>
  <si>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</si>
  <si>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</si>
  <si>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</si>
  <si>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</si>
  <si>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</si>
  <si>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</si>
  <si>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</si>
  <si>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</si>
  <si>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</si>
  <si>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</si>
  <si>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</si>
  <si>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</si>
  <si>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</si>
  <si>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</si>
  <si>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</si>
  <si>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</si>
  <si>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</si>
  <si>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</si>
  <si>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</si>
  <si>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</si>
  <si>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</si>
  <si>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</si>
  <si>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</si>
  <si>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</si>
  <si>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</si>
  <si>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</si>
  <si>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</si>
  <si>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</si>
  <si>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</si>
  <si>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</si>
  <si>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</si>
  <si>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</si>
  <si>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</si>
  <si>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</si>
  <si>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</si>
  <si>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</si>
  <si>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</si>
  <si>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</si>
  <si>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</si>
  <si>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</si>
  <si>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</si>
  <si>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</si>
  <si>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</si>
  <si>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</si>
  <si>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</si>
  <si>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</si>
  <si>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</si>
  <si>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</si>
  <si>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</si>
  <si>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</si>
  <si>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</si>
  <si>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</si>
  <si>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</si>
  <si>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</si>
  <si>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</si>
  <si>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</si>
  <si>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</si>
  <si>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</si>
  <si>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</si>
  <si>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</si>
  <si>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</si>
  <si>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</si>
  <si>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</si>
  <si>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</si>
  <si>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</si>
  <si>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</si>
  <si>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</si>
  <si>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</si>
  <si>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</si>
  <si>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</si>
  <si>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</si>
  <si>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</si>
  <si>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</si>
  <si>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</si>
  <si>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</si>
  <si>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</si>
  <si>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</si>
  <si>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</si>
  <si>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</si>
  <si>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</si>
  <si>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</si>
  <si>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</si>
  <si>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</si>
  <si>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</si>
  <si>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</si>
  <si>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</si>
  <si>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</si>
  <si>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</si>
  <si>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</si>
  <si>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</si>
  <si>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</si>
  <si>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</si>
  <si>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</si>
  <si>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</si>
  <si>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</si>
  <si>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</si>
  <si>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</si>
  <si>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</si>
  <si>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</si>
  <si>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</si>
  <si>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</si>
  <si>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</si>
  <si>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</si>
  <si>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</si>
  <si>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</si>
  <si>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</si>
  <si>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</si>
  <si>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</si>
  <si>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</si>
  <si>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</si>
  <si>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</si>
  <si>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</si>
  <si>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</si>
  <si>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</si>
  <si>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</si>
  <si>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</si>
  <si>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</si>
  <si>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</si>
  <si>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</si>
  <si>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</si>
  <si>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</si>
  <si>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</si>
  <si>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</si>
  <si>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</si>
  <si>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</si>
  <si>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</si>
  <si>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</si>
  <si>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</si>
  <si>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</si>
  <si>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</si>
  <si>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</si>
  <si>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</si>
  <si>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</si>
  <si>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</si>
  <si>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</si>
  <si>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</si>
  <si>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</si>
  <si>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</si>
  <si>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</si>
  <si>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</si>
  <si>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</si>
  <si>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</si>
  <si>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</si>
  <si>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</si>
  <si>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</si>
  <si>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</si>
  <si>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</si>
  <si>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</si>
  <si>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</si>
  <si>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</si>
  <si>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</si>
  <si>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</si>
  <si>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</si>
  <si>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</si>
  <si>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</si>
  <si>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</si>
  <si>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</si>
  <si>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</si>
  <si>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</si>
  <si>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</si>
  <si>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</si>
  <si>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</si>
  <si>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</si>
  <si>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</si>
  <si>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</si>
  <si>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</si>
  <si>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</si>
  <si>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</si>
  <si>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</si>
  <si>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</si>
  <si>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</si>
  <si>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</si>
  <si>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</si>
  <si>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</si>
  <si>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</si>
  <si>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</si>
  <si>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</si>
  <si>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</si>
  <si>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</si>
  <si>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</si>
  <si>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</si>
  <si>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</si>
  <si>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</si>
  <si>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</si>
  <si>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</si>
  <si>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</si>
  <si>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</si>
  <si>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</si>
  <si>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</si>
  <si>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</si>
  <si>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</si>
  <si>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</si>
  <si>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</si>
  <si>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</si>
  <si>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</si>
  <si>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</si>
  <si>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</si>
  <si>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</si>
  <si>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</si>
  <si>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</si>
  <si>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</si>
  <si>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</si>
  <si>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</si>
  <si>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</si>
  <si>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</si>
  <si>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</si>
  <si>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</si>
  <si>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</si>
  <si>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</si>
  <si>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</si>
  <si>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</si>
  <si>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</si>
  <si>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</si>
  <si>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</si>
  <si>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</si>
  <si>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</si>
  <si>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</si>
  <si>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</si>
  <si>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</si>
  <si>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</si>
  <si>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</si>
  <si>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</si>
  <si>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</si>
  <si>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</si>
  <si>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</si>
  <si>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</si>
  <si>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</si>
  <si>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</si>
  <si>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</si>
  <si>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</si>
  <si>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</si>
  <si>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</si>
  <si>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</si>
  <si>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</si>
  <si>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</si>
  <si>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</si>
  <si>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</si>
  <si>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</si>
  <si>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</si>
  <si>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</si>
  <si>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</si>
  <si>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</si>
  <si>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</si>
  <si>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</si>
  <si>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</si>
  <si>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</si>
  <si>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</si>
  <si>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</si>
  <si>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</si>
  <si>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</si>
  <si>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</si>
  <si>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</si>
  <si>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</si>
  <si>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</si>
  <si>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</si>
  <si>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</si>
  <si>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</si>
  <si>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</si>
  <si>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</si>
  <si>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</si>
  <si>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</si>
  <si>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</si>
  <si>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</si>
  <si>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</si>
  <si>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</si>
  <si>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</si>
  <si>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</si>
  <si>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</si>
  <si>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</si>
  <si>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</si>
  <si>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</si>
  <si>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</si>
  <si>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</si>
  <si>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</si>
  <si>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</si>
  <si>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</si>
  <si>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</si>
  <si>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</si>
  <si>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</si>
  <si>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</si>
  <si>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</si>
  <si>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</si>
  <si>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</si>
  <si>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</si>
  <si>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</si>
  <si>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</si>
  <si>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</si>
  <si>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</si>
  <si>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</si>
  <si>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</si>
  <si>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</si>
  <si>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</si>
  <si>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</si>
  <si>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</si>
  <si>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</si>
  <si>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</si>
  <si>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</si>
  <si>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</si>
  <si>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</si>
  <si>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</si>
  <si>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</si>
  <si>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</si>
  <si>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</si>
  <si>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</si>
  <si>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</si>
  <si>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</si>
  <si>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</si>
  <si>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</si>
  <si>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</si>
  <si>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</si>
  <si>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</si>
  <si>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</si>
  <si>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</si>
  <si>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</si>
  <si>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</si>
  <si>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</si>
  <si>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</si>
  <si>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</si>
  <si>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</si>
  <si>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</si>
  <si>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</si>
  <si>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</si>
  <si>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</si>
  <si>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</si>
  <si>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</si>
  <si>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</si>
  <si>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</si>
  <si>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</si>
  <si>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</si>
  <si>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</si>
  <si>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</si>
  <si>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</si>
  <si>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</si>
  <si>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</si>
  <si>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</si>
  <si>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</si>
  <si>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</si>
  <si>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</si>
  <si>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</si>
  <si>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</si>
  <si>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</si>
  <si>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</si>
  <si>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</si>
  <si>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</si>
  <si>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</si>
  <si>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</si>
  <si>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</si>
  <si>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</si>
  <si>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</si>
  <si>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</si>
  <si>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</si>
  <si>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</si>
  <si>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</si>
  <si>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</si>
  <si>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</si>
  <si>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</si>
  <si>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</si>
  <si>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</si>
  <si>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</si>
  <si>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</si>
  <si>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</si>
  <si>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</si>
  <si>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</si>
  <si>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</si>
  <si>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</si>
  <si>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</si>
  <si>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</si>
  <si>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</si>
  <si>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</si>
  <si>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</si>
  <si>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</si>
  <si>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</si>
  <si>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</si>
  <si>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</si>
  <si>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</si>
  <si>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</si>
  <si>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</si>
  <si>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</si>
  <si>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</si>
  <si>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</si>
  <si>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</si>
  <si>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</si>
  <si>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</si>
  <si>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</si>
  <si>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</si>
  <si>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</si>
  <si>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</si>
  <si>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</si>
  <si>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</si>
  <si>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</si>
  <si>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</si>
  <si>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</si>
  <si>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</si>
  <si>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</si>
  <si>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</si>
  <si>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</si>
  <si>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</si>
  <si>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</si>
  <si>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</si>
  <si>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</si>
  <si>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</si>
  <si>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</si>
  <si>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</si>
  <si>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</si>
  <si>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</si>
  <si>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</si>
  <si>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</si>
  <si>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</si>
  <si>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</si>
  <si>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</si>
  <si>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</si>
  <si>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</si>
  <si>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</si>
  <si>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</si>
  <si>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</si>
  <si>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</si>
  <si>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</si>
  <si>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</si>
  <si>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</si>
  <si>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</si>
  <si>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</si>
  <si>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</si>
  <si>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</si>
  <si>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</si>
  <si>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</si>
  <si>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</si>
  <si>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</si>
  <si>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</si>
  <si>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</si>
  <si>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</si>
  <si>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</si>
  <si>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</si>
  <si>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</si>
  <si>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</si>
  <si>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</si>
  <si>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</si>
  <si>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</si>
  <si>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</si>
  <si>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</si>
  <si>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</si>
  <si>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</si>
  <si>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</si>
  <si>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</si>
  <si>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</si>
  <si>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</si>
  <si>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</si>
  <si>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</si>
  <si>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</si>
  <si>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</si>
  <si>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</si>
  <si>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</si>
  <si>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</si>
  <si>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</si>
  <si>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</si>
  <si>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</si>
  <si>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</si>
  <si>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</si>
  <si>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</si>
  <si>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</si>
  <si>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</si>
  <si>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</si>
  <si>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</si>
  <si>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</si>
  <si>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</si>
  <si>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</si>
  <si>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</si>
  <si>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</si>
  <si>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</si>
  <si>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</si>
  <si>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</si>
  <si>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</si>
  <si>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</si>
  <si>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</si>
  <si>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</si>
  <si>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</si>
  <si>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</si>
  <si>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</si>
  <si>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</si>
  <si>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</si>
  <si>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</si>
  <si>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</si>
  <si>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</si>
  <si>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</si>
  <si>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</si>
  <si>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</si>
  <si>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</si>
  <si>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</si>
  <si>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</si>
  <si>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</si>
  <si>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</si>
  <si>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</si>
  <si>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</si>
  <si>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</si>
  <si>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</si>
  <si>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</si>
  <si>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</si>
  <si>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</si>
  <si>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</si>
  <si>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</si>
  <si>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</si>
  <si>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</si>
  <si>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</si>
  <si>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</si>
  <si>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</si>
  <si>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</si>
  <si>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</si>
  <si>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</si>
  <si>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</si>
  <si>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</si>
  <si>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</si>
  <si>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</si>
  <si>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</si>
  <si>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</si>
  <si>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</si>
  <si>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</si>
  <si>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</si>
  <si>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</si>
  <si>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</si>
  <si>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</si>
  <si>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</si>
  <si>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</si>
  <si>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</si>
  <si>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</si>
  <si>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</si>
  <si>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</si>
  <si>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</si>
  <si>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</si>
  <si>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</si>
  <si>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</si>
  <si>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</si>
  <si>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</si>
  <si>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</si>
  <si>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</si>
  <si>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</si>
  <si>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</si>
  <si>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</si>
  <si>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</si>
  <si>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</si>
  <si>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</si>
  <si>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</si>
  <si>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</si>
  <si>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</si>
  <si>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</si>
  <si>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</si>
  <si>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</si>
  <si>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</si>
  <si>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</si>
  <si>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</si>
  <si>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</si>
  <si>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</si>
  <si>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</si>
  <si>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</si>
  <si>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</si>
  <si>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</si>
  <si>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</si>
  <si>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</si>
  <si>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</si>
  <si>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</si>
  <si>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</si>
  <si>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</si>
  <si>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</si>
  <si>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</si>
  <si>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</si>
  <si>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</si>
  <si>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</si>
  <si>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</si>
  <si>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</si>
  <si>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</si>
  <si>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</si>
  <si>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</si>
  <si>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</si>
  <si>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</si>
  <si>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</si>
  <si>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</si>
  <si>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</si>
  <si>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</si>
  <si>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</si>
  <si>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</si>
  <si>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</si>
  <si>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</si>
  <si>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</si>
  <si>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</si>
  <si>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</si>
  <si>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</si>
  <si>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</si>
  <si>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</si>
  <si>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</si>
  <si>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</si>
  <si>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</si>
  <si>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</si>
  <si>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</si>
  <si>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</si>
  <si>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</si>
  <si>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226-Reforzar, Adecuar y Ampliar  6 estaciones de Bomberos</t>
  </si>
  <si>
    <t>7-Implementar 100% de un programa de renovación de vehículos de la Unidad Administrativa Cuerpo Oficial de Bomberos de Bogotá</t>
  </si>
  <si>
    <t>Contratar la adquisición de los elementos de seguridad Electrónica para la UAECOB - TIC</t>
  </si>
  <si>
    <t>1-100-F039 VA-Crédito</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</si>
  <si>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</si>
  <si>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</si>
  <si>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</si>
  <si>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</si>
  <si>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9-Ejecutar el 100% del programa de mantenimiento de vehículos y equipo menor de la UAECOB</t>
  </si>
  <si>
    <t>PASIVOS EXIGIBLES</t>
  </si>
  <si>
    <t>3-Poner 3 espacios nuevos en funcionamiento para la gestión integral de riesgos, incendios, incidentes con materiales peligrosos y rescates en todas sus modalidades</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</si>
  <si>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</si>
  <si>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</si>
  <si>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</si>
  <si>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</si>
  <si>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4-Adecuar seis (6) estaciones de Bomberos</t>
  </si>
  <si>
    <t>Prestación de servicios profesionales, en temas jurídicos de la gestión administrativa a cargo de la Subdirección de Gestión Corporativa.-SGC</t>
  </si>
  <si>
    <t>2-Elaborar 1 plan de preparativos y continuidad del servicio para la UAECOB ante la eventual ocurrencia de un desastre en el Distrito Capital</t>
  </si>
  <si>
    <t>Prestación de servicios profesionales en el acompañamiento y asistencia al área de gestión administrativa de la Subdirección de Gestión Corporativa, así como en el apoyo a la supervisión de los contratos que le sean asignados.-SGC</t>
  </si>
  <si>
    <t>Prestación de Servicios Profesionales para la formulación de estrategias, indicadores y acciones requeridas por la Subdirección de Gestión Corporativa en relación con los proyectos administrativos y misionales de la UAECOB.-SGC</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</si>
  <si>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</si>
  <si>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</si>
  <si>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</si>
  <si>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</si>
  <si>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</si>
  <si>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</si>
  <si>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</si>
  <si>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</si>
  <si>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</si>
  <si>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</si>
  <si>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</si>
  <si>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</si>
  <si>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</si>
  <si>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</si>
  <si>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</si>
  <si>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</si>
  <si>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</si>
  <si>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</si>
  <si>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</si>
  <si>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</si>
  <si>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</si>
  <si>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</si>
  <si>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</si>
  <si>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</si>
  <si>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</si>
  <si>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</si>
  <si>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</si>
  <si>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</si>
  <si>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</si>
  <si>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</si>
  <si>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</si>
  <si>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</si>
  <si>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</si>
  <si>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</si>
  <si>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</si>
  <si>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</si>
  <si>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</si>
  <si>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</si>
  <si>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</si>
  <si>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</si>
  <si>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</si>
  <si>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</si>
  <si>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</si>
  <si>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</si>
  <si>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</si>
  <si>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</si>
  <si>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</si>
  <si>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</si>
  <si>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</si>
  <si>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</si>
  <si>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</si>
  <si>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</si>
  <si>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</si>
  <si>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</si>
  <si>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</si>
  <si>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</si>
  <si>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</si>
  <si>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</si>
  <si>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</si>
  <si>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</si>
  <si>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</si>
  <si>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</si>
  <si>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</si>
  <si>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</si>
  <si>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</si>
  <si>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</si>
  <si>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</si>
  <si>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</si>
  <si>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</si>
  <si>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</si>
  <si>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</si>
  <si>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</si>
  <si>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</si>
  <si>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</si>
  <si>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</si>
  <si>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</si>
  <si>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</si>
  <si>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</si>
  <si>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</si>
  <si>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</si>
  <si>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</si>
  <si>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</si>
  <si>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</si>
  <si>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</si>
  <si>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</si>
  <si>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</si>
  <si>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</si>
  <si>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</si>
  <si>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</si>
  <si>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</si>
  <si>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</si>
  <si>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</si>
  <si>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</si>
  <si>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</si>
  <si>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</si>
  <si>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</si>
  <si>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</si>
  <si>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</si>
  <si>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</si>
  <si>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</si>
  <si>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</si>
  <si>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</si>
  <si>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</si>
  <si>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</si>
  <si>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</si>
  <si>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</si>
  <si>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</si>
  <si>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</si>
  <si>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</si>
  <si>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</si>
  <si>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</si>
  <si>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</si>
  <si>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</si>
  <si>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</si>
  <si>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</si>
  <si>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</si>
  <si>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</si>
  <si>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</si>
  <si>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</si>
  <si>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</si>
  <si>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</si>
  <si>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</si>
  <si>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</si>
  <si>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</si>
  <si>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</si>
  <si>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</si>
  <si>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</si>
  <si>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</si>
  <si>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224-Implementar al 100% un programa de formación, modernización y sostenibilidad de la Unidad Administrativa Especial Cuerpo Oficial de Bomberos - UAECOB, para la respuesta efectiva en la atención de emergencias y desastres.</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</si>
  <si>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</si>
  <si>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</si>
  <si>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</si>
  <si>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</si>
  <si>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</si>
  <si>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</si>
  <si>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</si>
  <si>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</si>
  <si>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</si>
  <si>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</si>
  <si>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</si>
  <si>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</si>
  <si>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</si>
  <si>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</si>
  <si>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</si>
  <si>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5-Implementar 100% de un programa de mantenimiento a las estaciones de bomberos de Bogotá</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</si>
  <si>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</si>
  <si>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</si>
  <si>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</si>
  <si>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</si>
  <si>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</si>
  <si>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</si>
  <si>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</si>
  <si>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</si>
  <si>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</si>
  <si>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</si>
  <si>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</si>
  <si>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</si>
  <si>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</si>
  <si>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</si>
  <si>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</si>
  <si>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</si>
  <si>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</si>
  <si>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</si>
  <si>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</si>
  <si>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</si>
  <si>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</si>
  <si>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</si>
  <si>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</si>
  <si>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</si>
  <si>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</si>
  <si>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</si>
  <si>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</si>
  <si>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</si>
  <si>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</si>
  <si>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</si>
  <si>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</si>
  <si>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</si>
  <si>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</si>
  <si>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</si>
  <si>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</si>
  <si>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</si>
  <si>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</si>
  <si>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 xml:space="preserve"> Adición y prórroga No. 1 al contrato 422 de 2022 que tiene como objeto "  Contratar la prestación del servicio de aseo y cafetería incluído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</si>
  <si>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</si>
  <si>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</si>
  <si>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</si>
  <si>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</si>
  <si>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</si>
  <si>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</si>
  <si>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</si>
  <si>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</si>
  <si>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</si>
  <si>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</si>
  <si>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</si>
  <si>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</si>
  <si>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</si>
  <si>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</si>
  <si>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</si>
  <si>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</si>
  <si>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</si>
  <si>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</si>
  <si>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</si>
  <si>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</si>
  <si>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</si>
  <si>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</si>
  <si>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</si>
  <si>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</si>
  <si>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O23201010030208_Otra maquinaria para usos especiales y sus partes y piezas</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</si>
  <si>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</si>
  <si>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</si>
  <si>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</si>
  <si>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</si>
  <si>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</si>
  <si>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</si>
  <si>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 xml:space="preserve">Pago de pasivos exigibles a cargo de  la Subdirección de Gestión Corporativa </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</si>
  <si>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</si>
  <si>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</si>
  <si>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</si>
  <si>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</si>
  <si>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</si>
  <si>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</si>
  <si>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</si>
  <si>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</si>
  <si>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</si>
  <si>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</si>
  <si>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</si>
  <si>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</si>
  <si>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</si>
  <si>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</si>
  <si>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</si>
  <si>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</si>
  <si>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</si>
  <si>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</si>
  <si>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</si>
  <si>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</si>
  <si>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</si>
  <si>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</si>
  <si>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</si>
  <si>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</si>
  <si>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</si>
  <si>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</si>
  <si>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</si>
  <si>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</si>
  <si>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</si>
  <si>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</si>
  <si>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</si>
  <si>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</si>
  <si>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</si>
  <si>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1-Implementar 100 % del plan de gestión de riesgo para los procesos de conocimiento y reducción en incendios, incidentes con materiales peligrosos y escenarios de riesgos</t>
  </si>
  <si>
    <t>223-Implementar al 100% un (1) programa de conocimiento y reducción en la gestión de  riesgo de incendios, incidentes con materiales peligrosos y escenarios de riesgos.</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</si>
  <si>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</si>
  <si>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</si>
  <si>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</si>
  <si>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</si>
  <si>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</si>
  <si>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</si>
  <si>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</si>
  <si>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</si>
  <si>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</si>
  <si>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</si>
  <si>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</si>
  <si>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</si>
  <si>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</si>
  <si>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</si>
  <si>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</si>
  <si>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</si>
  <si>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</si>
  <si>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</si>
  <si>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</si>
  <si>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</si>
  <si>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</si>
  <si>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</si>
  <si>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</si>
  <si>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</si>
  <si>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</si>
  <si>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</si>
  <si>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</si>
  <si>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</si>
  <si>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</si>
  <si>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</si>
  <si>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</si>
  <si>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</si>
  <si>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</si>
  <si>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</si>
  <si>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</si>
  <si>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</si>
  <si>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</si>
  <si>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</si>
  <si>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</si>
  <si>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</si>
  <si>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</si>
  <si>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</si>
  <si>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</si>
  <si>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</si>
  <si>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</si>
  <si>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</si>
  <si>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</si>
  <si>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</si>
  <si>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</si>
  <si>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</si>
  <si>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</si>
  <si>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</si>
  <si>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</si>
  <si>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</si>
  <si>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</si>
  <si>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</si>
  <si>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</si>
  <si>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</si>
  <si>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</si>
  <si>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</si>
  <si>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</si>
  <si>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</si>
  <si>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</si>
  <si>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</si>
  <si>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</si>
  <si>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</si>
  <si>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</si>
  <si>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</si>
  <si>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</si>
  <si>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</si>
  <si>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</si>
  <si>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</si>
  <si>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</si>
  <si>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</si>
  <si>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</si>
  <si>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</si>
  <si>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</si>
  <si>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</si>
  <si>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</si>
  <si>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</si>
  <si>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</si>
  <si>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</si>
  <si>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</si>
  <si>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</si>
  <si>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</si>
  <si>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</si>
  <si>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</si>
  <si>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</si>
  <si>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</si>
  <si>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</si>
  <si>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</si>
  <si>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</si>
  <si>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</si>
  <si>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</si>
  <si>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</si>
  <si>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</si>
  <si>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</si>
  <si>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</si>
  <si>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</si>
  <si>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</si>
  <si>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</si>
  <si>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</si>
  <si>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</si>
  <si>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</si>
  <si>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</si>
  <si>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</si>
  <si>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</si>
  <si>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</si>
  <si>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</si>
  <si>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</si>
  <si>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</si>
  <si>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</si>
  <si>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</si>
  <si>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</si>
  <si>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</si>
  <si>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</si>
  <si>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</si>
  <si>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Adición y prórroga al contrato No. 079 de 2021 con objeto"Contratar la prestación del servicio de aseo y cafetería incluido insumos para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</si>
  <si>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</si>
  <si>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</si>
  <si>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</si>
  <si>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</si>
  <si>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</si>
  <si>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</si>
  <si>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</si>
  <si>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</si>
  <si>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</si>
  <si>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</si>
  <si>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</si>
  <si>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</si>
  <si>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</si>
  <si>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</si>
  <si>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</si>
  <si>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</si>
  <si>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</si>
  <si>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</si>
  <si>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</si>
  <si>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</si>
  <si>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</si>
  <si>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</si>
  <si>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</si>
  <si>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</si>
  <si>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</si>
  <si>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</si>
  <si>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</si>
  <si>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</si>
  <si>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</si>
  <si>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</si>
  <si>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</si>
  <si>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</si>
  <si>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</si>
  <si>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</si>
  <si>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</si>
  <si>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</si>
  <si>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</si>
  <si>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</si>
  <si>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</si>
  <si>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</si>
  <si>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</si>
  <si>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</si>
  <si>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</si>
  <si>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</si>
  <si>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</si>
  <si>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</si>
  <si>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</si>
  <si>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</si>
  <si>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</si>
  <si>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</si>
  <si>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</si>
  <si>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</si>
  <si>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</si>
  <si>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</si>
  <si>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</si>
  <si>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</si>
  <si>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</si>
  <si>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</si>
  <si>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</si>
  <si>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</si>
  <si>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</si>
  <si>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</si>
  <si>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</si>
  <si>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</si>
  <si>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</si>
  <si>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</si>
  <si>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</si>
  <si>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</si>
  <si>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</si>
  <si>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</si>
  <si>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</si>
  <si>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</si>
  <si>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</si>
  <si>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</si>
  <si>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</si>
  <si>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</si>
  <si>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</si>
  <si>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</si>
  <si>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</si>
  <si>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</si>
  <si>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</si>
  <si>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</si>
  <si>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</si>
  <si>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</si>
  <si>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</si>
  <si>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</si>
  <si>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</si>
  <si>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</si>
  <si>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 Cuerpo Oficial de Bomberos de Bogotá</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</si>
  <si>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</si>
  <si>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</si>
  <si>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</si>
  <si>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</si>
  <si>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</si>
  <si>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</si>
  <si>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</si>
  <si>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</si>
  <si>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</si>
  <si>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</si>
  <si>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</si>
  <si>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</si>
  <si>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</si>
  <si>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</si>
  <si>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</si>
  <si>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</si>
  <si>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</si>
  <si>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</si>
  <si>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</si>
  <si>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</si>
  <si>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</si>
  <si>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</si>
  <si>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</si>
  <si>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</si>
  <si>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</si>
  <si>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</si>
  <si>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</si>
  <si>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</si>
  <si>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</si>
  <si>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</si>
  <si>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</si>
  <si>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</si>
  <si>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</si>
  <si>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</si>
  <si>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</si>
  <si>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</si>
  <si>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</si>
  <si>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</si>
  <si>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</si>
  <si>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</si>
  <si>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</si>
  <si>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</si>
  <si>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la Aquisición de un software de  analisis de vulnerabilidades para la U.A.E Cuerpo Oficial de Bomberos de Bogotá. - TIC-</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</si>
  <si>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</si>
  <si>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</si>
  <si>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</si>
  <si>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</si>
  <si>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</si>
  <si>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</si>
  <si>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</si>
  <si>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</si>
  <si>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</si>
  <si>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</si>
  <si>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</si>
  <si>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</si>
  <si>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</si>
  <si>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</si>
  <si>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</si>
  <si>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</si>
  <si>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</si>
  <si>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</si>
  <si>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</si>
  <si>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</si>
  <si>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</si>
  <si>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</si>
  <si>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</si>
  <si>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</si>
  <si>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</si>
  <si>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</si>
  <si>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</si>
  <si>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</si>
  <si>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</si>
  <si>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</si>
  <si>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</si>
  <si>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</si>
  <si>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</si>
  <si>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</si>
  <si>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</si>
  <si>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</si>
  <si>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</si>
  <si>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</si>
  <si>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</si>
  <si>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</si>
  <si>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 xml:space="preserve">72153612 
56121902 
56121903 
82141602 
72153603 
93141713 </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</si>
  <si>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</si>
  <si>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</si>
  <si>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</si>
  <si>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</si>
  <si>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</si>
  <si>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</si>
  <si>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</si>
  <si>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</si>
  <si>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</si>
  <si>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</si>
  <si>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</si>
  <si>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</si>
  <si>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</si>
  <si>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</si>
  <si>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</si>
  <si>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</si>
  <si>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</si>
  <si>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</si>
  <si>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</si>
  <si>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</si>
  <si>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</si>
  <si>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</si>
  <si>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</si>
  <si>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</si>
  <si>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</si>
  <si>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</si>
  <si>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</si>
  <si>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</si>
  <si>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</si>
  <si>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</si>
  <si>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</si>
  <si>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</si>
  <si>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</si>
  <si>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</si>
  <si>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</si>
  <si>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</si>
  <si>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</si>
  <si>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</si>
  <si>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</si>
  <si>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</si>
  <si>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</si>
  <si>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</si>
  <si>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</si>
  <si>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</si>
  <si>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</si>
  <si>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</si>
  <si>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</si>
  <si>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</si>
  <si>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</si>
  <si>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servicios profesionales para apoyar el analisis y construcción de procesos y procedimientos necesarios para la gestión y servicios TIC´S</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</si>
  <si>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</si>
  <si>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</si>
  <si>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</si>
  <si>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</si>
  <si>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</si>
  <si>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</si>
  <si>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</si>
  <si>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</si>
  <si>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</si>
  <si>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</si>
  <si>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</si>
  <si>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</si>
  <si>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</si>
  <si>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</si>
  <si>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</si>
  <si>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</si>
  <si>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</si>
  <si>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Prestación de servicios de apoyo a la gestión para realizar actividades de tipo administrativo, en especial las relacionadas con la gestión documental de la UAECOB desde la Subdirección de Gestión Corporativa - SGC</t>
  </si>
  <si>
    <t>Prestación de servicios profesionales a la Subdirección de Gestión Corporativa para apoyar las actividades jurídicas requeridas por esta dependencia-SGC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</si>
  <si>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</si>
  <si>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</si>
  <si>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</si>
  <si>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</si>
  <si>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</si>
  <si>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</si>
  <si>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Adición al contrato de prestación de servicios No.465-2022, cuyo objeto es: Prestación de servicios profesionales para la estructuración de procesos de selección, requeridos por  la Subdirección Operativa.</t>
  </si>
  <si>
    <t xml:space="preserve"> Adición y prórroga No. 3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</si>
  <si>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LAVADO Y POLICHADO DE VEHÍCULOS Y MANTENIMIENTO DE COMPRESORES  (Pasivos Exigibles)</t>
  </si>
  <si>
    <t> Prestación de servicios profesionales para la estructuración de procesos de selección y atender  asuntos de carácter jurídico  requeridos por la Subdirección Operativa.</t>
  </si>
  <si>
    <t>Adición y prórroga al contrato de prestación de serviciós #185/2022, cuyo objeto es "Prestación de servicios profesionales en la elaboración de diseños y diagramación de piezas para los programas, proyectos y procedimientos requeridos por la Subdirección Operativa".</t>
  </si>
  <si>
    <t>Adición y prórroga al contrato de prestación de serviciós #200/2022, cuyo objeto es "Prestación de servicios de apoyo a la gestión en las actividades asistenciales que demandan las Compañías de la Subdirección Operativa".</t>
  </si>
  <si>
    <t>Adición y prórroga al contrato de prestación de serviciós #326/2022, cuyo objeto es: Prestación de servicios profesionales para realizar el seguimiento, consolidación y reporte de las actividades derivadas del plan de fortalecimiento operativo de la Subdirección Operativa</t>
  </si>
  <si>
    <t>Prestación de servicios profesionales especializados en asuntos de comunicaciones y prensa para apoyar la divulgación y socialización de la información relacionada con la misionalidad de la UAECOB.</t>
  </si>
  <si>
    <t>25/09/2022</t>
  </si>
  <si>
    <t>Prestar los servicios profesionales jurídicos especializados en la Oficina de Control Disciplinario Interno de la entidad relacionados con los procesos disciplinarios que se deban tramitar en esa dependencia en etapa de instrucción- SGC</t>
  </si>
  <si>
    <t>Mantenimiento correctivo y preventivo con suministro de repuestos ascensor nueva Estación de Bomberos BELLAVISTA- SGC</t>
  </si>
  <si>
    <t xml:space="preserve">Mantenimiento correctivo y preventivo con suministro de repuestos para los ascensores edificio Comando - SGC </t>
  </si>
  <si>
    <t xml:space="preserve"> Adición al contrato 446 de 2022 que tiene como objeto "Suministro de implementos de papelería y oficina para las dependencias de la UAE Cuerpo Oficial de Bomberos-SGC</t>
  </si>
  <si>
    <t xml:space="preserve">	80101600
81101500
72101500
72121400 </t>
  </si>
  <si>
    <t>Interventoría técnica, administrativa, financiera, contable, jurídica, SST y ambiental para realizar el mejoramiento y dotación de las instalaciones del predio la Alemana para la academia de la U.A.E Cuerpo Oficial de Bomberos Bogotá D.C-SGC.</t>
  </si>
  <si>
    <t>43211900
43211903</t>
  </si>
  <si>
    <t>Contratar la adquisición de una (1) pantalla interactiva para el pabellón del conocimiento y la innovación de la U.A.E. Cuerpo Oficial de Bomberos Bogotá</t>
  </si>
  <si>
    <t>Adición y prórroga al contrato No. 546 de 2022, cuyo objeto es "SGH - Prestar servicios profesionales en la Subdirección de Gestión Humana, en lo relacionado con el fortalecimiento e implementación de la escuela de formación bomberil".</t>
  </si>
  <si>
    <t>Adición y prórroga al contrato No. 536 de 2022, cuyo objeto es "SGH - Prestar servicios profesionales en la Subdirección de Gestión Humana, para el fortalecimiento trasversal del proceso de Academia".</t>
  </si>
  <si>
    <t>Adición y prórroga al contrato No. 472 de 2022, cuyo objeto es "SGH - Prestar sus servicios profesionales en la Subdirección de Gestión Humana, en los procesos contractuales y demás actividades relacionadas con el proceso de Academia".</t>
  </si>
  <si>
    <t>Adición y prórroga al contrato No. 450 de 2022, cuyo objeto es "SGH - Prestar sus servicios profesionales a la Subdirección de Gestión Humana para fortalecer el proceso de Academia en normas técnicas".</t>
  </si>
  <si>
    <t>SGH - CONTRATAR ELEMENTOS DE MATERIAL PEDAGÓGICO PARA EL CENTRO DE ENTRENAMIENTO DE LA ESCUELA.</t>
  </si>
  <si>
    <t>Adición y prórroga al contrato No. 033 de 2022, cuyo objeto es "SGH - Prestar servicios profesionales en el desarrollo de las actividades y de los diferentes procesos que tiene a cargo la Subdirección de Gestión Humana de la UAE Cuerpo Oficial de Bomberos de Bogotá".</t>
  </si>
  <si>
    <t>Adición y prórroga al contrato No. 044 de 2022, cuyo objeto es "SGH - Prestar de servicios profesionales para desarrollar actividades jurídicas en atención a los distintos requerimientos de la Subdirección de Gestión Humana".</t>
  </si>
  <si>
    <t>Adición y prórroga al contrato No. 526 de 2022, cuyo objeto es "SGH - Prestar sus servicios profesionales en la Subdirección de Gestión Humana de la UAE-Cuerpo Oficial de Bomberos".</t>
  </si>
  <si>
    <t>Adición y prórroga al contrato No. 475 de 2022, cuyo objeto es "SGH - Prestar sus servicios profesionales en comunicación para la Subdirección de Gestión Humana de la UAE Cuerpo Oficial de Bomberos".</t>
  </si>
  <si>
    <t>Adición y prórroga al contrato No. 559 de 2022, cuyo objeto es "SGH - Prestar de servicios profesionales para desarrollar actividades jurídicas en atención a los distintos requerimientos de la Subdirección de Gestión Humana.</t>
  </si>
  <si>
    <t>Adición al contrato No. 442 de 2022, cuyo objeto es "Contratar la Prestación de Servicios para desarrollar el Plan de Bienestar de la UAE Cuerpo Oficial de Bomberos para la Vigencia 2022".</t>
  </si>
  <si>
    <t>Adquirir Elementos de Protección Personal básicos para las labores de logística y acompañamiento en la Escuela de Formación Bomberil de la UAE Cuerpo Oficial de Bomberos Bogotá.</t>
  </si>
  <si>
    <t>PAGOS REALIZADOS DE PASIVOS EXIGIBLES</t>
  </si>
  <si>
    <t xml:space="preserve">1-601-F001  PAS-Otros distrito </t>
  </si>
  <si>
    <t>Adquisición de contenedores para la UAE Cuerpo Oficial de Bomberos_SGR</t>
  </si>
  <si>
    <t>30101804
72152909
95131600
72121100
95141700
72102900
72121400</t>
  </si>
  <si>
    <t>Adquisición, instalación y adecuacion de la Villa  Habitacional en estructura liviana no convencional para la UAE Cuerpo Oficial de Bomberos._SGR</t>
  </si>
  <si>
    <t>72121100
24101600
30131500
31371300
72151900
22101500
30101500
30101700
30103600</t>
  </si>
  <si>
    <t>Adquisición y adecuación de escenarios para Búsqueda y Rescate Urbano_SGR</t>
  </si>
  <si>
    <t>ADICION Y PRORROGA CTO  63 Apoyar profesionalmente la coordinación y establecimiento de los planes intersectoriales en materia de prevención y atención de incendios e incidentes con materiales peligrosos._SGR</t>
  </si>
  <si>
    <t>ADICION Y PRORROGA CTO  507 Prestar servicios profesionales para la estructuración y seguimiento de los procesos contractuales y demás aspectos jurídicos de la Subdirección de Gestión del Riesgo._SGR</t>
  </si>
  <si>
    <t>ADICION Y PRORROGA CTO  492 Prestar servicios profesionales para la estructuracion y seguimiento de los procesos contractuales y demas aspectos juridicos de la Subdirección de Gestión del riesgo._SGR</t>
  </si>
  <si>
    <t>ADICION Y PRORROGA CTO  109 Prestar servicios profesionales para el desarrollo de los contenidos graficos, piezas comunicativa y de imagen institucional para la Subdirección de Gestión del riesgo._SGR</t>
  </si>
  <si>
    <t>ADICION Y PRORROGA CTO  66 Prestar los servicios profesionales especializados para la coordinación del componente técnico, financiero y de planificación de la subdirección de gestión de riesgo._SGR</t>
  </si>
  <si>
    <t>ADICION Y PRORROGA CTO  84 Prestar servicios profesionales para el apoyo en la gestión administrativa y análisis financiero de la subdirección de gestión del riesgo._SGR</t>
  </si>
  <si>
    <t>ADICION Y PRORROGA CTO  309 Prestar servicios profesionales en las actividades de proyeccion e innovacion para la Subdirección de Gestión del Riesgo._SGR</t>
  </si>
  <si>
    <t>ADICION Y PRORROGA CTO  208 Prestar servicios de apoyo a la gestión como conductor en la Subdirección de Gestión del Riesgo._SGR</t>
  </si>
  <si>
    <t xml:space="preserve">ADICION Y PRORROGA CTO  86 Apoyar las actividades de la Subdirección de Gestión del Riesgo relacionadas con el seguimiento y control de sus solicitudes y peticiones._SGR 
</t>
  </si>
  <si>
    <t>ADICION Y PRORROGA CTO  335 Prestar servicios profesionales  en las actividades de soporte operacional de la UAECOB._SGR</t>
  </si>
  <si>
    <t>ADICION Y PRORROGA CTO  209 Prestar servicios de apoyo a la gestión en las actividades de soporte operacional de la UAECOB._SGR</t>
  </si>
  <si>
    <t>ADICION Y PRORROGA CTO  310 Prestar servicios de apoyo a la gestión en las actividades de soporte operacional de la UAECOB._SGR</t>
  </si>
  <si>
    <t>ADICION Y PRORROGA CTO  226 Prestar servicios de apoyo a la gestión en las actividades de soporte operacional de la UAECOB._SGR</t>
  </si>
  <si>
    <t>ADICION Y PRORROGA CTO  210 Prestar servicios de apoyo a la gestión como conductor en la Subdirección de Gestión del Riesgo._SGR</t>
  </si>
  <si>
    <t>ADICION Y PRORROGA CTO  313 Prestar servicios de apoyo a la gestión como conductor en la Subdirección de Gestión del Riesgo._SGR</t>
  </si>
  <si>
    <t>ADICION Y PRORROGA CTO  247 Prestar servicios profesionales en las actividades de monitoreo del riesgo para la Subdirección de Gestión del Riesgo._SGR</t>
  </si>
  <si>
    <t>ADICION Y PRORROGA CTO  181 Prestar servicios de apoyo a la gestion en las actividades de monitoreo del riesgo para la Subdirección de Gestión del Riesgo._SGR</t>
  </si>
  <si>
    <t>ADICION Y PRORROGA CTO  177 Prestar servicios de apoyo a la gestion en las actividades de monitoreo del riesgo para la Subdirección de Gestión del Riesgo._SGR</t>
  </si>
  <si>
    <t>ADICION Y PRORROGA CTO  211 Prestar servicios de apoyo a la gestion en las actividades de monitoreo del riesgo para la Subdirección de Gestión del Riesgo._SGR</t>
  </si>
  <si>
    <t>ADICION Y PRORROGA CTO  182 Prestar servicios de apoyo a la gestion en las actividades de monitoreo del riesgo para la Subdirección de Gestión del Riesgo._SGR</t>
  </si>
  <si>
    <t>ADICION Y PRORROGA CTO  113 Prestar servicios de apoyo a la gestion en las actividades de monitoreo del riesgo para la Subdirección de Gestión del Riesgo._SGR</t>
  </si>
  <si>
    <t>ADICION Y PRORROGA CTO  110 Prestar servicios de apoyo a la gestion en las actividades de monitoreo del riesgo para la Subdirección de Gestión del Riesgo._SGR</t>
  </si>
  <si>
    <t>ADICION Y PRORROGA CTO  331 Prestar servicios de apoyo a la gestion en las actividades de monitoreo del riesgo para la Subdirección de Gestión del Riesgo._SGR</t>
  </si>
  <si>
    <t>ADICION Y PRORROGA CTO  183 Prestar servicios de apoyo a la gestion en las actividades de monitoreo del riesgo para la Subdirección de Gestión del Riesgo._SGR</t>
  </si>
  <si>
    <t>ADICION Y PRORROGA CTO  248 Prestar servicios de apoyo a la gestion en las actividades de monitoreo del riesgo para la Subdirección de Gestión del Riesgo._SGR</t>
  </si>
  <si>
    <t>ADICION Y PRORROGA CTO  250 Prestar servicios profesionales en las actividades de identificacion de escenarios a cargo de la Subdirección de Gestión del Riesgo._SGR</t>
  </si>
  <si>
    <t>ADICION Y PRORROGA CTO  227 Prestar servicios profesionales en las actividades de identificacion de escenarios a cargo de la Subdirección de Gestión del Riesgo._SGR</t>
  </si>
  <si>
    <t>ADICION Y PRORROGA CTO  253 Prestar  servicios profesionales en las actividades de proyeccion e innovacion para la Subdirección de Gestión del Riesgo._SGR</t>
  </si>
  <si>
    <t>ADICION Y PRORROGA CTO  251 Prestar  servicios profesionales en las actividades de proyeccion e innovacion para la Subdirección de Gestión del Riesgo._SGR</t>
  </si>
  <si>
    <t>ADICION Y PRORROGA CTO  254 Prestar  servicios profesionales en las actividades de proyeccion e innovacion para la Subdirección de Gestión del Riesgo._SGR</t>
  </si>
  <si>
    <t>ADICION Y PRORROGA CTO  228 Prestar sus servicios profesionales en las actividades relacionadas con la emision de conceptos a cargo de la Subdirección de Gestión del Riesgo._SGR</t>
  </si>
  <si>
    <t>ADICION Y PRORROGA CTO  256 Prestar sus servicios profesionales en las actividades relacionadas con la emision de conceptos a cargo de la Subdirección de Gestión del Riesgo._SGR</t>
  </si>
  <si>
    <t>ADICION Y PRORROGA CTO  332 Prestar sus servicios profesionales en las actividades relacionadas con la emision de conceptos a cargo de la Subdirección de Gestión del Riesgo._SGR</t>
  </si>
  <si>
    <t>ADICION Y PRORROGA CTO  312 Prestar sus servicios profesionales en las actividades relacionadas con la emision de conceptos a cargo de la Subdirección de Gestión del Riesgo._SGR</t>
  </si>
  <si>
    <t>ADICION Y PRORROGA CTO  111 Prestar servicios profesionales en la Subdirección de Gestión del riesgo relacionadas con el proceso de reducción del riesgo, en lo relacionado con las actividades de aglomeraciones de público y Eventos con Pirotecnia  desarrollados en el Distrito._SGR</t>
  </si>
  <si>
    <t>ADICION Y PRORROGA CTO  119 Apoyar las actividades de la Subdirección de Gestión del riesgo relacionadas con las aglomeraciones de público  y Eventos con Pirotecnia  desarrollados en el Distrito._SGR</t>
  </si>
  <si>
    <t>ADICION Y PRORROGA CTO  502 Prestar servicios profesionales en las actividades de Programas y Campañas de Prevención para la Subdirección de Gestión del Riesgo._SGR</t>
  </si>
  <si>
    <t>ADICION Y PRORROGA CTO  179 Prestar servicios profesionales en los procesos de formacion y capacitacion de la subdirección de gestión del riesgo._SGR</t>
  </si>
  <si>
    <t>ADICION Y PRORROGA CTO  112 Prestar servicios profesionales en los procesos de formacion y capacitacion de la subdirección de gestión del riesgo._SGR</t>
  </si>
  <si>
    <t>ADICION Y PRORROGA CTO  456 Prestar sus servicios de apoyo tecnico para realizar las inspecciones relacionadas con la emision de conceptos a cargo de la Subdirección de Gestión del Riesgo._SGR</t>
  </si>
  <si>
    <t>ADICION Y PRORROGA CTO  469 Prestar sus servicios de apoyo tecnico para realizar las inspecciones relacionadas con la emision de conceptos a cargo de la Subdirección de Gestión del Riesgo._SGR</t>
  </si>
  <si>
    <t>ADICION Y PRORROGA CTO  471 Prestar servicios profesionales para el desarrollo de programas, campañas y proyectos para la Subdirección de Gestión del Riesgo._SGR</t>
  </si>
  <si>
    <t>ADICION Y PRORROGA CTO  466 Prestar servicios de apoyo a la gestión en las actividades de soporte operacional de la UAECOB._SGR</t>
  </si>
  <si>
    <t>ADICION Y PRORROGA CTO  505 Prestar servicios de apoyo a la gestión en las actividades de soporte operacional de la UAECOB._SGR</t>
  </si>
  <si>
    <t>ADICION Y PRORROGA CTO  497 Prestar servicios de apoyo a la gestión en las actividades de soporte operacional de la UAECOB._SGR</t>
  </si>
  <si>
    <t>ADICION Y PRORROGA CTO  498 Prestar los servicios profesionales en las actividades de proyeccion e innovacion para la Subdirección de Gestión del Riesgo._SGR</t>
  </si>
  <si>
    <t>ADICION Y PRORROGA CTO  493 Prestar los servicios profesionales en las actividades de proyeccion e innovacion para la Subdirección de Gestión del Riesgo._SGR</t>
  </si>
  <si>
    <t>ADICION Y PRORROGA CTO  495 Prestar servicios profesionales para las actividades misionales de la Subdireccion de Getsion del Riesgo._SGR</t>
  </si>
  <si>
    <t>ADICION Y PRORROGA CTO  83  Prestar servicios profesionales a la Subdirección de Gestión del Riesgo coordinando las actividades del proceso de Conocimiento del Riesgo._SGR</t>
  </si>
  <si>
    <t xml:space="preserve"> </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</si>
  <si>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</si>
  <si>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</si>
  <si>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</si>
  <si>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</si>
  <si>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</si>
  <si>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</si>
  <si>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</si>
  <si>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</si>
  <si>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</si>
  <si>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</si>
  <si>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</si>
  <si>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</si>
  <si>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</si>
  <si>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</si>
  <si>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</si>
  <si>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</si>
  <si>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</si>
  <si>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</si>
  <si>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</si>
  <si>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</si>
  <si>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</si>
  <si>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</si>
  <si>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</si>
  <si>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</si>
  <si>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</si>
  <si>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</si>
  <si>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</si>
  <si>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</si>
  <si>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</si>
  <si>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</si>
  <si>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</si>
  <si>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</si>
  <si>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</si>
  <si>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</si>
  <si>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</si>
  <si>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</si>
  <si>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</si>
  <si>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</si>
  <si>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</si>
  <si>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</si>
  <si>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</si>
  <si>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</si>
  <si>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</si>
  <si>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</si>
  <si>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</si>
  <si>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</si>
  <si>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</si>
  <si>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</si>
  <si>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</si>
  <si>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</si>
  <si>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Prestación de servicios de apoyo a la gestión en la Subdirección de Gestión Corporativa, en el almacén de la Entidad.-SGC</t>
  </si>
  <si>
    <t>4 meses</t>
  </si>
  <si>
    <t>10 meses</t>
  </si>
  <si>
    <t>Prestar el servicio de recolección, transporte, almacenamiento, tratamiento y disposición final de residuos de elementos de uso institucional utilizados por el personal operativo de la de la UAECOB de Bogotá.-SGC</t>
  </si>
  <si>
    <t>12 meses</t>
  </si>
  <si>
    <t>77101600;
77101700</t>
  </si>
  <si>
    <t>Prestar los servicios para adelantar los Trámites ambientales que requiera la Unidad Administrativa Especial cuerpo oficial de Bomberos de Bogota -SGC</t>
  </si>
  <si>
    <t xml:space="preserve">Resolución </t>
  </si>
  <si>
    <t>Prestación de Servicios Profesionales para acompañar el mejoramiento de los procesos de presupuestales y financieros a cargo de la Subdirección de Gestión Corporativa -SGC.</t>
  </si>
  <si>
    <t xml:space="preserve">PAGO PASIVOS EXIGIBLES Y ADICIONES CONTEMPLADAS EN EL MARCO DE GARANTIZAR LA CONTINUIDAD DE LAS ACTIVIDADES A CARGO DE LA  SUBDIRECCIÓN DE GESTIÓN CORPORATIVA </t>
  </si>
  <si>
    <t>8 meses</t>
  </si>
  <si>
    <t>5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</si>
  <si>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</si>
  <si>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</si>
  <si>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</si>
  <si>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</si>
  <si>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</si>
  <si>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</si>
  <si>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</si>
  <si>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</si>
  <si>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</si>
  <si>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</si>
  <si>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</si>
  <si>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</si>
  <si>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</si>
  <si>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</si>
  <si>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</si>
  <si>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</si>
  <si>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</si>
  <si>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</si>
  <si>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</si>
  <si>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</si>
  <si>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</si>
  <si>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</si>
  <si>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</si>
  <si>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</si>
  <si>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</si>
  <si>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</si>
  <si>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</si>
  <si>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</si>
  <si>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</si>
  <si>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</si>
  <si>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</si>
  <si>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23131500;
27111800;</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</si>
  <si>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</si>
  <si>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</si>
  <si>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</si>
  <si>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CCE-02_Licitación pública</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</si>
  <si>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</si>
  <si>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</si>
  <si>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</si>
  <si>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</si>
  <si>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</si>
  <si>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</si>
  <si>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</si>
  <si>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</si>
  <si>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</si>
  <si>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</si>
  <si>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</si>
  <si>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</si>
  <si>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</si>
  <si>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</si>
  <si>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</si>
  <si>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</si>
  <si>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</si>
  <si>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</si>
  <si>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</si>
  <si>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</si>
  <si>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</si>
  <si>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SGH - Prestar servicios para soportar las actividades de la dependencia.</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</si>
  <si>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</si>
  <si>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</si>
  <si>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</si>
  <si>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</si>
  <si>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</si>
  <si>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</si>
  <si>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</si>
  <si>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</si>
  <si>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</si>
  <si>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</si>
  <si>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</si>
  <si>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</si>
  <si>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</si>
  <si>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40101700
45121500
43211700
25131700</t>
  </si>
  <si>
    <t>Contratar el sistema de detección temprana de incendios forestales mediante equipos tecnológicos para las zonas de cobertura vegetal del distrito capital_FASE 1_SGR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</si>
  <si>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</si>
  <si>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</si>
  <si>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</si>
  <si>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</si>
  <si>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</si>
  <si>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</si>
  <si>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43211900
43232400
43232200
43211700
43232100
43211500</t>
  </si>
  <si>
    <t>Contratar el Diseño de Escenarios en Realidad Virtual para el Desarrollo de Capacitaciones dirigidas a las Brigadas de Emergencia_SGR</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</si>
  <si>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</si>
  <si>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</si>
  <si>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</si>
  <si>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</si>
  <si>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</si>
  <si>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</si>
  <si>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</si>
  <si>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</si>
  <si>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</si>
  <si>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</si>
  <si>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</si>
  <si>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</si>
  <si>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</si>
  <si>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</si>
  <si>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</si>
  <si>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</si>
  <si>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</si>
  <si>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</si>
  <si>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</si>
  <si>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</si>
  <si>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</si>
  <si>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</si>
  <si>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</si>
  <si>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</si>
  <si>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</si>
  <si>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</si>
  <si>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</si>
  <si>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</si>
  <si>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</si>
  <si>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</si>
  <si>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</si>
  <si>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</si>
  <si>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</si>
  <si>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</si>
  <si>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</si>
  <si>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</si>
  <si>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</si>
  <si>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</si>
  <si>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</si>
  <si>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</si>
  <si>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</si>
  <si>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</si>
  <si>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</si>
  <si>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</si>
  <si>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</si>
  <si>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</si>
  <si>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</si>
  <si>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</si>
  <si>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</si>
  <si>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</si>
  <si>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</si>
  <si>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</si>
  <si>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</si>
  <si>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</si>
  <si>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</si>
  <si>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</si>
  <si>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</si>
  <si>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</si>
  <si>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</si>
  <si>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</si>
  <si>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</si>
  <si>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</si>
  <si>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</si>
  <si>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</si>
  <si>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</si>
  <si>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</si>
  <si>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</si>
  <si>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</si>
  <si>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</si>
  <si>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</si>
  <si>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</si>
  <si>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</si>
  <si>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</si>
  <si>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</si>
  <si>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</si>
  <si>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</si>
  <si>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</si>
  <si>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</si>
  <si>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</si>
  <si>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</si>
  <si>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</si>
  <si>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</si>
  <si>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</si>
  <si>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</si>
  <si>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</si>
  <si>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</si>
  <si>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</si>
  <si>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</si>
  <si>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</si>
  <si>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</si>
  <si>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</si>
  <si>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</si>
  <si>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</si>
  <si>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</si>
  <si>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</si>
  <si>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</si>
  <si>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</si>
  <si>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</si>
  <si>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</si>
  <si>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</si>
  <si>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</si>
  <si>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</si>
  <si>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</si>
  <si>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</si>
  <si>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</si>
  <si>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</si>
  <si>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</si>
  <si>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</si>
  <si>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</si>
  <si>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</si>
  <si>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</si>
  <si>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</si>
  <si>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</si>
  <si>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</si>
  <si>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</si>
  <si>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</si>
  <si>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</si>
  <si>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</si>
  <si>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</si>
  <si>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</si>
  <si>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</si>
  <si>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</si>
  <si>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</si>
  <si>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</si>
  <si>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</si>
  <si>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</si>
  <si>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</si>
  <si>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</si>
  <si>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</si>
  <si>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</si>
  <si>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</si>
  <si>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</si>
  <si>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</si>
  <si>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</si>
  <si>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</si>
  <si>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</si>
  <si>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</si>
  <si>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</si>
  <si>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</si>
  <si>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</si>
  <si>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</si>
  <si>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</si>
  <si>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</si>
  <si>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</si>
  <si>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</si>
  <si>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</si>
  <si>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</si>
  <si>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</si>
  <si>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</si>
  <si>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</si>
  <si>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</si>
  <si>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</si>
  <si>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</si>
  <si>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</si>
  <si>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</si>
  <si>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</si>
  <si>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</si>
  <si>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</si>
  <si>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</si>
  <si>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</si>
  <si>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</si>
  <si>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</si>
  <si>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</si>
  <si>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</si>
  <si>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</si>
  <si>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</si>
  <si>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</si>
  <si>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</si>
  <si>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</si>
  <si>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</si>
  <si>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</si>
  <si>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</si>
  <si>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</si>
  <si>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</si>
  <si>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</si>
  <si>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</si>
  <si>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</si>
  <si>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</si>
  <si>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</si>
  <si>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</si>
  <si>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</si>
  <si>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</si>
  <si>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</si>
  <si>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</si>
  <si>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</si>
  <si>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</si>
  <si>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</si>
  <si>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</si>
  <si>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</si>
  <si>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</si>
  <si>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</si>
  <si>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</si>
  <si>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</si>
  <si>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</si>
  <si>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</si>
  <si>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</si>
  <si>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</si>
  <si>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</si>
  <si>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</si>
  <si>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</si>
  <si>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</si>
  <si>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</si>
  <si>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</si>
  <si>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</si>
  <si>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</si>
  <si>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</si>
  <si>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</si>
  <si>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</si>
  <si>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</si>
  <si>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</si>
  <si>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</si>
  <si>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</si>
  <si>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</si>
  <si>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</si>
  <si>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</si>
  <si>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</si>
  <si>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</si>
  <si>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</si>
  <si>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</si>
  <si>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</si>
  <si>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</si>
  <si>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</si>
  <si>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</si>
  <si>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</si>
  <si>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</si>
  <si>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</si>
  <si>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</si>
  <si>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</si>
  <si>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</si>
  <si>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</si>
  <si>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</si>
  <si>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</si>
  <si>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</si>
  <si>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</si>
  <si>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</si>
  <si>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</si>
  <si>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</si>
  <si>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</si>
  <si>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</si>
  <si>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</si>
  <si>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</si>
  <si>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</si>
  <si>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</si>
  <si>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</si>
  <si>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</si>
  <si>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</si>
  <si>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</si>
  <si>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</si>
  <si>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</si>
  <si>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</si>
  <si>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</si>
  <si>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</si>
  <si>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</si>
  <si>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</si>
  <si>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</si>
  <si>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</si>
  <si>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</si>
  <si>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</si>
  <si>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</si>
  <si>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</si>
  <si>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</si>
  <si>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</si>
  <si>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</si>
  <si>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</si>
  <si>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</si>
  <si>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</si>
  <si>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</si>
  <si>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</si>
  <si>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</si>
  <si>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</si>
  <si>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</si>
  <si>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</si>
  <si>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</si>
  <si>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</si>
  <si>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</si>
  <si>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</si>
  <si>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</si>
  <si>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</si>
  <si>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</si>
  <si>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</si>
  <si>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</si>
  <si>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</si>
  <si>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</si>
  <si>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</si>
  <si>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</si>
  <si>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</si>
  <si>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</si>
  <si>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</si>
  <si>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</si>
  <si>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</si>
  <si>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</si>
  <si>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</si>
  <si>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</si>
  <si>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</si>
  <si>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</si>
  <si>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</si>
  <si>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</si>
  <si>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</si>
  <si>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</si>
  <si>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</si>
  <si>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</si>
  <si>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</si>
  <si>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</si>
  <si>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</si>
  <si>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</si>
  <si>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</si>
  <si>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</si>
  <si>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</si>
  <si>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</si>
  <si>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</si>
  <si>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</si>
  <si>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</si>
  <si>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</si>
  <si>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</si>
  <si>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</si>
  <si>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</si>
  <si>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</si>
  <si>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</si>
  <si>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</si>
  <si>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</si>
  <si>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</si>
  <si>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</si>
  <si>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</si>
  <si>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</si>
  <si>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</si>
  <si>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</si>
  <si>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</si>
  <si>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</si>
  <si>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</si>
  <si>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</si>
  <si>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</si>
  <si>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</si>
  <si>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</si>
  <si>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</si>
  <si>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</si>
  <si>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</si>
  <si>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</si>
  <si>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</si>
  <si>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</si>
  <si>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</si>
  <si>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</si>
  <si>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</si>
  <si>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</si>
  <si>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</si>
  <si>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</si>
  <si>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</si>
  <si>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</si>
  <si>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</si>
  <si>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</si>
  <si>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</si>
  <si>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</si>
  <si>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</si>
  <si>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</si>
  <si>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</si>
  <si>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</si>
  <si>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</si>
  <si>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</si>
  <si>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</si>
  <si>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</si>
  <si>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</si>
  <si>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</si>
  <si>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</si>
  <si>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</si>
  <si>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</si>
  <si>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</si>
  <si>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</si>
  <si>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</si>
  <si>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</si>
  <si>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</si>
  <si>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</si>
  <si>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</si>
  <si>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</si>
  <si>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</si>
  <si>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</si>
  <si>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</si>
  <si>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</si>
  <si>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</si>
  <si>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</si>
  <si>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</si>
  <si>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</si>
  <si>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</si>
  <si>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</si>
  <si>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</si>
  <si>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</si>
  <si>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</si>
  <si>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</si>
  <si>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</si>
  <si>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</si>
  <si>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</si>
  <si>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</si>
  <si>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</si>
  <si>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</si>
  <si>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</si>
  <si>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</si>
  <si>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</si>
  <si>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</si>
  <si>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</si>
  <si>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</si>
  <si>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</si>
  <si>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</si>
  <si>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</si>
  <si>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</si>
  <si>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</si>
  <si>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</si>
  <si>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</si>
  <si>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</si>
  <si>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</si>
  <si>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</si>
  <si>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</si>
  <si>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</si>
  <si>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</si>
  <si>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</si>
  <si>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</si>
  <si>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</si>
  <si>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</si>
  <si>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</si>
  <si>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</si>
  <si>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</si>
  <si>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</si>
  <si>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</si>
  <si>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</si>
  <si>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</si>
  <si>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</si>
  <si>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</si>
  <si>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</si>
  <si>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</si>
  <si>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</si>
  <si>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</si>
  <si>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</si>
  <si>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</si>
  <si>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</si>
  <si>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</si>
  <si>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</si>
  <si>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</si>
  <si>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</si>
  <si>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</si>
  <si>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</si>
  <si>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</si>
  <si>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</si>
  <si>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</si>
  <si>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</si>
  <si>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</si>
  <si>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</si>
  <si>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</si>
  <si>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</si>
  <si>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</si>
  <si>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</si>
  <si>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</si>
  <si>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</si>
  <si>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</si>
  <si>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</si>
  <si>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</si>
  <si>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</si>
  <si>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</si>
  <si>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</si>
  <si>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</si>
  <si>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</si>
  <si>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</si>
  <si>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</si>
  <si>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</si>
  <si>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</si>
  <si>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</si>
  <si>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</si>
  <si>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</si>
  <si>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</si>
  <si>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</si>
  <si>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</si>
  <si>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</si>
  <si>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</si>
  <si>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</si>
  <si>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</si>
  <si>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</si>
  <si>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</si>
  <si>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</si>
  <si>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</si>
  <si>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</si>
  <si>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</si>
  <si>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</si>
  <si>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</si>
  <si>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</si>
  <si>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</si>
  <si>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</si>
  <si>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</si>
  <si>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</si>
  <si>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</si>
  <si>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</si>
  <si>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</si>
  <si>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</si>
  <si>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</si>
  <si>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</si>
  <si>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</si>
  <si>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</si>
  <si>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</si>
  <si>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</si>
  <si>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</si>
  <si>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</si>
  <si>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</si>
  <si>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</si>
  <si>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</si>
  <si>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</si>
  <si>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</si>
  <si>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</si>
  <si>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</si>
  <si>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</si>
  <si>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</si>
  <si>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</si>
  <si>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</si>
  <si>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</si>
  <si>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</si>
  <si>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</si>
  <si>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</si>
  <si>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</si>
  <si>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</si>
  <si>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</si>
  <si>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</si>
  <si>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</si>
  <si>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</si>
  <si>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</si>
  <si>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</si>
  <si>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</si>
  <si>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</si>
  <si>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</si>
  <si>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</si>
  <si>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</si>
  <si>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</si>
  <si>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</si>
  <si>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</si>
  <si>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</si>
  <si>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</si>
  <si>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</si>
  <si>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</si>
  <si>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</si>
  <si>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</si>
  <si>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</si>
  <si>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</si>
  <si>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</si>
  <si>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</si>
  <si>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</si>
  <si>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</si>
  <si>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</si>
  <si>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</si>
  <si>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</si>
  <si>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</si>
  <si>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</si>
  <si>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</si>
  <si>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</si>
  <si>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</si>
  <si>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</si>
  <si>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</si>
  <si>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</si>
  <si>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</si>
  <si>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</si>
  <si>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</si>
  <si>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</si>
  <si>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</si>
  <si>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</si>
  <si>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</si>
  <si>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</si>
  <si>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</si>
  <si>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</si>
  <si>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</si>
  <si>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</si>
  <si>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</si>
  <si>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</si>
  <si>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</si>
  <si>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</si>
  <si>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</si>
  <si>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</si>
  <si>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</si>
  <si>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</si>
  <si>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</si>
  <si>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</si>
  <si>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</si>
  <si>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</si>
  <si>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</si>
  <si>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</si>
  <si>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</si>
  <si>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</si>
  <si>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</si>
  <si>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</si>
  <si>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</si>
  <si>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</si>
  <si>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</si>
  <si>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</si>
  <si>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</si>
  <si>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</si>
  <si>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</si>
  <si>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</si>
  <si>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</si>
  <si>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</si>
  <si>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</si>
  <si>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</si>
  <si>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</si>
  <si>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</si>
  <si>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</si>
  <si>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</si>
  <si>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</si>
  <si>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</si>
  <si>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</si>
  <si>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</si>
  <si>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</si>
  <si>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</si>
  <si>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</si>
  <si>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</si>
  <si>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</si>
  <si>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</si>
  <si>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</si>
  <si>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</si>
  <si>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</si>
  <si>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</si>
  <si>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</si>
  <si>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</si>
  <si>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</si>
  <si>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</si>
  <si>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</si>
  <si>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</si>
  <si>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</si>
  <si>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</si>
  <si>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</si>
  <si>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</si>
  <si>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</si>
  <si>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</si>
  <si>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</si>
  <si>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</si>
  <si>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</si>
  <si>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</si>
  <si>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</si>
  <si>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</si>
  <si>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</si>
  <si>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</si>
  <si>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</si>
  <si>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</si>
  <si>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</si>
  <si>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</si>
  <si>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</si>
  <si>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</si>
  <si>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</si>
  <si>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</si>
  <si>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</si>
  <si>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</si>
  <si>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</si>
  <si>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</si>
  <si>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</si>
  <si>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</si>
  <si>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</si>
  <si>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</si>
  <si>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</si>
  <si>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</si>
  <si>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</si>
  <si>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</si>
  <si>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</si>
  <si>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</si>
  <si>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</si>
  <si>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</si>
  <si>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</si>
  <si>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</si>
  <si>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</si>
  <si>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</si>
  <si>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</si>
  <si>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</si>
  <si>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</si>
  <si>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</si>
  <si>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</si>
  <si>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</si>
  <si>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</si>
  <si>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</si>
  <si>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</si>
  <si>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</si>
  <si>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</si>
  <si>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</si>
  <si>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</si>
  <si>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</si>
  <si>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</si>
  <si>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</si>
  <si>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</si>
  <si>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</si>
  <si>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</si>
  <si>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</si>
  <si>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</si>
  <si>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</si>
  <si>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</si>
  <si>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</si>
  <si>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</si>
  <si>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</si>
  <si>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</si>
  <si>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</si>
  <si>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</si>
  <si>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</si>
  <si>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</si>
  <si>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</si>
  <si>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</si>
  <si>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</si>
  <si>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</si>
  <si>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</si>
  <si>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</si>
  <si>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</si>
  <si>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</si>
  <si>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</si>
  <si>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</si>
  <si>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</si>
  <si>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</si>
  <si>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</si>
  <si>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</si>
  <si>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</si>
  <si>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</si>
  <si>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</si>
  <si>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</si>
  <si>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</si>
  <si>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</si>
  <si>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</si>
  <si>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</si>
  <si>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</si>
  <si>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</si>
  <si>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</si>
  <si>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</si>
  <si>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</si>
  <si>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</si>
  <si>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</si>
  <si>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</si>
  <si>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</si>
  <si>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</si>
  <si>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</si>
  <si>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</si>
  <si>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</si>
  <si>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</si>
  <si>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</si>
  <si>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</si>
  <si>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</si>
  <si>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</si>
  <si>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</si>
  <si>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</si>
  <si>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</si>
  <si>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</si>
  <si>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</si>
  <si>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</si>
  <si>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</si>
  <si>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</si>
  <si>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</si>
  <si>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</si>
  <si>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</si>
  <si>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</si>
  <si>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</si>
  <si>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</si>
  <si>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</si>
  <si>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</si>
  <si>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</si>
  <si>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</si>
  <si>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</si>
  <si>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</si>
  <si>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</si>
  <si>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</si>
  <si>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</si>
  <si>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</si>
  <si>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</si>
  <si>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</si>
  <si>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</si>
  <si>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</si>
  <si>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</si>
  <si>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</si>
  <si>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</si>
  <si>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</si>
  <si>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</si>
  <si>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</si>
  <si>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</si>
  <si>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</si>
  <si>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</si>
  <si>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</si>
  <si>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</si>
  <si>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</si>
  <si>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</si>
  <si>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</si>
  <si>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</si>
  <si>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</si>
  <si>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</si>
  <si>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</si>
  <si>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</si>
  <si>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</si>
  <si>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</si>
  <si>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</si>
  <si>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</si>
  <si>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</si>
  <si>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</si>
  <si>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</si>
  <si>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</si>
  <si>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</si>
  <si>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</si>
  <si>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</si>
  <si>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</si>
  <si>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</si>
  <si>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</si>
  <si>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</si>
  <si>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</si>
  <si>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</si>
  <si>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</si>
  <si>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</si>
  <si>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</si>
  <si>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</si>
  <si>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</si>
  <si>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</si>
  <si>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</si>
  <si>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</si>
  <si>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</si>
  <si>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</si>
  <si>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</si>
  <si>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</si>
  <si>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</si>
  <si>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</si>
  <si>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</si>
  <si>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</si>
  <si>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</si>
  <si>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</si>
  <si>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</si>
  <si>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</si>
  <si>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</si>
  <si>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</si>
  <si>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</si>
  <si>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</si>
  <si>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</si>
  <si>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</si>
  <si>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</si>
  <si>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</si>
  <si>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</si>
  <si>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</si>
  <si>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</si>
  <si>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</si>
  <si>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</si>
  <si>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</si>
  <si>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</si>
  <si>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</si>
  <si>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</si>
  <si>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</si>
  <si>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</si>
  <si>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</si>
  <si>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</si>
  <si>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</si>
  <si>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</si>
  <si>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</si>
  <si>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</si>
  <si>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</si>
  <si>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</si>
  <si>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</si>
  <si>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</si>
  <si>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</si>
  <si>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</si>
  <si>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</si>
  <si>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</si>
  <si>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</si>
  <si>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</si>
  <si>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</si>
  <si>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</si>
  <si>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</si>
  <si>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</si>
  <si>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</si>
  <si>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</si>
  <si>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</si>
  <si>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</si>
  <si>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</si>
  <si>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</si>
  <si>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</si>
  <si>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</si>
  <si>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</si>
  <si>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</si>
  <si>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</si>
  <si>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</si>
  <si>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</si>
  <si>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</si>
  <si>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</si>
  <si>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</si>
  <si>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</si>
  <si>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</si>
  <si>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</si>
  <si>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</si>
  <si>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</si>
  <si>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</si>
  <si>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</si>
  <si>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</si>
  <si>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</si>
  <si>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</si>
  <si>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</si>
  <si>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</si>
  <si>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</si>
  <si>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</si>
  <si>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</si>
  <si>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</si>
  <si>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</si>
  <si>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</si>
  <si>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</si>
  <si>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</si>
  <si>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</si>
  <si>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</si>
  <si>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</si>
  <si>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</si>
  <si>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</si>
  <si>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</si>
  <si>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</si>
  <si>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</si>
  <si>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</si>
  <si>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</si>
  <si>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</si>
  <si>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</si>
  <si>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</si>
  <si>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</si>
  <si>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</si>
  <si>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</si>
  <si>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</si>
  <si>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</si>
  <si>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</si>
  <si>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</si>
  <si>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</si>
  <si>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</si>
  <si>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</si>
  <si>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</si>
  <si>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</si>
  <si>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</si>
  <si>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</si>
  <si>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</si>
  <si>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</si>
  <si>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</si>
  <si>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</si>
  <si>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</si>
  <si>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</si>
  <si>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</si>
  <si>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</si>
  <si>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</si>
  <si>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</si>
  <si>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</si>
  <si>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</si>
  <si>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</si>
  <si>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</si>
  <si>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</si>
  <si>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</si>
  <si>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</si>
  <si>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</si>
  <si>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</si>
  <si>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</si>
  <si>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</si>
  <si>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</si>
  <si>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</si>
  <si>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</si>
  <si>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</si>
  <si>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</si>
  <si>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</si>
  <si>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</si>
  <si>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</si>
  <si>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</si>
  <si>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</si>
  <si>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</si>
  <si>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</si>
  <si>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</si>
  <si>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</si>
  <si>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</si>
  <si>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</si>
  <si>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</si>
  <si>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</si>
  <si>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</si>
  <si>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</si>
  <si>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</si>
  <si>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</si>
  <si>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</si>
  <si>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</si>
  <si>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</si>
  <si>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</si>
  <si>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</si>
  <si>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</si>
  <si>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</si>
  <si>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</si>
  <si>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</si>
  <si>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</si>
  <si>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</si>
  <si>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</si>
  <si>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</si>
  <si>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</si>
  <si>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</si>
  <si>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</si>
  <si>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</si>
  <si>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</si>
  <si>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</si>
  <si>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</si>
  <si>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</si>
  <si>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</si>
  <si>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</si>
  <si>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</si>
  <si>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</si>
  <si>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</si>
  <si>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</si>
  <si>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</si>
  <si>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</si>
  <si>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</si>
  <si>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</si>
  <si>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</si>
  <si>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</si>
  <si>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</si>
  <si>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</si>
  <si>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</si>
  <si>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</si>
  <si>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</si>
  <si>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</si>
  <si>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</si>
  <si>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</si>
  <si>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</si>
  <si>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</si>
  <si>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</si>
  <si>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</si>
  <si>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</si>
  <si>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</si>
  <si>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</si>
  <si>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</si>
  <si>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</si>
  <si>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</si>
  <si>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</si>
  <si>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</si>
  <si>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</si>
  <si>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</si>
  <si>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</si>
  <si>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</si>
  <si>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</si>
  <si>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</si>
  <si>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</si>
  <si>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</si>
  <si>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</si>
  <si>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</si>
  <si>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</si>
  <si>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</si>
  <si>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</si>
  <si>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</si>
  <si>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</si>
  <si>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</si>
  <si>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</si>
  <si>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</si>
  <si>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</si>
  <si>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</si>
  <si>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</si>
  <si>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</si>
  <si>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</si>
  <si>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</si>
  <si>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</si>
  <si>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</si>
  <si>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</si>
  <si>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</si>
  <si>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</si>
  <si>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</si>
  <si>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</si>
  <si>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</si>
  <si>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</si>
  <si>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</si>
  <si>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</si>
  <si>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</si>
  <si>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</si>
  <si>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</si>
  <si>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</si>
  <si>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</si>
  <si>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</si>
  <si>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</si>
  <si>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</si>
  <si>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</si>
  <si>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</si>
  <si>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</si>
  <si>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</si>
  <si>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</si>
  <si>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</si>
  <si>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</si>
  <si>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</si>
  <si>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</si>
  <si>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</si>
  <si>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</si>
  <si>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</si>
  <si>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</si>
  <si>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</si>
  <si>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</si>
  <si>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</si>
  <si>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</si>
  <si>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</si>
  <si>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</si>
  <si>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</si>
  <si>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</si>
  <si>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</si>
  <si>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</si>
  <si>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</si>
  <si>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</si>
  <si>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</si>
  <si>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</si>
  <si>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</si>
  <si>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</si>
  <si>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</si>
  <si>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</si>
  <si>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</si>
  <si>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</si>
  <si>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</si>
  <si>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</si>
  <si>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</si>
  <si>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</si>
  <si>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</si>
  <si>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</si>
  <si>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</si>
  <si>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</si>
  <si>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</si>
  <si>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</si>
  <si>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</si>
  <si>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</si>
  <si>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</si>
  <si>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</si>
  <si>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</si>
  <si>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</si>
  <si>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</si>
  <si>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</si>
  <si>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</si>
  <si>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</si>
  <si>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</si>
  <si>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</si>
  <si>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</si>
  <si>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</si>
  <si>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</si>
  <si>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</si>
  <si>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</si>
  <si>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</si>
  <si>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</si>
  <si>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</si>
  <si>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</si>
  <si>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</si>
  <si>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</si>
  <si>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</si>
  <si>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</si>
  <si>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</si>
  <si>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</si>
  <si>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</si>
  <si>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</si>
  <si>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</si>
  <si>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</si>
  <si>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</si>
  <si>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</si>
  <si>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</si>
  <si>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</si>
  <si>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</si>
  <si>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</si>
  <si>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</si>
  <si>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</si>
  <si>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</si>
  <si>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</si>
  <si>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</si>
  <si>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</si>
  <si>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</si>
  <si>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</si>
  <si>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</si>
  <si>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</si>
  <si>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</si>
  <si>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</si>
  <si>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</si>
  <si>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</si>
  <si>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</si>
  <si>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</si>
  <si>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</si>
  <si>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</si>
  <si>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</si>
  <si>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</si>
  <si>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</si>
  <si>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</si>
  <si>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</si>
  <si>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</si>
  <si>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</si>
  <si>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</si>
  <si>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</si>
  <si>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</si>
  <si>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</si>
  <si>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</si>
  <si>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</si>
  <si>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</si>
  <si>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</si>
  <si>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</si>
  <si>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</si>
  <si>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</si>
  <si>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</si>
  <si>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</si>
  <si>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</si>
  <si>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</si>
  <si>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</si>
  <si>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</si>
  <si>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</si>
  <si>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</si>
  <si>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</si>
  <si>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</si>
  <si>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</si>
  <si>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</si>
  <si>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</si>
  <si>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</si>
  <si>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</si>
  <si>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</si>
  <si>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</si>
  <si>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</si>
  <si>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</si>
  <si>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</si>
  <si>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</si>
  <si>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</si>
  <si>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</si>
  <si>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</si>
  <si>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</si>
  <si>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</si>
  <si>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</si>
  <si>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</si>
  <si>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</si>
  <si>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</si>
  <si>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</si>
  <si>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</si>
  <si>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</si>
  <si>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</si>
  <si>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</si>
  <si>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</si>
  <si>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</si>
  <si>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</si>
  <si>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</si>
  <si>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</si>
  <si>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</si>
  <si>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</si>
  <si>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</si>
  <si>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</si>
  <si>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</si>
  <si>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</si>
  <si>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</si>
  <si>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</si>
  <si>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</si>
  <si>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</si>
  <si>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</si>
  <si>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</si>
  <si>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</si>
  <si>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</si>
  <si>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</si>
  <si>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</si>
  <si>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</si>
  <si>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</si>
  <si>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</si>
  <si>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</si>
  <si>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</si>
  <si>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</si>
  <si>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</si>
  <si>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</si>
  <si>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</si>
  <si>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</si>
  <si>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</si>
  <si>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</si>
  <si>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</si>
  <si>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</si>
  <si>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</si>
  <si>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</si>
  <si>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</si>
  <si>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</si>
  <si>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</si>
  <si>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</si>
  <si>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</si>
  <si>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</si>
  <si>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</si>
  <si>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</si>
  <si>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</si>
  <si>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</si>
  <si>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</si>
  <si>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</si>
  <si>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</si>
  <si>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</si>
  <si>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</si>
  <si>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</si>
  <si>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</si>
  <si>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</si>
  <si>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</si>
  <si>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</si>
  <si>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</si>
  <si>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</si>
  <si>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</si>
  <si>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</si>
  <si>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</si>
  <si>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</si>
  <si>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</si>
  <si>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</si>
  <si>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</si>
  <si>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</si>
  <si>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</si>
  <si>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</si>
  <si>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</si>
  <si>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</si>
  <si>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</si>
  <si>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</si>
  <si>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</si>
  <si>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</si>
  <si>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</si>
  <si>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</si>
  <si>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</si>
  <si>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</si>
  <si>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</si>
  <si>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</si>
  <si>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</si>
  <si>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</si>
  <si>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</si>
  <si>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</si>
  <si>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</si>
  <si>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</si>
  <si>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</si>
  <si>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</si>
  <si>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</si>
  <si>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</si>
  <si>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</si>
  <si>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</si>
  <si>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</si>
  <si>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</si>
  <si>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</si>
  <si>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</si>
  <si>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</si>
  <si>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</si>
  <si>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</si>
  <si>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</si>
  <si>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</si>
  <si>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</si>
  <si>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</si>
  <si>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</si>
  <si>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</si>
  <si>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</si>
  <si>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</si>
  <si>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</si>
  <si>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</si>
  <si>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</si>
  <si>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</si>
  <si>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</si>
  <si>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</si>
  <si>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</si>
  <si>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</si>
  <si>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</si>
  <si>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</si>
  <si>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</si>
  <si>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</si>
  <si>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</si>
  <si>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</si>
  <si>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</si>
  <si>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</si>
  <si>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</si>
  <si>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</si>
  <si>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</si>
  <si>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</si>
  <si>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</si>
  <si>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</si>
  <si>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</si>
  <si>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</si>
  <si>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</si>
  <si>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</si>
  <si>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</si>
  <si>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</si>
  <si>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</si>
  <si>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</si>
  <si>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</si>
  <si>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</si>
  <si>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</si>
  <si>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</si>
  <si>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</si>
  <si>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</si>
  <si>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</si>
  <si>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</si>
  <si>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</si>
  <si>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</si>
  <si>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</si>
  <si>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</si>
  <si>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</si>
  <si>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</si>
  <si>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</si>
  <si>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</si>
  <si>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</si>
  <si>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</si>
  <si>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</si>
  <si>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</si>
  <si>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</si>
  <si>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</si>
  <si>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</si>
  <si>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</si>
  <si>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</si>
  <si>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</si>
  <si>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</si>
  <si>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</si>
  <si>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</si>
  <si>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</si>
  <si>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</si>
  <si>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</si>
  <si>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</si>
  <si>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</si>
  <si>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</si>
  <si>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</si>
  <si>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</si>
  <si>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</si>
  <si>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</si>
  <si>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</si>
  <si>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</si>
  <si>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</si>
  <si>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</si>
  <si>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</si>
  <si>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</si>
  <si>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</si>
  <si>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</si>
  <si>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</si>
  <si>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</si>
  <si>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</si>
  <si>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</si>
  <si>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</si>
  <si>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</si>
  <si>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</si>
  <si>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</si>
  <si>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</si>
  <si>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</si>
  <si>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</si>
  <si>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</si>
  <si>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</si>
  <si>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</si>
  <si>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</si>
  <si>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</si>
  <si>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</si>
  <si>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</si>
  <si>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</si>
  <si>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</si>
  <si>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</si>
  <si>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</si>
  <si>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</si>
  <si>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</si>
  <si>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</si>
  <si>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</si>
  <si>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</si>
  <si>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</si>
  <si>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</si>
  <si>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</si>
  <si>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</si>
  <si>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</si>
  <si>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</si>
  <si>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</si>
  <si>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</si>
  <si>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</si>
  <si>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</si>
  <si>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</si>
  <si>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</si>
  <si>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</si>
  <si>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</si>
  <si>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</si>
  <si>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</si>
  <si>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</si>
  <si>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</si>
  <si>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</si>
  <si>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</si>
  <si>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</si>
  <si>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</si>
  <si>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</si>
  <si>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</si>
  <si>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</si>
  <si>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</si>
  <si>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</si>
  <si>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</si>
  <si>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</si>
  <si>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</si>
  <si>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</si>
  <si>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</si>
  <si>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</si>
  <si>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</si>
  <si>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</si>
  <si>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</si>
  <si>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</si>
  <si>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</si>
  <si>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</si>
  <si>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</si>
  <si>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</si>
  <si>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</si>
  <si>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</si>
  <si>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</si>
  <si>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</si>
  <si>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</si>
  <si>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</si>
  <si>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</si>
  <si>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</si>
  <si>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</si>
  <si>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</si>
  <si>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</si>
  <si>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</si>
  <si>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</si>
  <si>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</si>
  <si>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</si>
  <si>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</si>
  <si>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</si>
  <si>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</si>
  <si>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</si>
  <si>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</si>
  <si>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</si>
  <si>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</si>
  <si>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</si>
  <si>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</si>
  <si>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</si>
  <si>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</si>
  <si>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</si>
  <si>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</si>
  <si>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</si>
  <si>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</si>
  <si>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</si>
  <si>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</si>
  <si>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</si>
  <si>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</si>
  <si>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</si>
  <si>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</si>
  <si>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</si>
  <si>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</si>
  <si>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</si>
  <si>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</si>
  <si>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</si>
  <si>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</si>
  <si>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</si>
  <si>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</si>
  <si>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</si>
  <si>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</si>
  <si>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</si>
  <si>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</si>
  <si>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</si>
  <si>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</si>
  <si>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</si>
  <si>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</si>
  <si>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</si>
  <si>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</si>
  <si>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</si>
  <si>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</si>
  <si>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</si>
  <si>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</si>
  <si>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</si>
  <si>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</si>
  <si>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</si>
  <si>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</si>
  <si>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</si>
  <si>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</si>
  <si>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</si>
  <si>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</si>
  <si>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</si>
  <si>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</si>
  <si>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</si>
  <si>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</si>
  <si>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</si>
  <si>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</si>
  <si>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</si>
  <si>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</si>
  <si>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</si>
  <si>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</si>
  <si>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</si>
  <si>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</si>
  <si>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</si>
  <si>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</si>
  <si>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</si>
  <si>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</si>
  <si>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</si>
  <si>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</si>
  <si>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</si>
  <si>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</si>
  <si>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</si>
  <si>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</si>
  <si>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</si>
  <si>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</si>
  <si>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</si>
  <si>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</si>
  <si>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</si>
  <si>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</si>
  <si>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</si>
  <si>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</si>
  <si>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</si>
  <si>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</si>
  <si>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</si>
  <si>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</si>
  <si>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</si>
  <si>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</si>
  <si>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</si>
  <si>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</si>
  <si>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</si>
  <si>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</si>
  <si>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</si>
  <si>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</si>
  <si>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</si>
  <si>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</si>
  <si>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</si>
  <si>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</si>
  <si>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</si>
  <si>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</si>
  <si>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</si>
  <si>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</si>
  <si>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</si>
  <si>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</si>
  <si>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</si>
  <si>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</si>
  <si>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</si>
  <si>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</si>
  <si>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</si>
  <si>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</si>
  <si>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</si>
  <si>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</si>
  <si>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</si>
  <si>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</si>
  <si>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</si>
  <si>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</si>
  <si>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</si>
  <si>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</si>
  <si>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</si>
  <si>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</si>
  <si>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</si>
  <si>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</si>
  <si>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</si>
  <si>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</si>
  <si>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</si>
  <si>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</si>
  <si>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</si>
  <si>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</si>
  <si>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</si>
  <si>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</si>
  <si>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</si>
  <si>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</si>
  <si>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</si>
  <si>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</si>
  <si>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</si>
  <si>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</si>
  <si>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</si>
  <si>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</si>
  <si>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</si>
  <si>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</si>
  <si>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</si>
  <si>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</si>
  <si>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</si>
  <si>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</si>
  <si>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</si>
  <si>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</si>
  <si>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</si>
  <si>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</si>
  <si>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</si>
  <si>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</si>
  <si>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</si>
  <si>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</si>
  <si>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</si>
  <si>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</si>
  <si>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</si>
  <si>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</si>
  <si>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</si>
  <si>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</si>
  <si>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</si>
  <si>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</si>
  <si>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</si>
  <si>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</si>
  <si>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</si>
  <si>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</si>
  <si>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</si>
  <si>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</si>
  <si>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</si>
  <si>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</si>
  <si>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</si>
  <si>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</si>
  <si>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</si>
  <si>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</si>
  <si>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</si>
  <si>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</si>
  <si>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</si>
  <si>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</si>
  <si>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</si>
  <si>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</si>
  <si>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</si>
  <si>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</si>
  <si>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</si>
  <si>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</si>
  <si>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</si>
  <si>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</si>
  <si>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</si>
  <si>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</si>
  <si>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</si>
  <si>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</si>
  <si>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</si>
  <si>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</si>
  <si>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</si>
  <si>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</si>
  <si>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</si>
  <si>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</si>
  <si>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</si>
  <si>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</si>
  <si>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</si>
  <si>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</si>
  <si>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</si>
  <si>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</si>
  <si>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</si>
  <si>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</si>
  <si>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</si>
  <si>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</si>
  <si>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</si>
  <si>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</si>
  <si>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</si>
  <si>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</si>
  <si>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</si>
  <si>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</si>
  <si>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</si>
  <si>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</si>
  <si>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</si>
  <si>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</si>
  <si>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</si>
  <si>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</si>
  <si>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</si>
  <si>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</si>
  <si>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</si>
  <si>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</si>
  <si>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</si>
  <si>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</si>
  <si>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</si>
  <si>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</si>
  <si>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</si>
  <si>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</si>
  <si>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</si>
  <si>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</si>
  <si>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</si>
  <si>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</si>
  <si>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</si>
  <si>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</si>
  <si>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</si>
  <si>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</si>
  <si>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</si>
  <si>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</si>
  <si>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</si>
  <si>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</si>
  <si>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</si>
  <si>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</si>
  <si>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</si>
  <si>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</si>
  <si>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</si>
  <si>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</si>
  <si>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</si>
  <si>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</si>
  <si>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</si>
  <si>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</si>
  <si>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</si>
  <si>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</si>
  <si>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</si>
  <si>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</si>
  <si>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</si>
  <si>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</si>
  <si>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</si>
  <si>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</si>
  <si>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</si>
  <si>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</si>
  <si>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</si>
  <si>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</si>
  <si>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</si>
  <si>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</si>
  <si>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</si>
  <si>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</si>
  <si>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</si>
  <si>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</si>
  <si>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</si>
  <si>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</si>
  <si>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</si>
  <si>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</si>
  <si>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</si>
  <si>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</si>
  <si>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</si>
  <si>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</si>
  <si>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</si>
  <si>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</si>
  <si>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</si>
  <si>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</si>
  <si>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</si>
  <si>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</si>
  <si>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</si>
  <si>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</si>
  <si>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</si>
  <si>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</si>
  <si>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</si>
  <si>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</si>
  <si>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</si>
  <si>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</si>
  <si>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</si>
  <si>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</si>
  <si>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</si>
  <si>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</si>
  <si>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</si>
  <si>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</si>
  <si>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</si>
  <si>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</si>
  <si>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</si>
  <si>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</si>
  <si>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</si>
  <si>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</si>
  <si>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</si>
  <si>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</si>
  <si>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</si>
  <si>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</si>
  <si>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</si>
  <si>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</si>
  <si>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</si>
  <si>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</si>
  <si>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</si>
  <si>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</si>
  <si>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</si>
  <si>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</si>
  <si>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</si>
  <si>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</si>
  <si>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</si>
  <si>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</si>
  <si>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</si>
  <si>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</si>
  <si>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</si>
  <si>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</si>
  <si>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</si>
  <si>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</si>
  <si>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</si>
  <si>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</si>
  <si>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</si>
  <si>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</si>
  <si>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</si>
  <si>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</si>
  <si>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</si>
  <si>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</si>
  <si>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</si>
  <si>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</si>
  <si>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</si>
  <si>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</si>
  <si>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</si>
  <si>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</si>
  <si>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</si>
  <si>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</si>
  <si>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</si>
  <si>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</si>
  <si>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</si>
  <si>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</si>
  <si>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</si>
  <si>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</si>
  <si>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</si>
  <si>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</si>
  <si>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</si>
  <si>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</si>
  <si>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</si>
  <si>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</si>
  <si>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</si>
  <si>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</si>
  <si>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</si>
  <si>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</si>
  <si>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</si>
  <si>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</si>
  <si>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</si>
  <si>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</si>
  <si>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</si>
  <si>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</si>
  <si>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</si>
  <si>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</si>
  <si>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</si>
  <si>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</si>
  <si>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</si>
  <si>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</si>
  <si>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</si>
  <si>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</si>
  <si>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</si>
  <si>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</si>
  <si>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</si>
  <si>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</si>
  <si>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</si>
  <si>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</si>
  <si>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</si>
  <si>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</si>
  <si>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</si>
  <si>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</si>
  <si>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</si>
  <si>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</si>
  <si>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</si>
  <si>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</si>
  <si>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</si>
  <si>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</si>
  <si>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</si>
  <si>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</si>
  <si>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</si>
  <si>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</si>
  <si>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</si>
  <si>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</si>
  <si>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</si>
  <si>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</si>
  <si>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</si>
  <si>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</si>
  <si>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</si>
  <si>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</si>
  <si>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</si>
  <si>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</si>
  <si>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</si>
  <si>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</si>
  <si>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</si>
  <si>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</si>
  <si>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</si>
  <si>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</si>
  <si>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</si>
  <si>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</si>
  <si>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</si>
  <si>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</si>
  <si>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</si>
  <si>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</si>
  <si>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</si>
  <si>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</si>
  <si>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</si>
  <si>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</si>
  <si>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</si>
  <si>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</si>
  <si>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</si>
  <si>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</si>
  <si>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</si>
  <si>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</si>
  <si>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</si>
  <si>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</si>
  <si>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</si>
  <si>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</si>
  <si>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</si>
  <si>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</si>
  <si>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</si>
  <si>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</si>
  <si>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</si>
  <si>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</si>
  <si>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</si>
  <si>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</si>
  <si>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</si>
  <si>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</si>
  <si>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</si>
  <si>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</si>
  <si>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</si>
  <si>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</si>
  <si>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</si>
  <si>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</si>
  <si>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</si>
  <si>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</si>
  <si>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</si>
  <si>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</si>
  <si>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</si>
  <si>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</si>
  <si>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</si>
  <si>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</si>
  <si>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</si>
  <si>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</si>
  <si>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</si>
  <si>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</si>
  <si>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</si>
  <si>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</si>
  <si>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</si>
  <si>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</si>
  <si>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</si>
  <si>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</si>
  <si>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</si>
  <si>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</si>
  <si>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</si>
  <si>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</si>
  <si>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</si>
  <si>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</si>
  <si>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</si>
  <si>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</si>
  <si>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</si>
  <si>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</si>
  <si>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</si>
  <si>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</si>
  <si>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</si>
  <si>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</si>
  <si>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</si>
  <si>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</si>
  <si>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</si>
  <si>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</si>
  <si>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</si>
  <si>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</si>
  <si>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</si>
  <si>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</si>
  <si>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</si>
  <si>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</si>
  <si>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</si>
  <si>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</si>
  <si>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</si>
  <si>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</si>
  <si>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</si>
  <si>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</si>
  <si>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</si>
  <si>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</si>
  <si>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</si>
  <si>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</si>
  <si>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</si>
  <si>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</si>
  <si>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</si>
  <si>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</si>
  <si>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</si>
  <si>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</si>
  <si>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</si>
  <si>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</si>
  <si>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</si>
  <si>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</si>
  <si>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</si>
  <si>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</si>
  <si>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</si>
  <si>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</si>
  <si>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</si>
  <si>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</si>
  <si>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</si>
  <si>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</si>
  <si>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</si>
  <si>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</si>
  <si>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</si>
  <si>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</si>
  <si>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</si>
  <si>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</si>
  <si>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</si>
  <si>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</si>
  <si>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</si>
  <si>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</si>
  <si>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</si>
  <si>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</si>
  <si>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</si>
  <si>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</si>
  <si>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</si>
  <si>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</si>
  <si>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</si>
  <si>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</si>
  <si>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</si>
  <si>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</si>
  <si>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</si>
  <si>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</si>
  <si>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</si>
  <si>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</si>
  <si>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</si>
  <si>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</si>
  <si>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</si>
  <si>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</si>
  <si>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</si>
  <si>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</si>
  <si>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</si>
  <si>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</si>
  <si>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</si>
  <si>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</si>
  <si>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</si>
  <si>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</si>
  <si>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</si>
  <si>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</si>
  <si>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</si>
  <si>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</si>
  <si>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</si>
  <si>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</si>
  <si>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</si>
  <si>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</si>
  <si>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</si>
  <si>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</si>
  <si>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</si>
  <si>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</si>
  <si>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</si>
  <si>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</si>
  <si>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</si>
  <si>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</si>
  <si>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</si>
  <si>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</si>
  <si>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</si>
  <si>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</si>
  <si>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</si>
  <si>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</si>
  <si>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</si>
  <si>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</si>
  <si>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</si>
  <si>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</si>
  <si>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</si>
  <si>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</si>
  <si>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</si>
  <si>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</si>
  <si>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</si>
  <si>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</si>
  <si>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</si>
  <si>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</si>
  <si>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</si>
  <si>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</si>
  <si>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</si>
  <si>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</si>
  <si>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</si>
  <si>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</si>
  <si>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</si>
  <si>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</si>
  <si>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</si>
  <si>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</si>
  <si>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</si>
  <si>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</si>
  <si>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</si>
  <si>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</si>
  <si>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</si>
  <si>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</si>
  <si>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</si>
  <si>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</si>
  <si>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</si>
  <si>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</si>
  <si>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</si>
  <si>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</si>
  <si>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</si>
  <si>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</si>
  <si>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</si>
  <si>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</si>
  <si>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</si>
  <si>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</si>
  <si>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</si>
  <si>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</si>
  <si>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</si>
  <si>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</si>
  <si>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</si>
  <si>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</si>
  <si>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</si>
  <si>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</si>
  <si>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</si>
  <si>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</si>
  <si>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</si>
  <si>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</si>
  <si>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</si>
  <si>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</si>
  <si>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</si>
  <si>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</si>
  <si>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</si>
  <si>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</si>
  <si>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</si>
  <si>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</si>
  <si>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</si>
  <si>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</si>
  <si>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</si>
  <si>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</si>
  <si>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</si>
  <si>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</si>
  <si>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</si>
  <si>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</si>
  <si>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</si>
  <si>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</si>
  <si>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</si>
  <si>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</si>
  <si>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</si>
  <si>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</si>
  <si>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</si>
  <si>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</si>
  <si>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</si>
  <si>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</si>
  <si>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</si>
  <si>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</si>
  <si>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</si>
  <si>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</si>
  <si>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</si>
  <si>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</si>
  <si>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</si>
  <si>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</si>
  <si>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</si>
  <si>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</si>
  <si>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</si>
  <si>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</si>
  <si>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</si>
  <si>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</si>
  <si>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</si>
  <si>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</si>
  <si>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</si>
  <si>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</si>
  <si>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</si>
  <si>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</si>
  <si>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</si>
  <si>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</si>
  <si>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</si>
  <si>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</si>
  <si>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</si>
  <si>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</si>
  <si>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</si>
  <si>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</si>
  <si>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</si>
  <si>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</si>
  <si>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</si>
  <si>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</si>
  <si>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</si>
  <si>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</si>
  <si>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</si>
  <si>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</si>
  <si>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</si>
  <si>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</si>
  <si>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</si>
  <si>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</si>
  <si>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</si>
  <si>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</si>
  <si>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</si>
  <si>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</si>
  <si>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</si>
  <si>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</si>
  <si>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</si>
  <si>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</si>
  <si>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</si>
  <si>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</si>
  <si>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</si>
  <si>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</si>
  <si>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</si>
  <si>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</si>
  <si>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</si>
  <si>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</si>
  <si>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</si>
  <si>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</si>
  <si>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</si>
  <si>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</si>
  <si>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</si>
  <si>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</si>
  <si>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</si>
  <si>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</si>
  <si>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</si>
  <si>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</si>
  <si>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</si>
  <si>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</si>
  <si>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</si>
  <si>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</si>
  <si>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</si>
  <si>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</si>
  <si>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</si>
  <si>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</si>
  <si>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</si>
  <si>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</si>
  <si>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</si>
  <si>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</si>
  <si>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</si>
  <si>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</si>
  <si>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</si>
  <si>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</si>
  <si>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</si>
  <si>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</si>
  <si>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</si>
  <si>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</si>
  <si>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</si>
  <si>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</si>
  <si>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</si>
  <si>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</si>
  <si>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</si>
  <si>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</si>
  <si>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</si>
  <si>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</si>
  <si>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</si>
  <si>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</si>
  <si>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</si>
  <si>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</si>
  <si>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</si>
  <si>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</si>
  <si>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</si>
  <si>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</si>
  <si>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</si>
  <si>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</si>
  <si>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</si>
  <si>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</si>
  <si>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</si>
  <si>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</si>
  <si>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</si>
  <si>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</si>
  <si>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</si>
  <si>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</si>
  <si>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</si>
  <si>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</si>
  <si>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</si>
  <si>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</si>
  <si>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</si>
  <si>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</si>
  <si>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</si>
  <si>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</si>
  <si>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</si>
  <si>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</si>
  <si>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</si>
  <si>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</si>
  <si>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</si>
  <si>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</si>
  <si>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</si>
  <si>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</si>
  <si>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</si>
  <si>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</si>
  <si>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</si>
  <si>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</si>
  <si>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</si>
  <si>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</si>
  <si>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</si>
  <si>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</si>
  <si>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</si>
  <si>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</si>
  <si>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</si>
  <si>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</si>
  <si>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</si>
  <si>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</si>
  <si>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</si>
  <si>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</si>
  <si>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</si>
  <si>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</si>
  <si>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</si>
  <si>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</si>
  <si>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</si>
  <si>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</si>
  <si>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</si>
  <si>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</si>
  <si>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</si>
  <si>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</si>
  <si>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</si>
  <si>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</si>
  <si>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</si>
  <si>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</si>
  <si>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</si>
  <si>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</si>
  <si>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</si>
  <si>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</si>
  <si>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</si>
  <si>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</si>
  <si>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</si>
  <si>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</si>
  <si>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</si>
  <si>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</si>
  <si>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</si>
  <si>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</si>
  <si>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</si>
  <si>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</si>
  <si>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</si>
  <si>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</si>
  <si>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</si>
  <si>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</si>
  <si>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</si>
  <si>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</si>
  <si>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</si>
  <si>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</si>
  <si>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</si>
  <si>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</si>
  <si>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</si>
  <si>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</si>
  <si>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</si>
  <si>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</si>
  <si>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</si>
  <si>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</si>
  <si>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</si>
  <si>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</si>
  <si>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</si>
  <si>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</si>
  <si>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</si>
  <si>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</si>
  <si>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</si>
  <si>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</si>
  <si>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</si>
  <si>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</si>
  <si>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</si>
  <si>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</si>
  <si>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</si>
  <si>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</si>
  <si>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</si>
  <si>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</si>
  <si>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</si>
  <si>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</si>
  <si>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</si>
  <si>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</si>
  <si>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</si>
  <si>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</si>
  <si>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</si>
  <si>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</si>
  <si>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</si>
  <si>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</si>
  <si>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</si>
  <si>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</si>
  <si>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</si>
  <si>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</si>
  <si>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</si>
  <si>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</si>
  <si>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</si>
  <si>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</si>
  <si>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</si>
  <si>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</si>
  <si>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</si>
  <si>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</si>
  <si>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</si>
  <si>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</si>
  <si>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</si>
  <si>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</si>
  <si>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</si>
  <si>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</si>
  <si>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</si>
  <si>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</si>
  <si>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</si>
  <si>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</si>
  <si>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</si>
  <si>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</si>
  <si>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</si>
  <si>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</si>
  <si>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</si>
  <si>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</si>
  <si>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</si>
  <si>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</si>
  <si>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</si>
  <si>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</si>
  <si>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</si>
  <si>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</si>
  <si>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</si>
  <si>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</si>
  <si>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</si>
  <si>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</si>
  <si>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</si>
  <si>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</si>
  <si>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</si>
  <si>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</si>
  <si>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</si>
  <si>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</si>
  <si>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</si>
  <si>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</si>
  <si>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</si>
  <si>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</si>
  <si>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</si>
  <si>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</si>
  <si>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</si>
  <si>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</si>
  <si>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</si>
  <si>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</si>
  <si>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</si>
  <si>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</si>
  <si>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</si>
  <si>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</si>
  <si>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</si>
  <si>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</si>
  <si>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</si>
  <si>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</si>
  <si>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</si>
  <si>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</si>
  <si>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</si>
  <si>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</si>
  <si>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</si>
  <si>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</si>
  <si>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</si>
  <si>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</si>
  <si>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</si>
  <si>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</si>
  <si>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</si>
  <si>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</si>
  <si>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</si>
  <si>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</si>
  <si>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</si>
  <si>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</si>
  <si>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</si>
  <si>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</si>
  <si>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</si>
  <si>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</si>
  <si>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</si>
  <si>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</si>
  <si>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</si>
  <si>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</si>
  <si>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</si>
  <si>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</si>
  <si>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</si>
  <si>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</si>
  <si>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</si>
  <si>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</si>
  <si>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</si>
  <si>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</si>
  <si>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</si>
  <si>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</si>
  <si>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</si>
  <si>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</si>
  <si>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</si>
  <si>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</si>
  <si>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</si>
  <si>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</si>
  <si>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</si>
  <si>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</si>
  <si>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</si>
  <si>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</si>
  <si>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</si>
  <si>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</si>
  <si>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</si>
  <si>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</si>
  <si>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</si>
  <si>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</si>
  <si>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</si>
  <si>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</si>
  <si>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</si>
  <si>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</si>
  <si>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</si>
  <si>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</si>
  <si>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</si>
  <si>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</si>
  <si>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</si>
  <si>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</si>
  <si>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</si>
  <si>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</si>
  <si>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</si>
  <si>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</si>
  <si>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</si>
  <si>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</si>
  <si>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</si>
  <si>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</si>
  <si>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</si>
  <si>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</si>
  <si>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</si>
  <si>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</si>
  <si>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</si>
  <si>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</si>
  <si>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</si>
  <si>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</si>
  <si>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</si>
  <si>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</si>
  <si>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</si>
  <si>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</si>
  <si>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</si>
  <si>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</si>
  <si>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</si>
  <si>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</si>
  <si>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</si>
  <si>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</si>
  <si>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</si>
  <si>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</si>
  <si>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</si>
  <si>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</si>
  <si>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</si>
  <si>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</si>
  <si>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</si>
  <si>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</si>
  <si>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</si>
  <si>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</si>
  <si>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</si>
  <si>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</si>
  <si>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</si>
  <si>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</si>
  <si>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</si>
  <si>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</si>
  <si>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</si>
  <si>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</si>
  <si>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</si>
  <si>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</si>
  <si>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</si>
  <si>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</si>
  <si>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</si>
  <si>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</si>
  <si>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</si>
  <si>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</si>
  <si>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</si>
  <si>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</si>
  <si>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</si>
  <si>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</si>
  <si>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</si>
  <si>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</si>
  <si>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</si>
  <si>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</si>
  <si>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</si>
  <si>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</si>
  <si>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</si>
  <si>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</si>
  <si>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</si>
  <si>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</si>
  <si>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</si>
  <si>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</si>
  <si>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</si>
  <si>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</si>
  <si>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</si>
  <si>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</si>
  <si>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</si>
  <si>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</si>
  <si>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</si>
  <si>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</si>
  <si>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</si>
  <si>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</si>
  <si>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</si>
  <si>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</si>
  <si>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</si>
  <si>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</si>
  <si>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</si>
  <si>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</si>
  <si>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</si>
  <si>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</si>
  <si>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</si>
  <si>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</si>
  <si>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</si>
  <si>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</si>
  <si>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</si>
  <si>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</si>
  <si>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</si>
  <si>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</si>
  <si>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</si>
  <si>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</si>
  <si>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</si>
  <si>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</si>
  <si>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</si>
  <si>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</si>
  <si>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</si>
  <si>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</si>
  <si>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</si>
  <si>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</si>
  <si>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</si>
  <si>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</si>
  <si>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</si>
  <si>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</si>
  <si>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</si>
  <si>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</si>
  <si>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</si>
  <si>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</si>
  <si>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</si>
  <si>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</si>
  <si>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</si>
  <si>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</si>
  <si>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</si>
  <si>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</si>
  <si>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</si>
  <si>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</si>
  <si>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</si>
  <si>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</si>
  <si>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</si>
  <si>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</si>
  <si>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</si>
  <si>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</si>
  <si>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</si>
  <si>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</si>
  <si>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</si>
  <si>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</si>
  <si>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</si>
  <si>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</si>
  <si>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</si>
  <si>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</si>
  <si>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</si>
  <si>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</si>
  <si>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</si>
  <si>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</si>
  <si>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</si>
  <si>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</si>
  <si>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</si>
  <si>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</si>
  <si>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</si>
  <si>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</si>
  <si>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</si>
  <si>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</si>
  <si>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</si>
  <si>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</si>
  <si>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</si>
  <si>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</si>
  <si>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</si>
  <si>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</si>
  <si>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</si>
  <si>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</si>
  <si>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</si>
  <si>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</si>
  <si>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</si>
  <si>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</si>
  <si>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</si>
  <si>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</si>
  <si>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</si>
  <si>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</si>
  <si>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</si>
  <si>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</si>
  <si>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</si>
  <si>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</si>
  <si>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</si>
  <si>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</si>
  <si>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</si>
  <si>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</si>
  <si>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</si>
  <si>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</si>
  <si>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</si>
  <si>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</si>
  <si>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</si>
  <si>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</si>
  <si>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</si>
  <si>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</si>
  <si>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</si>
  <si>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</si>
  <si>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</si>
  <si>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</si>
  <si>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</si>
  <si>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</si>
  <si>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</si>
  <si>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</si>
  <si>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</si>
  <si>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</si>
  <si>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</si>
  <si>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</si>
  <si>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</si>
  <si>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</si>
  <si>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</si>
  <si>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</si>
  <si>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</si>
  <si>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</si>
  <si>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</si>
  <si>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</si>
  <si>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</si>
  <si>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</si>
  <si>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</si>
  <si>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</si>
  <si>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</si>
  <si>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</si>
  <si>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</si>
  <si>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</si>
  <si>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</si>
  <si>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</si>
  <si>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</si>
  <si>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</si>
  <si>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</si>
  <si>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</si>
  <si>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</si>
  <si>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</si>
  <si>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</si>
  <si>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</si>
  <si>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</si>
  <si>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</si>
  <si>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</si>
  <si>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</si>
  <si>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</si>
  <si>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</si>
  <si>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</si>
  <si>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</si>
  <si>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</si>
  <si>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</si>
  <si>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</si>
  <si>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</si>
  <si>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</si>
  <si>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</si>
  <si>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</si>
  <si>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</si>
  <si>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</si>
  <si>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</si>
  <si>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</si>
  <si>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</si>
  <si>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</si>
  <si>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</si>
  <si>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</si>
  <si>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</si>
  <si>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</si>
  <si>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</si>
  <si>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</si>
  <si>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</si>
  <si>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</si>
  <si>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</si>
  <si>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</si>
  <si>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</si>
  <si>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</si>
  <si>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</si>
  <si>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</si>
  <si>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</si>
  <si>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</si>
  <si>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</si>
  <si>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</si>
  <si>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</si>
  <si>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</si>
  <si>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</si>
  <si>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</si>
  <si>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</si>
  <si>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</si>
  <si>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</si>
  <si>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</si>
  <si>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</si>
  <si>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</si>
  <si>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</si>
  <si>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</si>
  <si>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</si>
  <si>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</si>
  <si>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</si>
  <si>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</si>
  <si>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</si>
  <si>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</si>
  <si>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</si>
  <si>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</si>
  <si>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</si>
  <si>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</si>
  <si>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</si>
  <si>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</si>
  <si>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</si>
  <si>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</si>
  <si>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</si>
  <si>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</si>
  <si>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</si>
  <si>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</si>
  <si>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</si>
  <si>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</si>
  <si>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</si>
  <si>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</si>
  <si>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</si>
  <si>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</si>
  <si>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</si>
  <si>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</si>
  <si>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</si>
  <si>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</si>
  <si>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</si>
  <si>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</si>
  <si>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</si>
  <si>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</si>
  <si>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</si>
  <si>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</si>
  <si>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</si>
  <si>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</si>
  <si>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</si>
  <si>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</si>
  <si>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</si>
  <si>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</si>
  <si>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</si>
  <si>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</si>
  <si>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</si>
  <si>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</si>
  <si>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</si>
  <si>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</si>
  <si>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</si>
  <si>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</si>
  <si>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</si>
  <si>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</si>
  <si>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</si>
  <si>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</si>
  <si>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</si>
  <si>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</si>
  <si>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</si>
  <si>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</si>
  <si>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</si>
  <si>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</si>
  <si>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</si>
  <si>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</si>
  <si>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</si>
  <si>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</si>
  <si>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</si>
  <si>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</si>
  <si>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</si>
  <si>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</si>
  <si>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</si>
  <si>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</si>
  <si>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</si>
  <si>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</si>
  <si>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</si>
  <si>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</si>
  <si>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</si>
  <si>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</si>
  <si>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</si>
  <si>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</si>
  <si>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</si>
  <si>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</si>
  <si>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</si>
  <si>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</si>
  <si>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</si>
  <si>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</si>
  <si>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</si>
  <si>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</si>
  <si>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</si>
  <si>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</si>
  <si>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</si>
  <si>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</si>
  <si>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</si>
  <si>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</si>
  <si>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</si>
  <si>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</si>
  <si>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</si>
  <si>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</si>
  <si>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</si>
  <si>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</si>
  <si>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</si>
  <si>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</si>
  <si>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</si>
  <si>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</si>
  <si>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</si>
  <si>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</si>
  <si>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</si>
  <si>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</si>
  <si>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</si>
  <si>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</si>
  <si>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</si>
  <si>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</si>
  <si>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</si>
  <si>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</si>
  <si>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</si>
  <si>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</si>
  <si>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</si>
  <si>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</si>
  <si>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</si>
  <si>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</si>
  <si>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</si>
  <si>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</si>
  <si>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</si>
  <si>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</si>
  <si>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</si>
  <si>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</si>
  <si>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</si>
  <si>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</si>
  <si>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</si>
  <si>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</si>
  <si>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</si>
  <si>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</si>
  <si>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</si>
  <si>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</si>
  <si>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</si>
  <si>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</si>
  <si>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</si>
  <si>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</si>
  <si>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</si>
  <si>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</si>
  <si>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</si>
  <si>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</si>
  <si>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</si>
  <si>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</si>
  <si>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</si>
  <si>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</si>
  <si>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</si>
  <si>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</si>
  <si>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</si>
  <si>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</si>
  <si>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</si>
  <si>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</si>
  <si>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</si>
  <si>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</si>
  <si>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</si>
  <si>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</si>
  <si>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</si>
  <si>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</si>
  <si>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</si>
  <si>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</si>
  <si>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</si>
  <si>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</si>
  <si>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</si>
  <si>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</si>
  <si>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</si>
  <si>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</si>
  <si>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</si>
  <si>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</si>
  <si>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</si>
  <si>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</si>
  <si>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</si>
  <si>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</si>
  <si>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</si>
  <si>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</si>
  <si>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</si>
  <si>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</si>
  <si>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</si>
  <si>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</si>
  <si>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</si>
  <si>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</si>
  <si>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</si>
  <si>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</si>
  <si>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</si>
  <si>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</si>
  <si>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</si>
  <si>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</si>
  <si>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</si>
  <si>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</si>
  <si>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</si>
  <si>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</si>
  <si>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</si>
  <si>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</si>
  <si>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</si>
  <si>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</si>
  <si>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</si>
  <si>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</si>
  <si>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</si>
  <si>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</si>
  <si>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</si>
  <si>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</si>
  <si>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</si>
  <si>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</si>
  <si>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</si>
  <si>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</si>
  <si>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</si>
  <si>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</si>
  <si>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</si>
  <si>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</si>
  <si>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</si>
  <si>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</si>
  <si>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</si>
  <si>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</si>
  <si>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</si>
  <si>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</si>
  <si>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</si>
  <si>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</si>
  <si>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</si>
  <si>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</si>
  <si>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</si>
  <si>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</si>
  <si>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</si>
  <si>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</si>
  <si>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</si>
  <si>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</si>
  <si>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</si>
  <si>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</si>
  <si>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</si>
  <si>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</si>
  <si>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</si>
  <si>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</si>
  <si>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</si>
  <si>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</si>
  <si>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</si>
  <si>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</si>
  <si>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</si>
  <si>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</si>
  <si>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</si>
  <si>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</si>
  <si>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</si>
  <si>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</si>
  <si>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</si>
  <si>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</si>
  <si>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</si>
  <si>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</si>
  <si>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</si>
  <si>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</si>
  <si>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</si>
  <si>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</si>
  <si>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</si>
  <si>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</si>
  <si>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</si>
  <si>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</si>
  <si>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</si>
  <si>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</si>
  <si>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</si>
  <si>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</si>
  <si>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</si>
  <si>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</si>
  <si>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</si>
  <si>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</si>
  <si>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</si>
  <si>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</si>
  <si>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</si>
  <si>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</si>
  <si>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</si>
  <si>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</si>
  <si>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</si>
  <si>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</si>
  <si>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</si>
  <si>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</si>
  <si>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</si>
  <si>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</si>
  <si>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</si>
  <si>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</si>
  <si>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</si>
  <si>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</si>
  <si>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</si>
  <si>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</si>
  <si>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</si>
  <si>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</si>
  <si>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</si>
  <si>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</si>
  <si>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</si>
  <si>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</si>
  <si>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</si>
  <si>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</si>
  <si>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</si>
  <si>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</si>
  <si>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</si>
  <si>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</si>
  <si>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</si>
  <si>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</si>
  <si>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</si>
  <si>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</si>
  <si>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</si>
  <si>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</si>
  <si>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</si>
  <si>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</si>
  <si>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</si>
  <si>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</si>
  <si>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</si>
  <si>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</si>
  <si>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</si>
  <si>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</si>
  <si>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</si>
  <si>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</si>
  <si>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</si>
  <si>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</si>
  <si>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</si>
  <si>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</si>
  <si>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</si>
  <si>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</si>
  <si>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</si>
  <si>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</si>
  <si>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</si>
  <si>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</si>
  <si>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</si>
  <si>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</si>
  <si>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</si>
  <si>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</si>
  <si>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</si>
  <si>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</si>
  <si>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</si>
  <si>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</si>
  <si>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</si>
  <si>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</si>
  <si>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</si>
  <si>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</si>
  <si>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</si>
  <si>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</si>
  <si>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</si>
  <si>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</si>
  <si>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</si>
  <si>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</si>
  <si>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</si>
  <si>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</si>
  <si>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</si>
  <si>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</si>
  <si>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</si>
  <si>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</si>
  <si>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</si>
  <si>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</si>
  <si>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</si>
  <si>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</si>
  <si>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</si>
  <si>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</si>
  <si>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</si>
  <si>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</si>
  <si>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</si>
  <si>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</si>
  <si>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</si>
  <si>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</si>
  <si>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</si>
  <si>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</si>
  <si>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</si>
  <si>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</si>
  <si>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</si>
  <si>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</si>
  <si>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</si>
  <si>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</si>
  <si>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</si>
  <si>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</si>
  <si>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</si>
  <si>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</si>
  <si>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</si>
  <si>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</si>
  <si>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</si>
  <si>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</si>
  <si>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</si>
  <si>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</si>
  <si>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</si>
  <si>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</si>
  <si>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</si>
  <si>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</si>
  <si>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</si>
  <si>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</si>
  <si>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</si>
  <si>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</si>
  <si>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</si>
  <si>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</si>
  <si>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</si>
  <si>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</si>
  <si>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</si>
  <si>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</si>
  <si>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</si>
  <si>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</si>
  <si>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</si>
  <si>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</si>
  <si>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</si>
  <si>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</si>
  <si>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</si>
  <si>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</si>
  <si>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</si>
  <si>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</si>
  <si>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</si>
  <si>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</si>
  <si>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</si>
  <si>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</si>
  <si>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</si>
  <si>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</si>
  <si>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</si>
  <si>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</si>
  <si>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</si>
  <si>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</si>
  <si>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</si>
  <si>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</si>
  <si>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</si>
  <si>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</si>
  <si>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</si>
  <si>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</si>
  <si>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</si>
  <si>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</si>
  <si>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</si>
  <si>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</si>
  <si>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</si>
  <si>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</si>
  <si>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</si>
  <si>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</si>
  <si>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</si>
  <si>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</si>
  <si>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</si>
  <si>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</si>
  <si>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</si>
  <si>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</si>
  <si>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</si>
  <si>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</si>
  <si>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</si>
  <si>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</si>
  <si>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</si>
  <si>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</si>
  <si>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</si>
  <si>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30101804
72152909
95131600
24112800</t>
  </si>
  <si>
    <t>Fecha de Modificación  27/09/2022</t>
  </si>
  <si>
    <t>UNIDAD ADMINISTRATIVA ESPECIAL CUERPO OFICIAL DE BOMBEROS V.23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</si>
</sst>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03">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175" fontId="102" fillId="0" borderId="0" xfId="16" applyNumberFormat="1" applyFont="1" applyFill="1" applyAlignment="1">
      <alignment vertical="center" wrapText="1"/>
    </xf>
    <xf numFmtId="175" fontId="101" fillId="0" borderId="1" xfId="16" quotePrefix="1" applyNumberFormat="1" applyFont="1" applyFill="1" applyBorder="1" applyAlignment="1">
      <alignment horizontal="center"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5" fillId="0" borderId="0" xfId="0" applyFont="1"/>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2" fillId="0" borderId="1" xfId="9" applyFont="1" applyBorder="1" applyAlignment="1">
      <alignment horizontal="justify" vertical="center" wrapText="1"/>
    </xf>
    <xf numFmtId="0" fontId="102" fillId="0" borderId="1" xfId="15" applyFont="1" applyBorder="1" applyAlignment="1">
      <alignment horizontal="justify" vertical="center" wrapText="1"/>
    </xf>
    <xf numFmtId="0" fontId="101" fillId="0" borderId="1" xfId="9" applyFont="1" applyBorder="1" applyAlignment="1">
      <alignment horizontal="justify" vertical="center" wrapText="1"/>
    </xf>
    <xf numFmtId="0" fontId="101" fillId="0" borderId="0" xfId="0" applyFont="1"/>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1" fillId="0" borderId="7" xfId="15" applyFont="1" applyBorder="1" applyAlignment="1">
      <alignment vertical="center" wrapText="1"/>
    </xf>
    <xf numFmtId="0" fontId="101" fillId="0" borderId="7" xfId="9" applyFont="1" applyBorder="1" applyAlignment="1">
      <alignment vertical="center" wrapText="1"/>
    </xf>
    <xf numFmtId="179" fontId="101" fillId="0" borderId="7" xfId="0" applyNumberFormat="1" applyFont="1" applyBorder="1" applyAlignment="1" applyProtection="1">
      <alignment horizontal="center" vertical="center" wrapText="1"/>
      <protection locked="0"/>
    </xf>
    <xf numFmtId="1" fontId="101" fillId="0" borderId="7" xfId="0" applyNumberFormat="1" applyFont="1" applyBorder="1" applyAlignment="1">
      <alignment horizontal="center" vertical="center" wrapText="1"/>
    </xf>
    <xf numFmtId="0" fontId="101" fillId="0" borderId="13" xfId="0" applyFont="1" applyBorder="1" applyAlignment="1">
      <alignment horizontal="center" vertical="center" wrapText="1"/>
    </xf>
    <xf numFmtId="0" fontId="101" fillId="0" borderId="1" xfId="9" applyFont="1" applyBorder="1" applyAlignment="1">
      <alignment horizontal="left" vertical="top" wrapText="1"/>
    </xf>
    <xf numFmtId="0" fontId="101" fillId="0" borderId="1" xfId="15" applyFont="1" applyBorder="1" applyAlignment="1">
      <alignment vertical="center"/>
    </xf>
    <xf numFmtId="0" fontId="101"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xf numFmtId="0" fontId="102" fillId="37" borderId="0" xfId="0" applyFont="1" applyFill="1" applyAlignment="1">
      <alignment vertical="center" wrapText="1"/>
    </xf>
    <xf numFmtId="0" fontId="101" fillId="37" borderId="1" xfId="9" applyFont="1" applyFill="1" applyBorder="1" applyAlignment="1">
      <alignment horizontal="left" vertical="center" wrapText="1"/>
    </xf>
    <xf numFmtId="0" fontId="101" fillId="37" borderId="1" xfId="15"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2" fillId="37" borderId="1" xfId="15" applyFont="1" applyFill="1" applyBorder="1" applyAlignment="1">
      <alignment horizontal="justify" vertical="center" wrapText="1"/>
    </xf>
    <xf numFmtId="0" fontId="102" fillId="0" borderId="7" xfId="9" applyFont="1" applyBorder="1" applyAlignment="1">
      <alignment horizontal="justify" vertical="center" wrapText="1"/>
    </xf>
    <xf numFmtId="0" fontId="102" fillId="37" borderId="52" xfId="4" applyNumberFormat="1" applyFont="1" applyFill="1" applyBorder="1" applyAlignment="1">
      <alignment horizontal="center" vertical="center" wrapText="1"/>
    </xf>
    <xf numFmtId="0" fontId="101" fillId="37" borderId="1" xfId="9" applyFont="1" applyFill="1" applyBorder="1" applyAlignment="1">
      <alignment horizontal="justify" vertical="center" wrapText="1"/>
    </xf>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02" fillId="37" borderId="0" xfId="0" applyFont="1" applyFill="1" applyAlignment="1">
      <alignment vertical="center"/>
    </xf>
    <xf numFmtId="0" fontId="101" fillId="0" borderId="3" xfId="0" applyFont="1" applyBorder="1" applyAlignment="1">
      <alignment horizontal="center" vertical="center" wrapText="1"/>
    </xf>
    <xf numFmtId="0" fontId="100" fillId="0" borderId="3" xfId="0" applyFont="1" applyBorder="1" applyAlignment="1">
      <alignment horizontal="center" vertical="center" wrapText="1"/>
    </xf>
    <xf numFmtId="0" fontId="102" fillId="0" borderId="4" xfId="0" applyFont="1" applyBorder="1" applyAlignment="1">
      <alignment horizontal="center" wrapText="1"/>
    </xf>
    <xf numFmtId="179" fontId="102" fillId="0" borderId="24" xfId="0" applyNumberFormat="1" applyFont="1" applyBorder="1"/>
    <xf numFmtId="179" fontId="101" fillId="0" borderId="7" xfId="0" applyNumberFormat="1" applyFont="1" applyBorder="1" applyAlignment="1">
      <alignment horizontal="center" vertical="center" wrapText="1"/>
    </xf>
    <xf numFmtId="0" fontId="102" fillId="0" borderId="9" xfId="0" applyFont="1" applyBorder="1" applyAlignment="1">
      <alignment horizontal="center"/>
    </xf>
    <xf numFmtId="0" fontId="102" fillId="0" borderId="24" xfId="0" applyFont="1" applyBorder="1"/>
    <xf numFmtId="0" fontId="102" fillId="0" borderId="24" xfId="0" applyFont="1" applyBorder="1" applyAlignment="1">
      <alignment horizontal="center" wrapText="1"/>
    </xf>
    <xf numFmtId="175" fontId="101" fillId="0" borderId="7" xfId="0" applyNumberFormat="1" applyFont="1" applyBorder="1" applyAlignment="1">
      <alignment horizontal="center" vertical="center" wrapText="1"/>
    </xf>
    <xf numFmtId="0" fontId="101" fillId="37" borderId="1" xfId="9" applyFont="1" applyFill="1" applyBorder="1" applyAlignment="1">
      <alignment horizontal="center" vertical="center"/>
    </xf>
    <xf numFmtId="0" fontId="101" fillId="37" borderId="1" xfId="15" applyFont="1" applyFill="1" applyBorder="1" applyAlignment="1">
      <alignment horizontal="left" vertical="center" wrapText="1"/>
    </xf>
    <xf numFmtId="0" fontId="101" fillId="0" borderId="1" xfId="15" applyFont="1" applyFill="1" applyBorder="1" applyAlignment="1">
      <alignment vertical="center" wrapText="1"/>
    </xf>
    <xf numFmtId="0" fontId="101" fillId="0" borderId="1" xfId="9" applyFont="1" applyFill="1" applyBorder="1" applyAlignment="1">
      <alignment horizontal="center" vertical="center" wrapText="1"/>
    </xf>
    <xf numFmtId="0" fontId="101" fillId="0" borderId="1" xfId="9" applyFont="1" applyFill="1" applyBorder="1" applyAlignment="1">
      <alignment vertical="center" wrapText="1"/>
    </xf>
    <xf numFmtId="179" fontId="101" fillId="0" borderId="1" xfId="0" applyNumberFormat="1" applyFont="1" applyFill="1" applyBorder="1" applyAlignment="1" applyProtection="1">
      <alignment horizontal="center" vertical="center" wrapText="1"/>
      <protection locked="0"/>
    </xf>
    <xf numFmtId="0" fontId="101" fillId="0" borderId="1" xfId="0" applyFont="1" applyFill="1" applyBorder="1" applyAlignment="1">
      <alignment horizontal="center" vertical="center" wrapText="1"/>
    </xf>
    <xf numFmtId="1" fontId="101" fillId="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102" fillId="0" borderId="1" xfId="9" applyFont="1" applyFill="1" applyBorder="1" applyAlignment="1">
      <alignment horizontal="justify" vertical="center" wrapText="1"/>
    </xf>
    <xf numFmtId="0" fontId="102" fillId="0" borderId="0" xfId="0" applyFont="1" applyFill="1" applyAlignment="1">
      <alignment vertical="center" wrapText="1"/>
    </xf>
    <xf numFmtId="0" fontId="102" fillId="0" borderId="0" xfId="0" applyFont="1" applyFill="1"/>
    <xf numFmtId="0" fontId="102" fillId="0" borderId="0" xfId="0" applyFont="1" applyBorder="1"/>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26" fillId="0" borderId="7"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24" xfId="9" applyFont="1" applyBorder="1" applyAlignment="1">
      <alignment horizontal="center" vertical="center"/>
    </xf>
    <xf numFmtId="0" fontId="26" fillId="0" borderId="13"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wrapText="1"/>
    </xf>
    <xf numFmtId="0" fontId="25" fillId="0" borderId="1" xfId="9" applyFont="1" applyBorder="1" applyAlignment="1">
      <alignment horizontal="left"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26" xfId="9" applyFont="1" applyBorder="1" applyAlignment="1">
      <alignment horizontal="left" vertical="center" wrapText="1"/>
    </xf>
    <xf numFmtId="0" fontId="25" fillId="0" borderId="14" xfId="9" applyFont="1" applyBorder="1" applyAlignment="1">
      <alignment horizontal="left" vertical="center"/>
    </xf>
    <xf numFmtId="0" fontId="25" fillId="0" borderId="1" xfId="9" applyFont="1" applyBorder="1" applyAlignment="1">
      <alignment horizontal="left" vertical="center"/>
    </xf>
    <xf numFmtId="0" fontId="25" fillId="0" borderId="17" xfId="9" applyFont="1" applyBorder="1" applyAlignment="1">
      <alignment horizontal="left" vertical="center" wrapText="1"/>
    </xf>
    <xf numFmtId="0" fontId="26" fillId="0" borderId="42" xfId="9" applyFont="1" applyBorder="1" applyAlignment="1">
      <alignment horizontal="center" vertical="center"/>
    </xf>
    <xf numFmtId="0" fontId="26" fillId="0" borderId="42" xfId="9" applyFont="1" applyBorder="1" applyAlignment="1">
      <alignment horizontal="left" vertical="center"/>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 xfId="9" applyFont="1" applyBorder="1" applyAlignment="1">
      <alignment horizontal="center"/>
    </xf>
    <xf numFmtId="0" fontId="32" fillId="3" borderId="32" xfId="9" applyFont="1" applyFill="1" applyBorder="1" applyAlignment="1">
      <alignment horizontal="center" vertical="center" wrapText="1"/>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32" fillId="0" borderId="32" xfId="9" applyFont="1" applyBorder="1" applyAlignment="1">
      <alignment horizontal="center" vertical="center" wrapText="1"/>
    </xf>
    <xf numFmtId="0" fontId="25" fillId="0" borderId="13" xfId="9" applyFont="1" applyBorder="1" applyAlignment="1">
      <alignment horizontal="center"/>
    </xf>
    <xf numFmtId="0" fontId="25" fillId="0" borderId="13" xfId="9" applyFont="1" applyBorder="1" applyAlignment="1">
      <alignment horizontal="left" vertical="center" wrapText="1"/>
    </xf>
    <xf numFmtId="0" fontId="25" fillId="0" borderId="13" xfId="9" applyFont="1" applyBorder="1" applyAlignment="1">
      <alignment horizontal="left" vertical="center"/>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4">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family val="2"/>
        <scheme val="none"/>
      </font>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family val="2"/>
        <scheme val="none"/>
      </font>
    </dxf>
    <dxf>
      <fill>
        <patternFill>
          <fgColor indexed="64"/>
          <bgColor theme="0"/>
        </patternFill>
      </fill>
    </dxf>
    <dxf>
      <font>
        <b val="0"/>
        <i val="0"/>
        <strike val="0"/>
        <condense val="0"/>
        <extend val="0"/>
        <outline val="0"/>
        <shadow val="0"/>
        <u val="none"/>
        <vertAlign val="baseline"/>
        <sz val="12"/>
        <color auto="1"/>
        <name val="Tahoma"/>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family val="2"/>
        <scheme val="none"/>
      </font>
      <numFmt numFmtId="175" formatCode="_-&quot;$&quot;\ * #,##0_-;\-&quot;$&quot;\ * #,##0_-;_-&quot;$&quot;\ * &quot;-&quot;??_-;_-@_-"/>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family val="2"/>
        <scheme val="none"/>
      </font>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family val="2"/>
        <scheme val="none"/>
      </font>
      <numFmt numFmtId="17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family val="2"/>
        <scheme val="none"/>
      </font>
      <numFmt numFmtId="179" formatCode="d/mm/yyyy;@"/>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family val="2"/>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0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10" totalsRowCount="1" headerRowDxfId="43" dataDxfId="42" tableBorderDxfId="41">
  <autoFilter ref="A6:W1109" xr:uid="{00000000-0009-0000-0100-000003000000}"/>
  <sortState xmlns:xlrd2="http://schemas.microsoft.com/office/spreadsheetml/2017/richdata2" ref="A7:W1109">
    <sortCondition ref="A6:A1109"/>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12" dT="2022-08-08T16:53:12.33" personId="{A9171924-3C36-453C-8C19-B68B6C89FD45}" id="{92533C56-294F-49A0-B8C2-F7C065AE26D7}">
    <text>ANULACION</text>
  </threadedComment>
  <threadedComment ref="T469"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546875" defaultRowHeight="14.4" x14ac:dyDescent="0.3"/>
  <cols>
    <col min="1" max="1" width="30.44140625" bestFit="1" customWidth="1"/>
    <col min="2" max="2" width="27.6640625" bestFit="1" customWidth="1"/>
    <col min="3" max="3" width="20.6640625" bestFit="1" customWidth="1"/>
    <col min="4" max="4" width="39.109375" customWidth="1"/>
    <col min="5" max="5" width="44.44140625" customWidth="1"/>
    <col min="6" max="6" width="42.109375" customWidth="1"/>
    <col min="7" max="7" width="24.5546875" customWidth="1"/>
    <col min="8" max="8" width="19.33203125" customWidth="1"/>
    <col min="9" max="9" width="19.6640625" customWidth="1"/>
    <col min="10" max="13" width="20.33203125" customWidth="1"/>
    <col min="14" max="14" width="35.5546875" customWidth="1"/>
    <col min="15" max="15" width="33.6640625" style="1" customWidth="1"/>
    <col min="16" max="19" width="42.44140625" customWidth="1"/>
    <col min="20" max="20" width="30.44140625" customWidth="1"/>
    <col min="21" max="21" width="21.6640625" customWidth="1"/>
    <col min="22" max="22" width="22.33203125" bestFit="1" customWidth="1"/>
    <col min="23" max="23" width="23.5546875" customWidth="1"/>
    <col min="24" max="24" width="23" style="127" customWidth="1"/>
    <col min="25" max="25" width="27.109375" style="127" bestFit="1" customWidth="1"/>
    <col min="26" max="26" width="24.109375" style="129" customWidth="1"/>
    <col min="27" max="27" width="11.5546875" style="128" bestFit="1" customWidth="1"/>
    <col min="28" max="28" width="28" bestFit="1" customWidth="1"/>
    <col min="29" max="29" width="21.44140625" style="130" customWidth="1"/>
    <col min="43" max="43" width="19.88671875" bestFit="1" customWidth="1"/>
    <col min="44" max="44" width="18.5546875" bestFit="1" customWidth="1"/>
    <col min="45" max="45" width="11.5546875" bestFit="1" customWidth="1"/>
  </cols>
  <sheetData>
    <row r="3" spans="1:29" s="1" customFormat="1" ht="35.25" customHeight="1" x14ac:dyDescent="0.35">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3">
      <c r="F4" s="8"/>
      <c r="G4" s="8"/>
      <c r="H4" s="8"/>
      <c r="I4" s="8"/>
      <c r="J4" s="14"/>
      <c r="K4" s="8"/>
      <c r="L4" s="9"/>
      <c r="M4" s="9"/>
      <c r="N4" s="9"/>
      <c r="O4" s="10"/>
      <c r="P4" s="11"/>
      <c r="Q4" s="11"/>
      <c r="R4" s="11"/>
      <c r="S4" s="547" t="s">
        <v>2</v>
      </c>
      <c r="T4" s="10"/>
      <c r="X4" s="12"/>
      <c r="Y4" s="12"/>
      <c r="Z4" s="12"/>
      <c r="AA4" s="13"/>
    </row>
    <row r="5" spans="1:29" s="1" customFormat="1" ht="20.25" customHeight="1" x14ac:dyDescent="0.3">
      <c r="F5" s="15"/>
      <c r="G5" s="1447" t="s">
        <v>3</v>
      </c>
      <c r="H5" s="1447"/>
      <c r="I5" s="1447"/>
      <c r="J5" s="16"/>
      <c r="K5" s="16"/>
      <c r="L5" s="1447" t="s">
        <v>4</v>
      </c>
      <c r="M5" s="1447"/>
      <c r="N5" s="1447"/>
      <c r="O5" s="17"/>
      <c r="P5" s="18" t="s">
        <v>5</v>
      </c>
      <c r="Q5" s="548"/>
      <c r="R5" s="548"/>
      <c r="S5" s="329" t="s">
        <v>6</v>
      </c>
      <c r="T5" s="549" t="s">
        <v>7</v>
      </c>
      <c r="X5" s="12"/>
      <c r="Y5" s="12"/>
      <c r="Z5" s="12"/>
      <c r="AA5" s="13"/>
    </row>
    <row r="6" spans="1:29" s="1" customFormat="1" x14ac:dyDescent="0.3">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2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2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2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2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2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2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2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2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2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2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2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2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2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2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35">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x14ac:dyDescent="0.35">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x14ac:dyDescent="0.35">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8.599999999999994" thickBot="1" x14ac:dyDescent="0.3">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x14ac:dyDescent="0.35">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x14ac:dyDescent="0.35">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35">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3">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x14ac:dyDescent="0.35">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3">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35">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35">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x14ac:dyDescent="0.35">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35">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3">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x14ac:dyDescent="0.35">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2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2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2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2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x14ac:dyDescent="0.2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x14ac:dyDescent="0.2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x14ac:dyDescent="0.2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2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2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x14ac:dyDescent="0.2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x14ac:dyDescent="0.2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x14ac:dyDescent="0.2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2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09.2" x14ac:dyDescent="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09.2" x14ac:dyDescent="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2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4.8" x14ac:dyDescent="0.3">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x14ac:dyDescent="0.2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x14ac:dyDescent="0.2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x14ac:dyDescent="0.2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x14ac:dyDescent="0.2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x14ac:dyDescent="0.2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x14ac:dyDescent="0.2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2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2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x14ac:dyDescent="0.2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x14ac:dyDescent="0.2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x14ac:dyDescent="0.2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x14ac:dyDescent="0.3">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x14ac:dyDescent="0.3">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2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2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x14ac:dyDescent="0.2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x14ac:dyDescent="0.2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2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x14ac:dyDescent="0.2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x14ac:dyDescent="0.2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x14ac:dyDescent="0.2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9.4" x14ac:dyDescent="0.2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2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x14ac:dyDescent="0.2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x14ac:dyDescent="0.2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x14ac:dyDescent="0.2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2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x14ac:dyDescent="0.2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x14ac:dyDescent="0.2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x14ac:dyDescent="0.2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x14ac:dyDescent="0.2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x14ac:dyDescent="0.2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x14ac:dyDescent="0.2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x14ac:dyDescent="0.2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x14ac:dyDescent="0.3">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3">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x14ac:dyDescent="0.3">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x14ac:dyDescent="0.3">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x14ac:dyDescent="0.3">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6" x14ac:dyDescent="0.3">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x14ac:dyDescent="0.3">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3">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3">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3">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3">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3">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3">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3">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3">
      <c r="R106" s="3"/>
      <c r="X106" s="442"/>
      <c r="Z106" s="443"/>
      <c r="AB106" s="3"/>
    </row>
    <row r="107" spans="1:45" x14ac:dyDescent="0.3">
      <c r="R107" s="3"/>
      <c r="T107" s="4"/>
      <c r="X107" s="442"/>
      <c r="Z107" s="443"/>
      <c r="AB107" s="3"/>
    </row>
    <row r="108" spans="1:45" s="127" customFormat="1" x14ac:dyDescent="0.3">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3">
      <c r="R109" s="3"/>
      <c r="X109" s="442"/>
      <c r="Z109" s="443"/>
    </row>
    <row r="110" spans="1:45" x14ac:dyDescent="0.3">
      <c r="R110" s="3"/>
      <c r="X110" s="442"/>
      <c r="Z110" s="443"/>
    </row>
    <row r="111" spans="1:45" x14ac:dyDescent="0.3">
      <c r="R111" s="3"/>
      <c r="X111" s="442"/>
      <c r="Z111" s="443"/>
    </row>
    <row r="112" spans="1:45" x14ac:dyDescent="0.3">
      <c r="R112" s="3"/>
      <c r="X112" s="442"/>
      <c r="Z112" s="443"/>
    </row>
    <row r="113" spans="1:45" x14ac:dyDescent="0.3">
      <c r="X113" s="442"/>
      <c r="Z113" s="443"/>
    </row>
    <row r="114" spans="1:45" x14ac:dyDescent="0.3">
      <c r="X114" s="442"/>
      <c r="Z114" s="443"/>
    </row>
    <row r="115" spans="1:45" x14ac:dyDescent="0.3">
      <c r="X115" s="442"/>
      <c r="Z115" s="443"/>
    </row>
    <row r="116" spans="1:45" s="128" customFormat="1" x14ac:dyDescent="0.3">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3">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3">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3">
      <c r="X130" s="127">
        <v>32981688529</v>
      </c>
    </row>
    <row r="131" spans="24:24" x14ac:dyDescent="0.3">
      <c r="X131" s="127">
        <v>60460372</v>
      </c>
    </row>
    <row r="132" spans="24:24" x14ac:dyDescent="0.3">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4140625" defaultRowHeight="15" x14ac:dyDescent="0.25"/>
  <cols>
    <col min="1" max="1" width="25.88671875" style="1298" customWidth="1"/>
    <col min="2" max="2" width="19.88671875" style="1299" bestFit="1" customWidth="1"/>
    <col min="3" max="3" width="29.44140625" style="1298" customWidth="1"/>
    <col min="4" max="4" width="18.44140625" style="1207" customWidth="1"/>
    <col min="5" max="5" width="24.6640625" style="1300" customWidth="1"/>
    <col min="6" max="6" width="67.88671875" style="1298" customWidth="1"/>
    <col min="7" max="8" width="24.5546875" style="1207" customWidth="1"/>
    <col min="9" max="9" width="19.33203125" style="1207" customWidth="1"/>
    <col min="10" max="10" width="25.5546875" style="1207" customWidth="1"/>
    <col min="11" max="11" width="22.6640625" style="1207" customWidth="1"/>
    <col min="12" max="12" width="35.88671875" style="1300" customWidth="1"/>
    <col min="13" max="13" width="21.6640625" style="1207" customWidth="1"/>
    <col min="14" max="14" width="47.33203125" style="1207" customWidth="1"/>
    <col min="15" max="15" width="49.88671875" style="1207" customWidth="1"/>
    <col min="16" max="16" width="19.44140625" style="1207" bestFit="1" customWidth="1"/>
    <col min="17" max="17" width="17.88671875" style="1207" bestFit="1" customWidth="1"/>
    <col min="18" max="18" width="14.88671875" style="1207" bestFit="1" customWidth="1"/>
    <col min="19" max="16384" width="11.44140625" style="1207"/>
  </cols>
  <sheetData>
    <row r="1" spans="1:18" s="1159" customFormat="1" x14ac:dyDescent="0.3">
      <c r="A1" s="1453" t="s">
        <v>641</v>
      </c>
      <c r="B1" s="1453"/>
      <c r="C1" s="1453"/>
      <c r="D1" s="1453"/>
      <c r="E1" s="1453"/>
      <c r="F1" s="1453"/>
      <c r="G1" s="1453"/>
      <c r="H1" s="1453"/>
      <c r="I1" s="1453"/>
      <c r="J1" s="1453"/>
      <c r="K1" s="1453"/>
      <c r="L1" s="1453"/>
      <c r="M1" s="1158"/>
      <c r="N1" s="1158"/>
      <c r="O1" s="1158"/>
    </row>
    <row r="2" spans="1:18" s="1159" customFormat="1" x14ac:dyDescent="0.3">
      <c r="A2" s="1449"/>
      <c r="B2" s="1449"/>
      <c r="C2" s="1449"/>
      <c r="D2" s="1449"/>
      <c r="E2" s="1449"/>
      <c r="F2" s="1449"/>
      <c r="G2" s="1449"/>
      <c r="H2" s="1449"/>
      <c r="I2" s="1449"/>
      <c r="J2" s="1449"/>
      <c r="K2" s="1449"/>
      <c r="L2" s="1449"/>
      <c r="M2" s="1158"/>
      <c r="N2" s="1158"/>
      <c r="O2" s="1158"/>
    </row>
    <row r="3" spans="1:18" s="1159" customFormat="1" x14ac:dyDescent="0.3">
      <c r="A3" s="1449" t="s">
        <v>1697</v>
      </c>
      <c r="B3" s="1449"/>
      <c r="C3" s="1449"/>
      <c r="D3" s="1449"/>
      <c r="E3" s="1449"/>
      <c r="F3" s="1449"/>
      <c r="G3" s="1449"/>
      <c r="H3" s="1449"/>
      <c r="I3" s="1449"/>
      <c r="J3" s="1449"/>
      <c r="K3" s="1449"/>
      <c r="L3" s="1449"/>
      <c r="M3" s="1449"/>
      <c r="N3" s="1449"/>
      <c r="O3" s="1449"/>
    </row>
    <row r="4" spans="1:18" s="1159" customFormat="1" x14ac:dyDescent="0.3">
      <c r="B4" s="1160"/>
      <c r="D4" s="1161"/>
      <c r="E4" s="1160"/>
      <c r="G4" s="1161"/>
      <c r="H4" s="1161"/>
      <c r="I4" s="1161"/>
      <c r="J4" s="1161"/>
      <c r="K4" s="1161"/>
      <c r="L4" s="1162"/>
      <c r="M4" s="1454" t="s">
        <v>1698</v>
      </c>
      <c r="N4" s="1454"/>
    </row>
    <row r="5" spans="1:18" s="1159" customFormat="1" x14ac:dyDescent="0.3">
      <c r="A5" s="1163"/>
      <c r="B5" s="1164"/>
      <c r="C5" s="1163"/>
      <c r="D5" s="1163"/>
      <c r="E5" s="1160"/>
      <c r="K5" s="1165"/>
      <c r="L5" s="1166"/>
      <c r="M5" s="1167">
        <f>+SUBTOTAL(9,M7:M625)</f>
        <v>67240064999.699997</v>
      </c>
      <c r="N5" s="1168"/>
    </row>
    <row r="6" spans="1:18" s="1159" customFormat="1" ht="75" x14ac:dyDescent="0.3">
      <c r="A6" s="1169" t="s">
        <v>646</v>
      </c>
      <c r="B6" s="1169" t="s">
        <v>642</v>
      </c>
      <c r="C6" s="1169" t="s">
        <v>647</v>
      </c>
      <c r="D6" s="1169" t="s">
        <v>648</v>
      </c>
      <c r="E6" s="1169" t="s">
        <v>649</v>
      </c>
      <c r="F6" s="1170" t="s">
        <v>1699</v>
      </c>
      <c r="G6" s="1170" t="s">
        <v>1700</v>
      </c>
      <c r="H6" s="1170" t="s">
        <v>1701</v>
      </c>
      <c r="I6" s="1169" t="s">
        <v>1702</v>
      </c>
      <c r="J6" s="1169" t="s">
        <v>654</v>
      </c>
      <c r="K6" s="1169" t="s">
        <v>655</v>
      </c>
      <c r="L6" s="1171" t="s">
        <v>656</v>
      </c>
      <c r="M6" s="1169" t="s">
        <v>657</v>
      </c>
      <c r="N6" s="1169" t="s">
        <v>658</v>
      </c>
      <c r="O6" s="1169" t="s">
        <v>1492</v>
      </c>
    </row>
    <row r="7" spans="1:18" s="1159" customFormat="1" ht="105" x14ac:dyDescent="0.3">
      <c r="A7" s="1172">
        <v>2022001</v>
      </c>
      <c r="B7" s="1172">
        <v>7637</v>
      </c>
      <c r="C7" s="1172" t="s">
        <v>643</v>
      </c>
      <c r="D7" s="1173" t="s">
        <v>671</v>
      </c>
      <c r="E7" s="1174">
        <v>80111600</v>
      </c>
      <c r="F7" s="1175" t="s">
        <v>672</v>
      </c>
      <c r="G7" s="1176" t="s">
        <v>1495</v>
      </c>
      <c r="H7" s="1176" t="s">
        <v>1495</v>
      </c>
      <c r="I7" s="1176">
        <v>11</v>
      </c>
      <c r="J7" s="1176" t="s">
        <v>1496</v>
      </c>
      <c r="K7" s="1177" t="s">
        <v>674</v>
      </c>
      <c r="L7" s="1178" t="s">
        <v>675</v>
      </c>
      <c r="M7" s="1179">
        <f>93500000-23400000</f>
        <v>70100000</v>
      </c>
      <c r="N7" s="1174" t="s">
        <v>732</v>
      </c>
      <c r="O7" s="1174" t="s">
        <v>1497</v>
      </c>
    </row>
    <row r="8" spans="1:18" s="1159" customFormat="1" ht="105" x14ac:dyDescent="0.3">
      <c r="A8" s="1172">
        <v>2022002</v>
      </c>
      <c r="B8" s="1172">
        <v>7637</v>
      </c>
      <c r="C8" s="1172" t="s">
        <v>643</v>
      </c>
      <c r="D8" s="1173" t="s">
        <v>671</v>
      </c>
      <c r="E8" s="1174">
        <v>80111600</v>
      </c>
      <c r="F8" s="1175" t="s">
        <v>681</v>
      </c>
      <c r="G8" s="1176" t="s">
        <v>1495</v>
      </c>
      <c r="H8" s="1176" t="s">
        <v>1495</v>
      </c>
      <c r="I8" s="1176">
        <v>11</v>
      </c>
      <c r="J8" s="1176" t="s">
        <v>1496</v>
      </c>
      <c r="K8" s="1177" t="s">
        <v>674</v>
      </c>
      <c r="L8" s="1178" t="s">
        <v>675</v>
      </c>
      <c r="M8" s="1179">
        <v>77000000</v>
      </c>
      <c r="N8" s="1174" t="s">
        <v>732</v>
      </c>
      <c r="O8" s="1174" t="s">
        <v>1497</v>
      </c>
    </row>
    <row r="9" spans="1:18" s="1159" customFormat="1" ht="105" x14ac:dyDescent="0.3">
      <c r="A9" s="1172">
        <v>2022003</v>
      </c>
      <c r="B9" s="1172">
        <v>7637</v>
      </c>
      <c r="C9" s="1172" t="s">
        <v>643</v>
      </c>
      <c r="D9" s="1173" t="s">
        <v>671</v>
      </c>
      <c r="E9" s="1174">
        <v>80111600</v>
      </c>
      <c r="F9" s="1175" t="s">
        <v>684</v>
      </c>
      <c r="G9" s="1176" t="s">
        <v>1495</v>
      </c>
      <c r="H9" s="1176" t="s">
        <v>1495</v>
      </c>
      <c r="I9" s="1176">
        <v>11</v>
      </c>
      <c r="J9" s="1176" t="s">
        <v>1496</v>
      </c>
      <c r="K9" s="1177" t="s">
        <v>674</v>
      </c>
      <c r="L9" s="1178" t="s">
        <v>675</v>
      </c>
      <c r="M9" s="1179">
        <v>77000000</v>
      </c>
      <c r="N9" s="1174" t="s">
        <v>738</v>
      </c>
      <c r="O9" s="1174" t="s">
        <v>1497</v>
      </c>
    </row>
    <row r="10" spans="1:18" s="1159" customFormat="1" ht="105" x14ac:dyDescent="0.3">
      <c r="A10" s="1172">
        <v>2022004</v>
      </c>
      <c r="B10" s="1172">
        <v>7637</v>
      </c>
      <c r="C10" s="1172" t="s">
        <v>643</v>
      </c>
      <c r="D10" s="1173" t="s">
        <v>671</v>
      </c>
      <c r="E10" s="1174">
        <v>80111600</v>
      </c>
      <c r="F10" s="1175" t="s">
        <v>688</v>
      </c>
      <c r="G10" s="1176" t="s">
        <v>1495</v>
      </c>
      <c r="H10" s="1176" t="s">
        <v>1495</v>
      </c>
      <c r="I10" s="1176">
        <v>11</v>
      </c>
      <c r="J10" s="1176" t="s">
        <v>1496</v>
      </c>
      <c r="K10" s="1177" t="s">
        <v>674</v>
      </c>
      <c r="L10" s="1178" t="s">
        <v>675</v>
      </c>
      <c r="M10" s="1179">
        <v>77000000</v>
      </c>
      <c r="N10" s="1174" t="s">
        <v>732</v>
      </c>
      <c r="O10" s="1174" t="s">
        <v>1497</v>
      </c>
    </row>
    <row r="11" spans="1:18" s="1159" customFormat="1" ht="105" x14ac:dyDescent="0.3">
      <c r="A11" s="1172">
        <v>2022005</v>
      </c>
      <c r="B11" s="1172">
        <v>7637</v>
      </c>
      <c r="C11" s="1172" t="s">
        <v>643</v>
      </c>
      <c r="D11" s="1173" t="s">
        <v>671</v>
      </c>
      <c r="E11" s="1174">
        <v>80111600</v>
      </c>
      <c r="F11" s="1175" t="s">
        <v>691</v>
      </c>
      <c r="G11" s="1176" t="s">
        <v>1495</v>
      </c>
      <c r="H11" s="1176" t="s">
        <v>1495</v>
      </c>
      <c r="I11" s="1176">
        <v>11</v>
      </c>
      <c r="J11" s="1176" t="s">
        <v>1496</v>
      </c>
      <c r="K11" s="1177" t="s">
        <v>674</v>
      </c>
      <c r="L11" s="1178" t="s">
        <v>675</v>
      </c>
      <c r="M11" s="1179">
        <v>77000000</v>
      </c>
      <c r="N11" s="1174" t="s">
        <v>732</v>
      </c>
      <c r="O11" s="1174" t="s">
        <v>1497</v>
      </c>
    </row>
    <row r="12" spans="1:18" s="1180" customFormat="1" ht="105" x14ac:dyDescent="0.3">
      <c r="A12" s="1172">
        <v>2022006</v>
      </c>
      <c r="B12" s="1172">
        <v>7637</v>
      </c>
      <c r="C12" s="1172" t="s">
        <v>643</v>
      </c>
      <c r="D12" s="1173" t="s">
        <v>671</v>
      </c>
      <c r="E12" s="1174">
        <v>80111600</v>
      </c>
      <c r="F12" s="1175" t="s">
        <v>694</v>
      </c>
      <c r="G12" s="1176" t="s">
        <v>1495</v>
      </c>
      <c r="H12" s="1176" t="s">
        <v>1495</v>
      </c>
      <c r="I12" s="1176">
        <v>11</v>
      </c>
      <c r="J12" s="1176" t="s">
        <v>1496</v>
      </c>
      <c r="K12" s="1177" t="s">
        <v>674</v>
      </c>
      <c r="L12" s="1178" t="s">
        <v>675</v>
      </c>
      <c r="M12" s="1179">
        <v>66000000</v>
      </c>
      <c r="N12" s="1174" t="s">
        <v>732</v>
      </c>
      <c r="O12" s="1174" t="s">
        <v>1497</v>
      </c>
      <c r="R12" s="1159"/>
    </row>
    <row r="13" spans="1:18" s="1159" customFormat="1" ht="105" x14ac:dyDescent="0.3">
      <c r="A13" s="1172">
        <v>2022007</v>
      </c>
      <c r="B13" s="1172">
        <v>7637</v>
      </c>
      <c r="C13" s="1172" t="s">
        <v>643</v>
      </c>
      <c r="D13" s="1173" t="s">
        <v>671</v>
      </c>
      <c r="E13" s="1174">
        <v>80111600</v>
      </c>
      <c r="F13" s="1175" t="s">
        <v>697</v>
      </c>
      <c r="G13" s="1176" t="s">
        <v>1495</v>
      </c>
      <c r="H13" s="1176" t="s">
        <v>1495</v>
      </c>
      <c r="I13" s="1176">
        <v>11</v>
      </c>
      <c r="J13" s="1176" t="s">
        <v>1496</v>
      </c>
      <c r="K13" s="1177" t="s">
        <v>674</v>
      </c>
      <c r="L13" s="1178" t="s">
        <v>675</v>
      </c>
      <c r="M13" s="1179">
        <v>77000000</v>
      </c>
      <c r="N13" s="1174" t="s">
        <v>732</v>
      </c>
      <c r="O13" s="1174" t="s">
        <v>1497</v>
      </c>
    </row>
    <row r="14" spans="1:18" s="1159" customFormat="1" ht="75" customHeight="1" x14ac:dyDescent="0.3">
      <c r="A14" s="1172">
        <v>2022008</v>
      </c>
      <c r="B14" s="1172">
        <v>7637</v>
      </c>
      <c r="C14" s="1172" t="s">
        <v>643</v>
      </c>
      <c r="D14" s="1173" t="s">
        <v>671</v>
      </c>
      <c r="E14" s="1174">
        <v>80111600</v>
      </c>
      <c r="F14" s="1175" t="s">
        <v>700</v>
      </c>
      <c r="G14" s="1176" t="s">
        <v>1495</v>
      </c>
      <c r="H14" s="1176" t="s">
        <v>1495</v>
      </c>
      <c r="I14" s="1176">
        <v>11</v>
      </c>
      <c r="J14" s="1176" t="s">
        <v>1496</v>
      </c>
      <c r="K14" s="1177" t="s">
        <v>674</v>
      </c>
      <c r="L14" s="1178" t="s">
        <v>675</v>
      </c>
      <c r="M14" s="1179">
        <v>77000000</v>
      </c>
      <c r="N14" s="1174" t="s">
        <v>732</v>
      </c>
      <c r="O14" s="1174" t="s">
        <v>1497</v>
      </c>
    </row>
    <row r="15" spans="1:18" s="1159" customFormat="1" ht="75" customHeight="1" x14ac:dyDescent="0.3">
      <c r="A15" s="1172">
        <v>2022009</v>
      </c>
      <c r="B15" s="1172">
        <v>7637</v>
      </c>
      <c r="C15" s="1172" t="s">
        <v>643</v>
      </c>
      <c r="D15" s="1173" t="s">
        <v>671</v>
      </c>
      <c r="E15" s="1174">
        <v>80111600</v>
      </c>
      <c r="F15" s="1175" t="s">
        <v>703</v>
      </c>
      <c r="G15" s="1176" t="s">
        <v>1495</v>
      </c>
      <c r="H15" s="1176" t="s">
        <v>1495</v>
      </c>
      <c r="I15" s="1176">
        <v>11</v>
      </c>
      <c r="J15" s="1176" t="s">
        <v>1496</v>
      </c>
      <c r="K15" s="1177" t="s">
        <v>674</v>
      </c>
      <c r="L15" s="1178" t="s">
        <v>675</v>
      </c>
      <c r="M15" s="1179">
        <v>77000000</v>
      </c>
      <c r="N15" s="1174" t="s">
        <v>736</v>
      </c>
      <c r="O15" s="1174" t="s">
        <v>1497</v>
      </c>
    </row>
    <row r="16" spans="1:18" s="1180" customFormat="1" ht="105" x14ac:dyDescent="0.3">
      <c r="A16" s="1172">
        <v>2022010</v>
      </c>
      <c r="B16" s="1172">
        <v>7637</v>
      </c>
      <c r="C16" s="1172" t="s">
        <v>643</v>
      </c>
      <c r="D16" s="1173" t="s">
        <v>671</v>
      </c>
      <c r="E16" s="1174">
        <v>80111600</v>
      </c>
      <c r="F16" s="1175" t="s">
        <v>706</v>
      </c>
      <c r="G16" s="1176" t="s">
        <v>1495</v>
      </c>
      <c r="H16" s="1176" t="s">
        <v>1495</v>
      </c>
      <c r="I16" s="1176">
        <v>11</v>
      </c>
      <c r="J16" s="1176" t="s">
        <v>1496</v>
      </c>
      <c r="K16" s="1177" t="s">
        <v>674</v>
      </c>
      <c r="L16" s="1178" t="s">
        <v>675</v>
      </c>
      <c r="M16" s="1179">
        <v>66000000</v>
      </c>
      <c r="N16" s="1174" t="s">
        <v>732</v>
      </c>
      <c r="O16" s="1174" t="s">
        <v>1497</v>
      </c>
      <c r="R16" s="1159"/>
    </row>
    <row r="17" spans="1:18" s="1159" customFormat="1" ht="135" customHeight="1" x14ac:dyDescent="0.3">
      <c r="A17" s="1172">
        <v>2022011</v>
      </c>
      <c r="B17" s="1172">
        <v>7637</v>
      </c>
      <c r="C17" s="1172" t="s">
        <v>643</v>
      </c>
      <c r="D17" s="1173" t="s">
        <v>671</v>
      </c>
      <c r="E17" s="1174">
        <v>80111600</v>
      </c>
      <c r="F17" s="1175" t="s">
        <v>708</v>
      </c>
      <c r="G17" s="1176" t="s">
        <v>1495</v>
      </c>
      <c r="H17" s="1176" t="s">
        <v>1495</v>
      </c>
      <c r="I17" s="1176">
        <v>11</v>
      </c>
      <c r="J17" s="1176" t="s">
        <v>1496</v>
      </c>
      <c r="K17" s="1177" t="s">
        <v>674</v>
      </c>
      <c r="L17" s="1178" t="s">
        <v>675</v>
      </c>
      <c r="M17" s="1179">
        <v>33000000</v>
      </c>
      <c r="N17" s="1174" t="s">
        <v>732</v>
      </c>
      <c r="O17" s="1174" t="s">
        <v>1497</v>
      </c>
    </row>
    <row r="18" spans="1:18" s="1159" customFormat="1" ht="105" x14ac:dyDescent="0.3">
      <c r="A18" s="1172">
        <v>2022012</v>
      </c>
      <c r="B18" s="1172">
        <v>7637</v>
      </c>
      <c r="C18" s="1172" t="s">
        <v>643</v>
      </c>
      <c r="D18" s="1173" t="s">
        <v>671</v>
      </c>
      <c r="E18" s="1174">
        <v>80111600</v>
      </c>
      <c r="F18" s="1175" t="s">
        <v>710</v>
      </c>
      <c r="G18" s="1176" t="s">
        <v>1495</v>
      </c>
      <c r="H18" s="1176" t="s">
        <v>1495</v>
      </c>
      <c r="I18" s="1176">
        <v>11</v>
      </c>
      <c r="J18" s="1176" t="s">
        <v>1496</v>
      </c>
      <c r="K18" s="1177" t="s">
        <v>674</v>
      </c>
      <c r="L18" s="1178" t="s">
        <v>675</v>
      </c>
      <c r="M18" s="1179">
        <v>49500000</v>
      </c>
      <c r="N18" s="1174" t="s">
        <v>732</v>
      </c>
      <c r="O18" s="1174" t="s">
        <v>1497</v>
      </c>
    </row>
    <row r="19" spans="1:18" s="1180" customFormat="1" ht="105" x14ac:dyDescent="0.3">
      <c r="A19" s="1172">
        <v>2022013</v>
      </c>
      <c r="B19" s="1172">
        <v>7637</v>
      </c>
      <c r="C19" s="1172" t="s">
        <v>643</v>
      </c>
      <c r="D19" s="1173" t="s">
        <v>671</v>
      </c>
      <c r="E19" s="1174">
        <v>80111600</v>
      </c>
      <c r="F19" s="1175" t="s">
        <v>712</v>
      </c>
      <c r="G19" s="1176" t="s">
        <v>1495</v>
      </c>
      <c r="H19" s="1176" t="s">
        <v>1495</v>
      </c>
      <c r="I19" s="1176">
        <v>11</v>
      </c>
      <c r="J19" s="1176" t="s">
        <v>1496</v>
      </c>
      <c r="K19" s="1177" t="s">
        <v>674</v>
      </c>
      <c r="L19" s="1178" t="s">
        <v>675</v>
      </c>
      <c r="M19" s="1179">
        <v>49500000</v>
      </c>
      <c r="N19" s="1174" t="s">
        <v>732</v>
      </c>
      <c r="O19" s="1174" t="s">
        <v>1497</v>
      </c>
      <c r="R19" s="1159"/>
    </row>
    <row r="20" spans="1:18" s="1159" customFormat="1" ht="105" x14ac:dyDescent="0.3">
      <c r="A20" s="1172">
        <v>2022014</v>
      </c>
      <c r="B20" s="1172">
        <v>7637</v>
      </c>
      <c r="C20" s="1172" t="s">
        <v>643</v>
      </c>
      <c r="D20" s="1173" t="s">
        <v>671</v>
      </c>
      <c r="E20" s="1174">
        <v>80111600</v>
      </c>
      <c r="F20" s="1175" t="s">
        <v>714</v>
      </c>
      <c r="G20" s="1176" t="s">
        <v>1495</v>
      </c>
      <c r="H20" s="1176" t="s">
        <v>1495</v>
      </c>
      <c r="I20" s="1176">
        <v>11</v>
      </c>
      <c r="J20" s="1176" t="s">
        <v>1496</v>
      </c>
      <c r="K20" s="1177" t="s">
        <v>674</v>
      </c>
      <c r="L20" s="1178" t="s">
        <v>675</v>
      </c>
      <c r="M20" s="1179">
        <v>77000000</v>
      </c>
      <c r="N20" s="1174" t="s">
        <v>736</v>
      </c>
      <c r="O20" s="1174" t="s">
        <v>1497</v>
      </c>
    </row>
    <row r="21" spans="1:18" s="1159" customFormat="1" ht="105" x14ac:dyDescent="0.3">
      <c r="A21" s="1172">
        <v>2022015</v>
      </c>
      <c r="B21" s="1172">
        <v>7637</v>
      </c>
      <c r="C21" s="1172" t="s">
        <v>643</v>
      </c>
      <c r="D21" s="1173" t="s">
        <v>671</v>
      </c>
      <c r="E21" s="1174">
        <v>80111600</v>
      </c>
      <c r="F21" s="1175" t="s">
        <v>716</v>
      </c>
      <c r="G21" s="1176" t="s">
        <v>1495</v>
      </c>
      <c r="H21" s="1176" t="s">
        <v>1495</v>
      </c>
      <c r="I21" s="1176">
        <v>11</v>
      </c>
      <c r="J21" s="1176" t="s">
        <v>1496</v>
      </c>
      <c r="K21" s="1177" t="s">
        <v>674</v>
      </c>
      <c r="L21" s="1178" t="s">
        <v>675</v>
      </c>
      <c r="M21" s="1179">
        <v>77000000</v>
      </c>
      <c r="N21" s="1174" t="s">
        <v>732</v>
      </c>
      <c r="O21" s="1174" t="s">
        <v>1497</v>
      </c>
    </row>
    <row r="22" spans="1:18" s="1159" customFormat="1" ht="105" x14ac:dyDescent="0.3">
      <c r="A22" s="1172">
        <v>2022016</v>
      </c>
      <c r="B22" s="1172">
        <v>7637</v>
      </c>
      <c r="C22" s="1172" t="s">
        <v>643</v>
      </c>
      <c r="D22" s="1173" t="s">
        <v>671</v>
      </c>
      <c r="E22" s="1174">
        <v>80111600</v>
      </c>
      <c r="F22" s="1175" t="s">
        <v>718</v>
      </c>
      <c r="G22" s="1176" t="s">
        <v>1495</v>
      </c>
      <c r="H22" s="1176" t="s">
        <v>1495</v>
      </c>
      <c r="I22" s="1176">
        <v>9.9</v>
      </c>
      <c r="J22" s="1176" t="s">
        <v>1496</v>
      </c>
      <c r="K22" s="1177" t="s">
        <v>674</v>
      </c>
      <c r="L22" s="1178" t="s">
        <v>675</v>
      </c>
      <c r="M22" s="1179">
        <v>49500000</v>
      </c>
      <c r="N22" s="1174" t="s">
        <v>736</v>
      </c>
      <c r="O22" s="1174" t="s">
        <v>1497</v>
      </c>
    </row>
    <row r="23" spans="1:18" s="1180" customFormat="1" ht="105" x14ac:dyDescent="0.3">
      <c r="A23" s="1172">
        <v>2022017</v>
      </c>
      <c r="B23" s="1172">
        <v>7637</v>
      </c>
      <c r="C23" s="1172" t="s">
        <v>643</v>
      </c>
      <c r="D23" s="1173" t="s">
        <v>671</v>
      </c>
      <c r="E23" s="1174">
        <v>80111600</v>
      </c>
      <c r="F23" s="1175" t="s">
        <v>719</v>
      </c>
      <c r="G23" s="1176" t="s">
        <v>1495</v>
      </c>
      <c r="H23" s="1176" t="s">
        <v>1495</v>
      </c>
      <c r="I23" s="1176">
        <v>11</v>
      </c>
      <c r="J23" s="1176" t="s">
        <v>1496</v>
      </c>
      <c r="K23" s="1177" t="s">
        <v>674</v>
      </c>
      <c r="L23" s="1178" t="s">
        <v>675</v>
      </c>
      <c r="M23" s="1179">
        <v>33000000</v>
      </c>
      <c r="N23" s="1174" t="s">
        <v>732</v>
      </c>
      <c r="O23" s="1174" t="s">
        <v>1497</v>
      </c>
      <c r="R23" s="1159"/>
    </row>
    <row r="24" spans="1:18" s="1180" customFormat="1" ht="105" x14ac:dyDescent="0.3">
      <c r="A24" s="1172">
        <v>2022018</v>
      </c>
      <c r="B24" s="1172">
        <v>7637</v>
      </c>
      <c r="C24" s="1176" t="s">
        <v>643</v>
      </c>
      <c r="D24" s="1173" t="s">
        <v>671</v>
      </c>
      <c r="E24" s="1174">
        <v>80111600</v>
      </c>
      <c r="F24" s="1175" t="s">
        <v>721</v>
      </c>
      <c r="G24" s="1176" t="s">
        <v>1495</v>
      </c>
      <c r="H24" s="1176" t="s">
        <v>1495</v>
      </c>
      <c r="I24" s="1176" t="s">
        <v>1498</v>
      </c>
      <c r="J24" s="1176" t="s">
        <v>1496</v>
      </c>
      <c r="K24" s="1176" t="s">
        <v>674</v>
      </c>
      <c r="L24" s="1176" t="s">
        <v>675</v>
      </c>
      <c r="M24" s="1179">
        <f>33000000-3500000</f>
        <v>29500000</v>
      </c>
      <c r="N24" s="1174" t="s">
        <v>732</v>
      </c>
      <c r="O24" s="1174" t="s">
        <v>1497</v>
      </c>
      <c r="R24" s="1159"/>
    </row>
    <row r="25" spans="1:18" s="1180" customFormat="1" ht="105" x14ac:dyDescent="0.3">
      <c r="A25" s="1172">
        <v>2022019</v>
      </c>
      <c r="B25" s="1172">
        <v>7637</v>
      </c>
      <c r="C25" s="1172" t="s">
        <v>643</v>
      </c>
      <c r="D25" s="1173" t="s">
        <v>671</v>
      </c>
      <c r="E25" s="1174">
        <v>80111600</v>
      </c>
      <c r="F25" s="1175" t="s">
        <v>723</v>
      </c>
      <c r="G25" s="1176" t="s">
        <v>1495</v>
      </c>
      <c r="H25" s="1176" t="s">
        <v>1495</v>
      </c>
      <c r="I25" s="1176">
        <v>11</v>
      </c>
      <c r="J25" s="1176" t="s">
        <v>1496</v>
      </c>
      <c r="K25" s="1176" t="s">
        <v>674</v>
      </c>
      <c r="L25" s="1178" t="s">
        <v>675</v>
      </c>
      <c r="M25" s="1179">
        <v>68200000</v>
      </c>
      <c r="N25" s="1174" t="s">
        <v>732</v>
      </c>
      <c r="O25" s="1174" t="s">
        <v>1497</v>
      </c>
      <c r="R25" s="1159"/>
    </row>
    <row r="26" spans="1:18" s="1180" customFormat="1" ht="105" x14ac:dyDescent="0.3">
      <c r="A26" s="1172">
        <v>2022020</v>
      </c>
      <c r="B26" s="1172">
        <v>7637</v>
      </c>
      <c r="C26" s="1172" t="s">
        <v>643</v>
      </c>
      <c r="D26" s="1173" t="s">
        <v>671</v>
      </c>
      <c r="E26" s="1174">
        <v>80111600</v>
      </c>
      <c r="F26" s="1175" t="s">
        <v>725</v>
      </c>
      <c r="G26" s="1176" t="s">
        <v>1495</v>
      </c>
      <c r="H26" s="1176" t="s">
        <v>1495</v>
      </c>
      <c r="I26" s="1176">
        <v>11</v>
      </c>
      <c r="J26" s="1176" t="s">
        <v>1496</v>
      </c>
      <c r="K26" s="1176" t="s">
        <v>674</v>
      </c>
      <c r="L26" s="1178" t="s">
        <v>675</v>
      </c>
      <c r="M26" s="1179">
        <v>49500000</v>
      </c>
      <c r="N26" s="1174" t="s">
        <v>732</v>
      </c>
      <c r="O26" s="1174" t="s">
        <v>1497</v>
      </c>
      <c r="R26" s="1159"/>
    </row>
    <row r="27" spans="1:18" s="1180" customFormat="1" ht="105" x14ac:dyDescent="0.3">
      <c r="A27" s="1172">
        <v>2022021</v>
      </c>
      <c r="B27" s="1172">
        <v>7637</v>
      </c>
      <c r="C27" s="1172" t="s">
        <v>643</v>
      </c>
      <c r="D27" s="1178" t="s">
        <v>671</v>
      </c>
      <c r="E27" s="1181" t="s">
        <v>1499</v>
      </c>
      <c r="F27" s="1175" t="s">
        <v>1500</v>
      </c>
      <c r="G27" s="1176" t="s">
        <v>1501</v>
      </c>
      <c r="H27" s="1176" t="s">
        <v>1502</v>
      </c>
      <c r="I27" s="1176">
        <v>6</v>
      </c>
      <c r="J27" s="1176" t="s">
        <v>1503</v>
      </c>
      <c r="K27" s="1176" t="s">
        <v>674</v>
      </c>
      <c r="L27" s="1178" t="s">
        <v>729</v>
      </c>
      <c r="M27" s="1179">
        <v>60000000</v>
      </c>
      <c r="N27" s="1174" t="s">
        <v>732</v>
      </c>
      <c r="O27" s="1174" t="s">
        <v>1497</v>
      </c>
      <c r="R27" s="1159"/>
    </row>
    <row r="28" spans="1:18" s="1180" customFormat="1" ht="105" x14ac:dyDescent="0.3">
      <c r="A28" s="1182">
        <v>2022022</v>
      </c>
      <c r="B28" s="1182">
        <v>7637</v>
      </c>
      <c r="C28" s="1182" t="s">
        <v>643</v>
      </c>
      <c r="D28" s="1183" t="s">
        <v>671</v>
      </c>
      <c r="E28" s="1184" t="s">
        <v>1504</v>
      </c>
      <c r="F28" s="1185" t="s">
        <v>728</v>
      </c>
      <c r="G28" s="1184" t="s">
        <v>1501</v>
      </c>
      <c r="H28" s="1184" t="s">
        <v>1611</v>
      </c>
      <c r="I28" s="1184">
        <v>1</v>
      </c>
      <c r="J28" s="1184" t="s">
        <v>1506</v>
      </c>
      <c r="K28" s="1184" t="s">
        <v>674</v>
      </c>
      <c r="L28" s="1183" t="s">
        <v>729</v>
      </c>
      <c r="M28" s="1186">
        <v>600000000</v>
      </c>
      <c r="N28" s="1187" t="s">
        <v>732</v>
      </c>
      <c r="O28" s="1187" t="s">
        <v>1497</v>
      </c>
      <c r="R28" s="1159"/>
    </row>
    <row r="29" spans="1:18" s="1180" customFormat="1" ht="105" x14ac:dyDescent="0.3">
      <c r="A29" s="1172">
        <v>2022023</v>
      </c>
      <c r="B29" s="1172">
        <v>7637</v>
      </c>
      <c r="C29" s="1172" t="s">
        <v>643</v>
      </c>
      <c r="D29" s="1178" t="s">
        <v>671</v>
      </c>
      <c r="E29" s="1176">
        <v>81112401</v>
      </c>
      <c r="F29" s="1175" t="s">
        <v>731</v>
      </c>
      <c r="G29" s="1176" t="s">
        <v>1501</v>
      </c>
      <c r="H29" s="1176" t="s">
        <v>1501</v>
      </c>
      <c r="I29" s="1176">
        <v>3</v>
      </c>
      <c r="J29" s="1176" t="s">
        <v>1506</v>
      </c>
      <c r="K29" s="1176" t="s">
        <v>674</v>
      </c>
      <c r="L29" s="1178" t="s">
        <v>729</v>
      </c>
      <c r="M29" s="1179">
        <v>195700000</v>
      </c>
      <c r="N29" s="1174" t="s">
        <v>732</v>
      </c>
      <c r="O29" s="1174" t="s">
        <v>1497</v>
      </c>
      <c r="R29" s="1159"/>
    </row>
    <row r="30" spans="1:18" s="1180" customFormat="1" ht="105" x14ac:dyDescent="0.3">
      <c r="A30" s="1182">
        <v>2022024</v>
      </c>
      <c r="B30" s="1182">
        <v>7637</v>
      </c>
      <c r="C30" s="1182" t="s">
        <v>643</v>
      </c>
      <c r="D30" s="1183" t="s">
        <v>671</v>
      </c>
      <c r="E30" s="1184">
        <v>72151605</v>
      </c>
      <c r="F30" s="1185" t="s">
        <v>1703</v>
      </c>
      <c r="G30" s="1184" t="s">
        <v>1618</v>
      </c>
      <c r="H30" s="1184" t="s">
        <v>1502</v>
      </c>
      <c r="I30" s="1184">
        <v>6</v>
      </c>
      <c r="J30" s="1184" t="s">
        <v>1518</v>
      </c>
      <c r="K30" s="1184" t="s">
        <v>674</v>
      </c>
      <c r="L30" s="1183" t="s">
        <v>675</v>
      </c>
      <c r="M30" s="1186">
        <v>114000000</v>
      </c>
      <c r="N30" s="1187" t="s">
        <v>732</v>
      </c>
      <c r="O30" s="1187" t="s">
        <v>1497</v>
      </c>
      <c r="R30" s="1159"/>
    </row>
    <row r="31" spans="1:18" s="1180" customFormat="1" ht="105" x14ac:dyDescent="0.3">
      <c r="A31" s="1172">
        <v>2022025</v>
      </c>
      <c r="B31" s="1172">
        <v>7637</v>
      </c>
      <c r="C31" s="1172" t="s">
        <v>643</v>
      </c>
      <c r="D31" s="1178" t="s">
        <v>671</v>
      </c>
      <c r="E31" s="1176">
        <v>81112217</v>
      </c>
      <c r="F31" s="1175" t="s">
        <v>737</v>
      </c>
      <c r="G31" s="1176" t="s">
        <v>1509</v>
      </c>
      <c r="H31" s="1176" t="s">
        <v>1510</v>
      </c>
      <c r="I31" s="1176">
        <v>12</v>
      </c>
      <c r="J31" s="1176" t="s">
        <v>1506</v>
      </c>
      <c r="K31" s="1176" t="s">
        <v>674</v>
      </c>
      <c r="L31" s="1178" t="s">
        <v>735</v>
      </c>
      <c r="M31" s="1179">
        <v>50000000</v>
      </c>
      <c r="N31" s="1174" t="s">
        <v>738</v>
      </c>
      <c r="O31" s="1174" t="s">
        <v>1497</v>
      </c>
      <c r="R31" s="1159"/>
    </row>
    <row r="32" spans="1:18" s="1180" customFormat="1" ht="105" x14ac:dyDescent="0.3">
      <c r="A32" s="1172">
        <v>2022026</v>
      </c>
      <c r="B32" s="1172">
        <v>7637</v>
      </c>
      <c r="C32" s="1172" t="s">
        <v>643</v>
      </c>
      <c r="D32" s="1178" t="s">
        <v>671</v>
      </c>
      <c r="E32" s="1176" t="s">
        <v>1511</v>
      </c>
      <c r="F32" s="1175" t="s">
        <v>740</v>
      </c>
      <c r="G32" s="1176" t="s">
        <v>1509</v>
      </c>
      <c r="H32" s="1176" t="s">
        <v>1510</v>
      </c>
      <c r="I32" s="1176">
        <v>12</v>
      </c>
      <c r="J32" s="1176" t="s">
        <v>1506</v>
      </c>
      <c r="K32" s="1176" t="s">
        <v>674</v>
      </c>
      <c r="L32" s="1178" t="s">
        <v>735</v>
      </c>
      <c r="M32" s="1179">
        <v>150000000</v>
      </c>
      <c r="N32" s="1174" t="s">
        <v>732</v>
      </c>
      <c r="O32" s="1174" t="s">
        <v>1497</v>
      </c>
      <c r="R32" s="1159"/>
    </row>
    <row r="33" spans="1:18" s="1180" customFormat="1" ht="105" x14ac:dyDescent="0.3">
      <c r="A33" s="1172">
        <v>2022027</v>
      </c>
      <c r="B33" s="1172">
        <v>7637</v>
      </c>
      <c r="C33" s="1172" t="s">
        <v>643</v>
      </c>
      <c r="D33" s="1178" t="s">
        <v>671</v>
      </c>
      <c r="E33" s="1176">
        <v>81161712</v>
      </c>
      <c r="F33" s="1175" t="s">
        <v>742</v>
      </c>
      <c r="G33" s="1176" t="s">
        <v>1502</v>
      </c>
      <c r="H33" s="1176" t="s">
        <v>1509</v>
      </c>
      <c r="I33" s="1176">
        <v>1</v>
      </c>
      <c r="J33" s="1176" t="s">
        <v>1512</v>
      </c>
      <c r="K33" s="1176" t="s">
        <v>674</v>
      </c>
      <c r="L33" s="1178" t="s">
        <v>743</v>
      </c>
      <c r="M33" s="1179">
        <v>10000000</v>
      </c>
      <c r="N33" s="1174" t="s">
        <v>732</v>
      </c>
      <c r="O33" s="1174" t="s">
        <v>1497</v>
      </c>
      <c r="R33" s="1159"/>
    </row>
    <row r="34" spans="1:18" s="1180" customFormat="1" ht="105" x14ac:dyDescent="0.3">
      <c r="A34" s="1172">
        <v>2022028</v>
      </c>
      <c r="B34" s="1172">
        <v>7637</v>
      </c>
      <c r="C34" s="1172" t="s">
        <v>643</v>
      </c>
      <c r="D34" s="1178" t="s">
        <v>671</v>
      </c>
      <c r="E34" s="1176" t="s">
        <v>1513</v>
      </c>
      <c r="F34" s="1175" t="s">
        <v>746</v>
      </c>
      <c r="G34" s="1176" t="s">
        <v>1501</v>
      </c>
      <c r="H34" s="1176" t="s">
        <v>1501</v>
      </c>
      <c r="I34" s="1176">
        <v>5</v>
      </c>
      <c r="J34" s="1173"/>
      <c r="K34" s="1176" t="s">
        <v>674</v>
      </c>
      <c r="L34" s="1178" t="s">
        <v>747</v>
      </c>
      <c r="M34" s="1179">
        <v>81000000</v>
      </c>
      <c r="N34" s="1174" t="s">
        <v>732</v>
      </c>
      <c r="O34" s="1174" t="s">
        <v>1497</v>
      </c>
      <c r="R34" s="1159"/>
    </row>
    <row r="35" spans="1:18" s="1180" customFormat="1" ht="105" x14ac:dyDescent="0.3">
      <c r="A35" s="1172">
        <v>2022029</v>
      </c>
      <c r="B35" s="1172">
        <v>7637</v>
      </c>
      <c r="C35" s="1172" t="s">
        <v>643</v>
      </c>
      <c r="D35" s="1178" t="s">
        <v>671</v>
      </c>
      <c r="E35" s="1176" t="s">
        <v>1513</v>
      </c>
      <c r="F35" s="1175" t="s">
        <v>751</v>
      </c>
      <c r="G35" s="1176" t="s">
        <v>1510</v>
      </c>
      <c r="H35" s="1176" t="s">
        <v>1514</v>
      </c>
      <c r="I35" s="1176">
        <v>4</v>
      </c>
      <c r="J35" s="1176" t="s">
        <v>1515</v>
      </c>
      <c r="K35" s="1176" t="s">
        <v>674</v>
      </c>
      <c r="L35" s="1178" t="s">
        <v>747</v>
      </c>
      <c r="M35" s="1179">
        <v>80000000</v>
      </c>
      <c r="N35" s="1174" t="s">
        <v>732</v>
      </c>
      <c r="O35" s="1174" t="s">
        <v>1497</v>
      </c>
      <c r="R35" s="1159"/>
    </row>
    <row r="36" spans="1:18" s="1180" customFormat="1" ht="105" x14ac:dyDescent="0.3">
      <c r="A36" s="1172">
        <v>2022030</v>
      </c>
      <c r="B36" s="1172">
        <v>7637</v>
      </c>
      <c r="C36" s="1172" t="s">
        <v>643</v>
      </c>
      <c r="D36" s="1178" t="s">
        <v>671</v>
      </c>
      <c r="E36" s="1176">
        <v>81111700</v>
      </c>
      <c r="F36" s="1175" t="s">
        <v>1516</v>
      </c>
      <c r="G36" s="1176" t="s">
        <v>1505</v>
      </c>
      <c r="H36" s="1176" t="s">
        <v>1505</v>
      </c>
      <c r="I36" s="1176">
        <v>10</v>
      </c>
      <c r="J36" s="1176" t="s">
        <v>1506</v>
      </c>
      <c r="K36" s="1176" t="s">
        <v>674</v>
      </c>
      <c r="L36" s="1178" t="s">
        <v>675</v>
      </c>
      <c r="M36" s="1179">
        <v>20000000</v>
      </c>
      <c r="N36" s="1174" t="s">
        <v>732</v>
      </c>
      <c r="O36" s="1174" t="s">
        <v>1497</v>
      </c>
      <c r="R36" s="1159"/>
    </row>
    <row r="37" spans="1:18" s="1180" customFormat="1" ht="105" x14ac:dyDescent="0.3">
      <c r="A37" s="1172">
        <v>2022031</v>
      </c>
      <c r="B37" s="1172">
        <v>7637</v>
      </c>
      <c r="C37" s="1172" t="s">
        <v>643</v>
      </c>
      <c r="D37" s="1178" t="s">
        <v>671</v>
      </c>
      <c r="E37" s="1181" t="s">
        <v>1517</v>
      </c>
      <c r="F37" s="1175" t="s">
        <v>754</v>
      </c>
      <c r="G37" s="1176" t="s">
        <v>1495</v>
      </c>
      <c r="H37" s="1176" t="s">
        <v>1505</v>
      </c>
      <c r="I37" s="1176">
        <v>1</v>
      </c>
      <c r="J37" s="1176" t="s">
        <v>1518</v>
      </c>
      <c r="K37" s="1176" t="s">
        <v>674</v>
      </c>
      <c r="L37" s="1178" t="s">
        <v>675</v>
      </c>
      <c r="M37" s="1179">
        <v>72100000</v>
      </c>
      <c r="N37" s="1174" t="s">
        <v>736</v>
      </c>
      <c r="O37" s="1174" t="s">
        <v>1497</v>
      </c>
      <c r="R37" s="1159"/>
    </row>
    <row r="38" spans="1:18" s="1180" customFormat="1" ht="105" x14ac:dyDescent="0.3">
      <c r="A38" s="1172">
        <v>2022032</v>
      </c>
      <c r="B38" s="1172">
        <v>7637</v>
      </c>
      <c r="C38" s="1172" t="s">
        <v>643</v>
      </c>
      <c r="D38" s="1178" t="s">
        <v>671</v>
      </c>
      <c r="E38" s="1176">
        <v>81112222</v>
      </c>
      <c r="F38" s="1175" t="s">
        <v>1519</v>
      </c>
      <c r="G38" s="1176" t="s">
        <v>1514</v>
      </c>
      <c r="H38" s="1176" t="s">
        <v>1520</v>
      </c>
      <c r="I38" s="1176">
        <v>12</v>
      </c>
      <c r="J38" s="1176" t="s">
        <v>1515</v>
      </c>
      <c r="K38" s="1176" t="s">
        <v>674</v>
      </c>
      <c r="L38" s="1178" t="s">
        <v>675</v>
      </c>
      <c r="M38" s="1179">
        <v>120000000</v>
      </c>
      <c r="N38" s="1174" t="s">
        <v>732</v>
      </c>
      <c r="O38" s="1174" t="s">
        <v>1497</v>
      </c>
      <c r="R38" s="1159"/>
    </row>
    <row r="39" spans="1:18" s="1180" customFormat="1" ht="105" x14ac:dyDescent="0.3">
      <c r="A39" s="1172">
        <v>2022033</v>
      </c>
      <c r="B39" s="1172">
        <v>7637</v>
      </c>
      <c r="C39" s="1172" t="s">
        <v>643</v>
      </c>
      <c r="D39" s="1178" t="s">
        <v>671</v>
      </c>
      <c r="E39" s="1176" t="s">
        <v>1521</v>
      </c>
      <c r="F39" s="1175" t="s">
        <v>1522</v>
      </c>
      <c r="G39" s="1176" t="s">
        <v>1509</v>
      </c>
      <c r="H39" s="1176" t="s">
        <v>1510</v>
      </c>
      <c r="I39" s="1176">
        <v>3</v>
      </c>
      <c r="J39" s="1176" t="s">
        <v>1515</v>
      </c>
      <c r="K39" s="1176" t="s">
        <v>674</v>
      </c>
      <c r="L39" s="1178" t="s">
        <v>735</v>
      </c>
      <c r="M39" s="1179">
        <v>50000000</v>
      </c>
      <c r="N39" s="1174" t="s">
        <v>732</v>
      </c>
      <c r="O39" s="1174" t="s">
        <v>1497</v>
      </c>
      <c r="R39" s="1159"/>
    </row>
    <row r="40" spans="1:18" s="1180" customFormat="1" ht="105" x14ac:dyDescent="0.3">
      <c r="A40" s="1172">
        <v>2022034</v>
      </c>
      <c r="B40" s="1172">
        <v>7637</v>
      </c>
      <c r="C40" s="1172" t="s">
        <v>643</v>
      </c>
      <c r="D40" s="1178" t="s">
        <v>671</v>
      </c>
      <c r="E40" s="1176">
        <v>81112217</v>
      </c>
      <c r="F40" s="1175" t="s">
        <v>1523</v>
      </c>
      <c r="G40" s="1176" t="s">
        <v>1524</v>
      </c>
      <c r="H40" s="1176" t="s">
        <v>1525</v>
      </c>
      <c r="I40" s="1176">
        <v>1</v>
      </c>
      <c r="J40" s="1176" t="s">
        <v>1518</v>
      </c>
      <c r="K40" s="1176" t="s">
        <v>674</v>
      </c>
      <c r="L40" s="1178" t="s">
        <v>675</v>
      </c>
      <c r="M40" s="1179">
        <v>35077000</v>
      </c>
      <c r="N40" s="1173" t="s">
        <v>736</v>
      </c>
      <c r="O40" s="1174" t="s">
        <v>1497</v>
      </c>
      <c r="R40" s="1159"/>
    </row>
    <row r="41" spans="1:18" s="1180" customFormat="1" ht="105" x14ac:dyDescent="0.3">
      <c r="A41" s="1172">
        <v>2022035</v>
      </c>
      <c r="B41" s="1172">
        <v>7637</v>
      </c>
      <c r="C41" s="1172" t="s">
        <v>643</v>
      </c>
      <c r="D41" s="1178" t="s">
        <v>671</v>
      </c>
      <c r="E41" s="1176" t="s">
        <v>1283</v>
      </c>
      <c r="F41" s="1175" t="s">
        <v>1526</v>
      </c>
      <c r="G41" s="1176" t="s">
        <v>1502</v>
      </c>
      <c r="H41" s="1176" t="s">
        <v>1509</v>
      </c>
      <c r="I41" s="1176">
        <v>8</v>
      </c>
      <c r="J41" s="1176" t="s">
        <v>1518</v>
      </c>
      <c r="K41" s="1176" t="s">
        <v>674</v>
      </c>
      <c r="L41" s="1178" t="s">
        <v>675</v>
      </c>
      <c r="M41" s="1179">
        <v>70000000</v>
      </c>
      <c r="N41" s="1174" t="s">
        <v>732</v>
      </c>
      <c r="O41" s="1174" t="s">
        <v>1497</v>
      </c>
      <c r="R41" s="1159"/>
    </row>
    <row r="42" spans="1:18" s="1180" customFormat="1" ht="105" x14ac:dyDescent="0.3">
      <c r="A42" s="1182">
        <v>2022036</v>
      </c>
      <c r="B42" s="1182">
        <v>7637</v>
      </c>
      <c r="C42" s="1182" t="s">
        <v>643</v>
      </c>
      <c r="D42" s="1183" t="s">
        <v>671</v>
      </c>
      <c r="E42" s="1184" t="s">
        <v>1527</v>
      </c>
      <c r="F42" s="1183" t="s">
        <v>761</v>
      </c>
      <c r="G42" s="1184" t="s">
        <v>1495</v>
      </c>
      <c r="H42" s="1184" t="s">
        <v>1495</v>
      </c>
      <c r="I42" s="1184">
        <v>11</v>
      </c>
      <c r="J42" s="1184" t="s">
        <v>1515</v>
      </c>
      <c r="K42" s="1184" t="s">
        <v>674</v>
      </c>
      <c r="L42" s="1183" t="s">
        <v>735</v>
      </c>
      <c r="M42" s="1188">
        <f>487640000-55735449-8000000</f>
        <v>423904551</v>
      </c>
      <c r="N42" s="1187" t="s">
        <v>732</v>
      </c>
      <c r="O42" s="1187" t="s">
        <v>1497</v>
      </c>
      <c r="R42" s="1159"/>
    </row>
    <row r="43" spans="1:18" s="1180" customFormat="1" ht="105" x14ac:dyDescent="0.3">
      <c r="A43" s="1182">
        <v>2022037</v>
      </c>
      <c r="B43" s="1182">
        <v>7637</v>
      </c>
      <c r="C43" s="1182" t="s">
        <v>643</v>
      </c>
      <c r="D43" s="1183" t="s">
        <v>671</v>
      </c>
      <c r="E43" s="1184" t="s">
        <v>1528</v>
      </c>
      <c r="F43" s="1185" t="s">
        <v>763</v>
      </c>
      <c r="G43" s="1184" t="s">
        <v>1495</v>
      </c>
      <c r="H43" s="1184" t="s">
        <v>1495</v>
      </c>
      <c r="I43" s="1184">
        <v>12</v>
      </c>
      <c r="J43" s="1184" t="s">
        <v>1629</v>
      </c>
      <c r="K43" s="1184" t="s">
        <v>674</v>
      </c>
      <c r="L43" s="1183" t="s">
        <v>729</v>
      </c>
      <c r="M43" s="1186">
        <v>104794000</v>
      </c>
      <c r="N43" s="1187" t="s">
        <v>732</v>
      </c>
      <c r="O43" s="1187" t="s">
        <v>1497</v>
      </c>
      <c r="R43" s="1159"/>
    </row>
    <row r="44" spans="1:18" s="1180" customFormat="1" ht="105" x14ac:dyDescent="0.3">
      <c r="A44" s="1182">
        <v>2022038</v>
      </c>
      <c r="B44" s="1182">
        <v>7637</v>
      </c>
      <c r="C44" s="1182" t="s">
        <v>643</v>
      </c>
      <c r="D44" s="1183" t="s">
        <v>671</v>
      </c>
      <c r="E44" s="1187">
        <v>43221500</v>
      </c>
      <c r="F44" s="1185" t="s">
        <v>1529</v>
      </c>
      <c r="G44" s="1184" t="s">
        <v>1637</v>
      </c>
      <c r="H44" s="1184" t="s">
        <v>1632</v>
      </c>
      <c r="I44" s="1184">
        <v>6</v>
      </c>
      <c r="J44" s="1184" t="s">
        <v>1518</v>
      </c>
      <c r="K44" s="1184" t="s">
        <v>674</v>
      </c>
      <c r="L44" s="1183" t="s">
        <v>675</v>
      </c>
      <c r="M44" s="1186">
        <v>38500000</v>
      </c>
      <c r="N44" s="1187" t="s">
        <v>732</v>
      </c>
      <c r="O44" s="1187" t="s">
        <v>1497</v>
      </c>
      <c r="R44" s="1159"/>
    </row>
    <row r="45" spans="1:18" s="1180" customFormat="1" ht="105" x14ac:dyDescent="0.3">
      <c r="A45" s="1172">
        <v>2022039</v>
      </c>
      <c r="B45" s="1172">
        <v>7637</v>
      </c>
      <c r="C45" s="1172" t="s">
        <v>643</v>
      </c>
      <c r="D45" s="1178" t="s">
        <v>671</v>
      </c>
      <c r="E45" s="1176">
        <v>43233200</v>
      </c>
      <c r="F45" s="1175" t="s">
        <v>1530</v>
      </c>
      <c r="G45" s="1176" t="s">
        <v>1509</v>
      </c>
      <c r="H45" s="1176" t="s">
        <v>1509</v>
      </c>
      <c r="I45" s="1176">
        <v>3</v>
      </c>
      <c r="J45" s="1176" t="s">
        <v>1506</v>
      </c>
      <c r="K45" s="1176" t="s">
        <v>770</v>
      </c>
      <c r="L45" s="1178" t="s">
        <v>735</v>
      </c>
      <c r="M45" s="1179">
        <v>170000000</v>
      </c>
      <c r="N45" s="1175" t="s">
        <v>736</v>
      </c>
      <c r="O45" s="1174" t="s">
        <v>1497</v>
      </c>
      <c r="R45" s="1159"/>
    </row>
    <row r="46" spans="1:18" s="1180" customFormat="1" ht="105" x14ac:dyDescent="0.3">
      <c r="A46" s="1182">
        <v>2022040</v>
      </c>
      <c r="B46" s="1182">
        <v>7637</v>
      </c>
      <c r="C46" s="1182" t="s">
        <v>643</v>
      </c>
      <c r="D46" s="1183" t="s">
        <v>671</v>
      </c>
      <c r="E46" s="1184">
        <v>43222600</v>
      </c>
      <c r="F46" s="1185" t="s">
        <v>1531</v>
      </c>
      <c r="G46" s="1184" t="s">
        <v>1502</v>
      </c>
      <c r="H46" s="1184" t="s">
        <v>1502</v>
      </c>
      <c r="I46" s="1184">
        <v>6</v>
      </c>
      <c r="J46" s="1184" t="s">
        <v>1518</v>
      </c>
      <c r="K46" s="1184" t="s">
        <v>770</v>
      </c>
      <c r="L46" s="1183" t="s">
        <v>735</v>
      </c>
      <c r="M46" s="1186">
        <v>600000000</v>
      </c>
      <c r="N46" s="1187" t="s">
        <v>732</v>
      </c>
      <c r="O46" s="1187" t="s">
        <v>1497</v>
      </c>
      <c r="R46" s="1159"/>
    </row>
    <row r="47" spans="1:18" s="1180" customFormat="1" ht="105" x14ac:dyDescent="0.3">
      <c r="A47" s="1172">
        <v>2022041</v>
      </c>
      <c r="B47" s="1172">
        <v>7637</v>
      </c>
      <c r="C47" s="1172" t="s">
        <v>643</v>
      </c>
      <c r="D47" s="1178" t="s">
        <v>671</v>
      </c>
      <c r="E47" s="1176" t="s">
        <v>1532</v>
      </c>
      <c r="F47" s="1175" t="s">
        <v>1533</v>
      </c>
      <c r="G47" s="1176" t="s">
        <v>1502</v>
      </c>
      <c r="H47" s="1176" t="s">
        <v>1509</v>
      </c>
      <c r="I47" s="1176">
        <v>3</v>
      </c>
      <c r="J47" s="1176" t="s">
        <v>1518</v>
      </c>
      <c r="K47" s="1176" t="s">
        <v>770</v>
      </c>
      <c r="L47" s="1178" t="s">
        <v>735</v>
      </c>
      <c r="M47" s="1179">
        <v>600000000</v>
      </c>
      <c r="N47" s="1174" t="s">
        <v>732</v>
      </c>
      <c r="O47" s="1174" t="s">
        <v>1497</v>
      </c>
      <c r="R47" s="1159"/>
    </row>
    <row r="48" spans="1:18" s="1180" customFormat="1" ht="105" x14ac:dyDescent="0.3">
      <c r="A48" s="1172">
        <v>2022042</v>
      </c>
      <c r="B48" s="1172">
        <v>7637</v>
      </c>
      <c r="C48" s="1172" t="s">
        <v>643</v>
      </c>
      <c r="D48" s="1178" t="s">
        <v>671</v>
      </c>
      <c r="E48" s="1174"/>
      <c r="F48" s="1175" t="s">
        <v>776</v>
      </c>
      <c r="G48" s="1176"/>
      <c r="H48" s="1176"/>
      <c r="I48" s="1176"/>
      <c r="J48" s="1176"/>
      <c r="K48" s="1176" t="s">
        <v>674</v>
      </c>
      <c r="L48" s="1178" t="s">
        <v>675</v>
      </c>
      <c r="M48" s="1179">
        <v>22500000</v>
      </c>
      <c r="N48" s="1189" t="s">
        <v>732</v>
      </c>
      <c r="O48" s="1189" t="s">
        <v>1497</v>
      </c>
      <c r="R48" s="1159"/>
    </row>
    <row r="49" spans="1:15" s="1159" customFormat="1" ht="75" x14ac:dyDescent="0.3">
      <c r="A49" s="1172">
        <v>2022043</v>
      </c>
      <c r="B49" s="1172">
        <v>7655</v>
      </c>
      <c r="C49" s="1172" t="s">
        <v>668</v>
      </c>
      <c r="D49" s="1190" t="s">
        <v>689</v>
      </c>
      <c r="E49" s="1191" t="s">
        <v>778</v>
      </c>
      <c r="F49" s="1192" t="s">
        <v>779</v>
      </c>
      <c r="G49" s="1193">
        <v>44575</v>
      </c>
      <c r="H49" s="1193">
        <v>44575</v>
      </c>
      <c r="I49" s="1194" t="s">
        <v>1534</v>
      </c>
      <c r="J49" s="1195" t="s">
        <v>1535</v>
      </c>
      <c r="K49" s="1176" t="s">
        <v>674</v>
      </c>
      <c r="L49" s="1178" t="s">
        <v>780</v>
      </c>
      <c r="M49" s="1196">
        <v>92000000</v>
      </c>
      <c r="N49" s="1197" t="s">
        <v>730</v>
      </c>
      <c r="O49" s="1197" t="s">
        <v>1536</v>
      </c>
    </row>
    <row r="50" spans="1:15" s="1159" customFormat="1" ht="60" x14ac:dyDescent="0.3">
      <c r="A50" s="1172">
        <v>2022044</v>
      </c>
      <c r="B50" s="1172">
        <v>7655</v>
      </c>
      <c r="C50" s="1172" t="s">
        <v>668</v>
      </c>
      <c r="D50" s="1190" t="s">
        <v>689</v>
      </c>
      <c r="E50" s="1191" t="s">
        <v>778</v>
      </c>
      <c r="F50" s="1198" t="s">
        <v>783</v>
      </c>
      <c r="G50" s="1193">
        <v>44575</v>
      </c>
      <c r="H50" s="1193">
        <v>44575</v>
      </c>
      <c r="I50" s="1194" t="s">
        <v>1534</v>
      </c>
      <c r="J50" s="1195" t="s">
        <v>1535</v>
      </c>
      <c r="K50" s="1176" t="s">
        <v>674</v>
      </c>
      <c r="L50" s="1178" t="s">
        <v>780</v>
      </c>
      <c r="M50" s="1196">
        <v>103500000</v>
      </c>
      <c r="N50" s="1197" t="s">
        <v>730</v>
      </c>
      <c r="O50" s="1197" t="s">
        <v>1536</v>
      </c>
    </row>
    <row r="51" spans="1:15" s="1159" customFormat="1" ht="60" x14ac:dyDescent="0.3">
      <c r="A51" s="1172">
        <v>2022045</v>
      </c>
      <c r="B51" s="1172">
        <v>7655</v>
      </c>
      <c r="C51" s="1172" t="s">
        <v>668</v>
      </c>
      <c r="D51" s="1190" t="s">
        <v>689</v>
      </c>
      <c r="E51" s="1191" t="s">
        <v>778</v>
      </c>
      <c r="F51" s="1198" t="s">
        <v>785</v>
      </c>
      <c r="G51" s="1193">
        <v>44575</v>
      </c>
      <c r="H51" s="1193">
        <v>44575</v>
      </c>
      <c r="I51" s="1194" t="s">
        <v>1534</v>
      </c>
      <c r="J51" s="1195" t="s">
        <v>1535</v>
      </c>
      <c r="K51" s="1176" t="s">
        <v>674</v>
      </c>
      <c r="L51" s="1178" t="s">
        <v>675</v>
      </c>
      <c r="M51" s="1196">
        <v>57500000</v>
      </c>
      <c r="N51" s="1197" t="s">
        <v>730</v>
      </c>
      <c r="O51" s="1197" t="s">
        <v>1536</v>
      </c>
    </row>
    <row r="52" spans="1:15" s="1159" customFormat="1" ht="60" x14ac:dyDescent="0.3">
      <c r="A52" s="1172">
        <v>2022046</v>
      </c>
      <c r="B52" s="1172">
        <v>7655</v>
      </c>
      <c r="C52" s="1172" t="s">
        <v>668</v>
      </c>
      <c r="D52" s="1190" t="s">
        <v>689</v>
      </c>
      <c r="E52" s="1191" t="s">
        <v>778</v>
      </c>
      <c r="F52" s="1192" t="s">
        <v>786</v>
      </c>
      <c r="G52" s="1193">
        <v>44575</v>
      </c>
      <c r="H52" s="1193">
        <v>44575</v>
      </c>
      <c r="I52" s="1194" t="s">
        <v>1534</v>
      </c>
      <c r="J52" s="1195" t="s">
        <v>1535</v>
      </c>
      <c r="K52" s="1176" t="s">
        <v>674</v>
      </c>
      <c r="L52" s="1178" t="s">
        <v>675</v>
      </c>
      <c r="M52" s="1196">
        <v>78200000</v>
      </c>
      <c r="N52" s="1197" t="s">
        <v>730</v>
      </c>
      <c r="O52" s="1197" t="s">
        <v>1536</v>
      </c>
    </row>
    <row r="53" spans="1:15" s="1159" customFormat="1" ht="60" x14ac:dyDescent="0.3">
      <c r="A53" s="1172">
        <v>2022047</v>
      </c>
      <c r="B53" s="1172">
        <v>7655</v>
      </c>
      <c r="C53" s="1172" t="s">
        <v>668</v>
      </c>
      <c r="D53" s="1190" t="s">
        <v>689</v>
      </c>
      <c r="E53" s="1191" t="s">
        <v>778</v>
      </c>
      <c r="F53" s="1198" t="s">
        <v>787</v>
      </c>
      <c r="G53" s="1193">
        <v>44575</v>
      </c>
      <c r="H53" s="1193">
        <v>44575</v>
      </c>
      <c r="I53" s="1194" t="s">
        <v>1534</v>
      </c>
      <c r="J53" s="1195" t="s">
        <v>1535</v>
      </c>
      <c r="K53" s="1176" t="s">
        <v>674</v>
      </c>
      <c r="L53" s="1178" t="s">
        <v>675</v>
      </c>
      <c r="M53" s="1196">
        <v>38525000</v>
      </c>
      <c r="N53" s="1197" t="s">
        <v>730</v>
      </c>
      <c r="O53" s="1197" t="s">
        <v>1536</v>
      </c>
    </row>
    <row r="54" spans="1:15" s="1159" customFormat="1" ht="60" x14ac:dyDescent="0.3">
      <c r="A54" s="1172">
        <v>2022048</v>
      </c>
      <c r="B54" s="1172">
        <v>7655</v>
      </c>
      <c r="C54" s="1172" t="s">
        <v>668</v>
      </c>
      <c r="D54" s="1190" t="s">
        <v>689</v>
      </c>
      <c r="E54" s="1191" t="s">
        <v>778</v>
      </c>
      <c r="F54" s="1198" t="s">
        <v>788</v>
      </c>
      <c r="G54" s="1193">
        <v>44575</v>
      </c>
      <c r="H54" s="1193">
        <v>44575</v>
      </c>
      <c r="I54" s="1194" t="s">
        <v>1534</v>
      </c>
      <c r="J54" s="1195" t="s">
        <v>1535</v>
      </c>
      <c r="K54" s="1176" t="s">
        <v>674</v>
      </c>
      <c r="L54" s="1178" t="s">
        <v>780</v>
      </c>
      <c r="M54" s="1196">
        <v>92000000</v>
      </c>
      <c r="N54" s="1197" t="s">
        <v>730</v>
      </c>
      <c r="O54" s="1197" t="s">
        <v>1536</v>
      </c>
    </row>
    <row r="55" spans="1:15" s="1159" customFormat="1" ht="60" x14ac:dyDescent="0.3">
      <c r="A55" s="1172">
        <v>2022049</v>
      </c>
      <c r="B55" s="1172">
        <v>7655</v>
      </c>
      <c r="C55" s="1172" t="s">
        <v>668</v>
      </c>
      <c r="D55" s="1190" t="s">
        <v>689</v>
      </c>
      <c r="E55" s="1191" t="s">
        <v>778</v>
      </c>
      <c r="F55" s="1198" t="s">
        <v>1305</v>
      </c>
      <c r="G55" s="1193">
        <v>44575</v>
      </c>
      <c r="H55" s="1193">
        <v>44575</v>
      </c>
      <c r="I55" s="1194" t="s">
        <v>1537</v>
      </c>
      <c r="J55" s="1195" t="s">
        <v>1535</v>
      </c>
      <c r="K55" s="1176" t="s">
        <v>674</v>
      </c>
      <c r="L55" s="1178" t="s">
        <v>675</v>
      </c>
      <c r="M55" s="1196">
        <v>16800000</v>
      </c>
      <c r="N55" s="1197" t="s">
        <v>730</v>
      </c>
      <c r="O55" s="1197" t="s">
        <v>1536</v>
      </c>
    </row>
    <row r="56" spans="1:15" s="1159" customFormat="1" ht="60" x14ac:dyDescent="0.3">
      <c r="A56" s="1172">
        <v>2022050</v>
      </c>
      <c r="B56" s="1172">
        <v>7655</v>
      </c>
      <c r="C56" s="1172" t="s">
        <v>668</v>
      </c>
      <c r="D56" s="1190" t="s">
        <v>689</v>
      </c>
      <c r="E56" s="1191" t="s">
        <v>778</v>
      </c>
      <c r="F56" s="1198" t="s">
        <v>789</v>
      </c>
      <c r="G56" s="1193">
        <v>44575</v>
      </c>
      <c r="H56" s="1193">
        <v>44575</v>
      </c>
      <c r="I56" s="1194" t="s">
        <v>1538</v>
      </c>
      <c r="J56" s="1195" t="s">
        <v>1535</v>
      </c>
      <c r="K56" s="1176" t="s">
        <v>674</v>
      </c>
      <c r="L56" s="1178" t="s">
        <v>675</v>
      </c>
      <c r="M56" s="1196">
        <v>38500000</v>
      </c>
      <c r="N56" s="1197" t="s">
        <v>730</v>
      </c>
      <c r="O56" s="1197" t="s">
        <v>1536</v>
      </c>
    </row>
    <row r="57" spans="1:15" s="1159" customFormat="1" ht="60" x14ac:dyDescent="0.3">
      <c r="A57" s="1172">
        <v>2022051</v>
      </c>
      <c r="B57" s="1172">
        <v>7655</v>
      </c>
      <c r="C57" s="1172" t="s">
        <v>668</v>
      </c>
      <c r="D57" s="1190" t="s">
        <v>689</v>
      </c>
      <c r="E57" s="1191" t="s">
        <v>778</v>
      </c>
      <c r="F57" s="1198" t="s">
        <v>790</v>
      </c>
      <c r="G57" s="1193">
        <v>44575</v>
      </c>
      <c r="H57" s="1193">
        <v>44575</v>
      </c>
      <c r="I57" s="1194" t="s">
        <v>1534</v>
      </c>
      <c r="J57" s="1195" t="s">
        <v>1535</v>
      </c>
      <c r="K57" s="1176" t="s">
        <v>674</v>
      </c>
      <c r="L57" s="1178" t="s">
        <v>675</v>
      </c>
      <c r="M57" s="1196">
        <v>20700000</v>
      </c>
      <c r="N57" s="1197" t="s">
        <v>730</v>
      </c>
      <c r="O57" s="1197" t="s">
        <v>1536</v>
      </c>
    </row>
    <row r="58" spans="1:15" s="1159" customFormat="1" ht="60" x14ac:dyDescent="0.3">
      <c r="A58" s="1172">
        <v>2022052</v>
      </c>
      <c r="B58" s="1172">
        <v>7655</v>
      </c>
      <c r="C58" s="1172" t="s">
        <v>668</v>
      </c>
      <c r="D58" s="1190" t="s">
        <v>689</v>
      </c>
      <c r="E58" s="1191" t="s">
        <v>778</v>
      </c>
      <c r="F58" s="1198" t="s">
        <v>791</v>
      </c>
      <c r="G58" s="1193">
        <v>44575</v>
      </c>
      <c r="H58" s="1193">
        <v>44575</v>
      </c>
      <c r="I58" s="1194" t="s">
        <v>1534</v>
      </c>
      <c r="J58" s="1195" t="s">
        <v>1535</v>
      </c>
      <c r="K58" s="1176" t="s">
        <v>674</v>
      </c>
      <c r="L58" s="1178" t="s">
        <v>675</v>
      </c>
      <c r="M58" s="1196">
        <v>83950000</v>
      </c>
      <c r="N58" s="1197" t="s">
        <v>730</v>
      </c>
      <c r="O58" s="1197" t="s">
        <v>1536</v>
      </c>
    </row>
    <row r="59" spans="1:15" s="1159" customFormat="1" ht="60" x14ac:dyDescent="0.3">
      <c r="A59" s="1172">
        <v>2022053</v>
      </c>
      <c r="B59" s="1172">
        <v>7655</v>
      </c>
      <c r="C59" s="1172" t="s">
        <v>668</v>
      </c>
      <c r="D59" s="1190" t="s">
        <v>689</v>
      </c>
      <c r="E59" s="1191" t="s">
        <v>778</v>
      </c>
      <c r="F59" s="1198" t="s">
        <v>792</v>
      </c>
      <c r="G59" s="1193">
        <v>44575</v>
      </c>
      <c r="H59" s="1193">
        <v>44575</v>
      </c>
      <c r="I59" s="1194" t="s">
        <v>1534</v>
      </c>
      <c r="J59" s="1195" t="s">
        <v>1535</v>
      </c>
      <c r="K59" s="1176" t="s">
        <v>674</v>
      </c>
      <c r="L59" s="1178" t="s">
        <v>675</v>
      </c>
      <c r="M59" s="1196">
        <v>38525000</v>
      </c>
      <c r="N59" s="1197" t="s">
        <v>730</v>
      </c>
      <c r="O59" s="1197" t="s">
        <v>1536</v>
      </c>
    </row>
    <row r="60" spans="1:15" s="1159" customFormat="1" ht="60" x14ac:dyDescent="0.3">
      <c r="A60" s="1172">
        <v>2022054</v>
      </c>
      <c r="B60" s="1172">
        <v>7655</v>
      </c>
      <c r="C60" s="1172" t="s">
        <v>668</v>
      </c>
      <c r="D60" s="1190" t="s">
        <v>689</v>
      </c>
      <c r="E60" s="1172" t="s">
        <v>778</v>
      </c>
      <c r="F60" s="1175" t="s">
        <v>793</v>
      </c>
      <c r="G60" s="1193">
        <v>44575</v>
      </c>
      <c r="H60" s="1193">
        <v>44575</v>
      </c>
      <c r="I60" s="1194" t="s">
        <v>1537</v>
      </c>
      <c r="J60" s="1195" t="s">
        <v>1535</v>
      </c>
      <c r="K60" s="1176" t="s">
        <v>674</v>
      </c>
      <c r="L60" s="1178" t="s">
        <v>675</v>
      </c>
      <c r="M60" s="1196">
        <v>27000000</v>
      </c>
      <c r="N60" s="1197" t="s">
        <v>730</v>
      </c>
      <c r="O60" s="1197" t="s">
        <v>1536</v>
      </c>
    </row>
    <row r="61" spans="1:15" s="1159" customFormat="1" ht="60" x14ac:dyDescent="0.3">
      <c r="A61" s="1172">
        <v>2022055</v>
      </c>
      <c r="B61" s="1172">
        <v>7655</v>
      </c>
      <c r="C61" s="1172" t="s">
        <v>668</v>
      </c>
      <c r="D61" s="1190" t="s">
        <v>689</v>
      </c>
      <c r="E61" s="1172" t="s">
        <v>778</v>
      </c>
      <c r="F61" s="1192" t="s">
        <v>794</v>
      </c>
      <c r="G61" s="1193">
        <v>44575</v>
      </c>
      <c r="H61" s="1193">
        <v>44575</v>
      </c>
      <c r="I61" s="1194" t="s">
        <v>1534</v>
      </c>
      <c r="J61" s="1195" t="s">
        <v>1535</v>
      </c>
      <c r="K61" s="1176" t="s">
        <v>674</v>
      </c>
      <c r="L61" s="1178" t="s">
        <v>675</v>
      </c>
      <c r="M61" s="1196">
        <v>51750000</v>
      </c>
      <c r="N61" s="1197" t="s">
        <v>730</v>
      </c>
      <c r="O61" s="1197" t="s">
        <v>1536</v>
      </c>
    </row>
    <row r="62" spans="1:15" s="1159" customFormat="1" ht="60" x14ac:dyDescent="0.3">
      <c r="A62" s="1172">
        <v>2022056</v>
      </c>
      <c r="B62" s="1172">
        <v>7655</v>
      </c>
      <c r="C62" s="1172" t="s">
        <v>668</v>
      </c>
      <c r="D62" s="1190" t="s">
        <v>689</v>
      </c>
      <c r="E62" s="1191">
        <v>80111600</v>
      </c>
      <c r="F62" s="1192" t="s">
        <v>1539</v>
      </c>
      <c r="G62" s="1193">
        <v>44575</v>
      </c>
      <c r="H62" s="1193">
        <v>44575</v>
      </c>
      <c r="I62" s="1194" t="s">
        <v>1534</v>
      </c>
      <c r="J62" s="1195" t="s">
        <v>1535</v>
      </c>
      <c r="K62" s="1176" t="s">
        <v>674</v>
      </c>
      <c r="L62" s="1176" t="s">
        <v>675</v>
      </c>
      <c r="M62" s="1196">
        <v>0</v>
      </c>
      <c r="N62" s="1197" t="s">
        <v>730</v>
      </c>
      <c r="O62" s="1197" t="s">
        <v>1536</v>
      </c>
    </row>
    <row r="63" spans="1:15" s="1159" customFormat="1" ht="60" x14ac:dyDescent="0.3">
      <c r="A63" s="1172">
        <v>2022057</v>
      </c>
      <c r="B63" s="1172">
        <v>7655</v>
      </c>
      <c r="C63" s="1172" t="s">
        <v>668</v>
      </c>
      <c r="D63" s="1190" t="s">
        <v>689</v>
      </c>
      <c r="E63" s="1191" t="s">
        <v>778</v>
      </c>
      <c r="F63" s="1192" t="s">
        <v>795</v>
      </c>
      <c r="G63" s="1193">
        <v>44575</v>
      </c>
      <c r="H63" s="1193">
        <v>44575</v>
      </c>
      <c r="I63" s="1194" t="s">
        <v>1534</v>
      </c>
      <c r="J63" s="1195" t="s">
        <v>1535</v>
      </c>
      <c r="K63" s="1176" t="s">
        <v>674</v>
      </c>
      <c r="L63" s="1178" t="s">
        <v>675</v>
      </c>
      <c r="M63" s="1196">
        <v>38525000</v>
      </c>
      <c r="N63" s="1197" t="s">
        <v>730</v>
      </c>
      <c r="O63" s="1197" t="s">
        <v>1536</v>
      </c>
    </row>
    <row r="64" spans="1:15" s="1159" customFormat="1" ht="60" x14ac:dyDescent="0.3">
      <c r="A64" s="1172">
        <v>2022058</v>
      </c>
      <c r="B64" s="1172">
        <v>7655</v>
      </c>
      <c r="C64" s="1172" t="s">
        <v>668</v>
      </c>
      <c r="D64" s="1190" t="s">
        <v>689</v>
      </c>
      <c r="E64" s="1172" t="s">
        <v>778</v>
      </c>
      <c r="F64" s="1192" t="s">
        <v>796</v>
      </c>
      <c r="G64" s="1193">
        <v>44575</v>
      </c>
      <c r="H64" s="1193">
        <v>44575</v>
      </c>
      <c r="I64" s="1194" t="s">
        <v>1534</v>
      </c>
      <c r="J64" s="1195" t="s">
        <v>1535</v>
      </c>
      <c r="K64" s="1176" t="s">
        <v>674</v>
      </c>
      <c r="L64" s="1178" t="s">
        <v>675</v>
      </c>
      <c r="M64" s="1196">
        <v>28175000</v>
      </c>
      <c r="N64" s="1197" t="s">
        <v>730</v>
      </c>
      <c r="O64" s="1197" t="s">
        <v>1536</v>
      </c>
    </row>
    <row r="65" spans="1:15" s="1159" customFormat="1" ht="60" x14ac:dyDescent="0.3">
      <c r="A65" s="1172">
        <v>2022059</v>
      </c>
      <c r="B65" s="1172">
        <v>7655</v>
      </c>
      <c r="C65" s="1172" t="s">
        <v>668</v>
      </c>
      <c r="D65" s="1190" t="s">
        <v>689</v>
      </c>
      <c r="E65" s="1191" t="s">
        <v>778</v>
      </c>
      <c r="F65" s="1198" t="s">
        <v>797</v>
      </c>
      <c r="G65" s="1193">
        <v>44575</v>
      </c>
      <c r="H65" s="1193">
        <v>44575</v>
      </c>
      <c r="I65" s="1194" t="s">
        <v>1534</v>
      </c>
      <c r="J65" s="1195" t="s">
        <v>1535</v>
      </c>
      <c r="K65" s="1176" t="s">
        <v>674</v>
      </c>
      <c r="L65" s="1178" t="s">
        <v>675</v>
      </c>
      <c r="M65" s="1196">
        <v>44275000</v>
      </c>
      <c r="N65" s="1197" t="s">
        <v>730</v>
      </c>
      <c r="O65" s="1197" t="s">
        <v>1536</v>
      </c>
    </row>
    <row r="66" spans="1:15" s="1159" customFormat="1" ht="60" x14ac:dyDescent="0.3">
      <c r="A66" s="1172">
        <v>2022060</v>
      </c>
      <c r="B66" s="1172">
        <v>7655</v>
      </c>
      <c r="C66" s="1172" t="s">
        <v>668</v>
      </c>
      <c r="D66" s="1190" t="s">
        <v>689</v>
      </c>
      <c r="E66" s="1191" t="s">
        <v>778</v>
      </c>
      <c r="F66" s="1198" t="s">
        <v>797</v>
      </c>
      <c r="G66" s="1193">
        <v>44575</v>
      </c>
      <c r="H66" s="1193">
        <v>44575</v>
      </c>
      <c r="I66" s="1194" t="s">
        <v>1534</v>
      </c>
      <c r="J66" s="1195" t="s">
        <v>1535</v>
      </c>
      <c r="K66" s="1176" t="s">
        <v>674</v>
      </c>
      <c r="L66" s="1178" t="s">
        <v>675</v>
      </c>
      <c r="M66" s="1196">
        <v>44275000</v>
      </c>
      <c r="N66" s="1197" t="s">
        <v>730</v>
      </c>
      <c r="O66" s="1197" t="s">
        <v>1536</v>
      </c>
    </row>
    <row r="67" spans="1:15" s="1159" customFormat="1" ht="75" x14ac:dyDescent="0.3">
      <c r="A67" s="1172">
        <v>2022061</v>
      </c>
      <c r="B67" s="1172">
        <v>7655</v>
      </c>
      <c r="C67" s="1172" t="s">
        <v>668</v>
      </c>
      <c r="D67" s="1190" t="s">
        <v>689</v>
      </c>
      <c r="E67" s="1191" t="s">
        <v>778</v>
      </c>
      <c r="F67" s="1198" t="s">
        <v>798</v>
      </c>
      <c r="G67" s="1193">
        <v>44575</v>
      </c>
      <c r="H67" s="1193">
        <v>44575</v>
      </c>
      <c r="I67" s="1194" t="s">
        <v>1534</v>
      </c>
      <c r="J67" s="1195" t="s">
        <v>1535</v>
      </c>
      <c r="K67" s="1176" t="s">
        <v>674</v>
      </c>
      <c r="L67" s="1178" t="s">
        <v>675</v>
      </c>
      <c r="M67" s="1196">
        <v>51750000</v>
      </c>
      <c r="N67" s="1197" t="s">
        <v>730</v>
      </c>
      <c r="O67" s="1197" t="s">
        <v>1536</v>
      </c>
    </row>
    <row r="68" spans="1:15" s="1159" customFormat="1" ht="75" x14ac:dyDescent="0.3">
      <c r="A68" s="1172">
        <v>2022062</v>
      </c>
      <c r="B68" s="1172">
        <v>7655</v>
      </c>
      <c r="C68" s="1172" t="s">
        <v>668</v>
      </c>
      <c r="D68" s="1190" t="s">
        <v>689</v>
      </c>
      <c r="E68" s="1191" t="s">
        <v>778</v>
      </c>
      <c r="F68" s="1198" t="s">
        <v>799</v>
      </c>
      <c r="G68" s="1193">
        <v>44575</v>
      </c>
      <c r="H68" s="1193">
        <v>44575</v>
      </c>
      <c r="I68" s="1194" t="s">
        <v>1538</v>
      </c>
      <c r="J68" s="1195" t="s">
        <v>1535</v>
      </c>
      <c r="K68" s="1176" t="s">
        <v>674</v>
      </c>
      <c r="L68" s="1178" t="s">
        <v>675</v>
      </c>
      <c r="M68" s="1196">
        <v>51100000</v>
      </c>
      <c r="N68" s="1197" t="s">
        <v>730</v>
      </c>
      <c r="O68" s="1197" t="s">
        <v>1536</v>
      </c>
    </row>
    <row r="69" spans="1:15" s="1159" customFormat="1" ht="60" x14ac:dyDescent="0.3">
      <c r="A69" s="1172">
        <v>2022063</v>
      </c>
      <c r="B69" s="1172">
        <v>7655</v>
      </c>
      <c r="C69" s="1172" t="s">
        <v>668</v>
      </c>
      <c r="D69" s="1190" t="s">
        <v>689</v>
      </c>
      <c r="E69" s="1191" t="s">
        <v>800</v>
      </c>
      <c r="F69" s="1198" t="s">
        <v>801</v>
      </c>
      <c r="G69" s="1193">
        <v>44630</v>
      </c>
      <c r="H69" s="1193">
        <v>44630</v>
      </c>
      <c r="I69" s="1194" t="s">
        <v>1540</v>
      </c>
      <c r="J69" s="1195" t="s">
        <v>1512</v>
      </c>
      <c r="K69" s="1176" t="s">
        <v>674</v>
      </c>
      <c r="L69" s="1178" t="s">
        <v>802</v>
      </c>
      <c r="M69" s="1196">
        <v>20000000</v>
      </c>
      <c r="N69" s="1197" t="s">
        <v>730</v>
      </c>
      <c r="O69" s="1197" t="s">
        <v>1536</v>
      </c>
    </row>
    <row r="70" spans="1:15" s="1159" customFormat="1" ht="60" x14ac:dyDescent="0.3">
      <c r="A70" s="1172">
        <v>2022064</v>
      </c>
      <c r="B70" s="1172">
        <v>7655</v>
      </c>
      <c r="C70" s="1172" t="s">
        <v>668</v>
      </c>
      <c r="D70" s="1190" t="s">
        <v>689</v>
      </c>
      <c r="E70" s="1172" t="s">
        <v>803</v>
      </c>
      <c r="F70" s="1198" t="s">
        <v>804</v>
      </c>
      <c r="G70" s="1193">
        <v>44576</v>
      </c>
      <c r="H70" s="1193">
        <v>44576</v>
      </c>
      <c r="I70" s="1194" t="s">
        <v>97</v>
      </c>
      <c r="J70" s="1195" t="s">
        <v>1503</v>
      </c>
      <c r="K70" s="1176" t="s">
        <v>674</v>
      </c>
      <c r="L70" s="1178" t="s">
        <v>675</v>
      </c>
      <c r="M70" s="1196">
        <v>20000000</v>
      </c>
      <c r="N70" s="1197" t="s">
        <v>730</v>
      </c>
      <c r="O70" s="1197" t="s">
        <v>1536</v>
      </c>
    </row>
    <row r="71" spans="1:15" s="1159" customFormat="1" ht="60" x14ac:dyDescent="0.3">
      <c r="A71" s="1172">
        <v>2022065</v>
      </c>
      <c r="B71" s="1172">
        <v>7655</v>
      </c>
      <c r="C71" s="1172" t="s">
        <v>668</v>
      </c>
      <c r="D71" s="1190" t="s">
        <v>689</v>
      </c>
      <c r="E71" s="1172" t="s">
        <v>803</v>
      </c>
      <c r="F71" s="1198" t="s">
        <v>805</v>
      </c>
      <c r="G71" s="1193">
        <v>44607</v>
      </c>
      <c r="H71" s="1193">
        <v>44607</v>
      </c>
      <c r="I71" s="1194" t="s">
        <v>1541</v>
      </c>
      <c r="J71" s="1195" t="s">
        <v>1503</v>
      </c>
      <c r="K71" s="1176" t="s">
        <v>674</v>
      </c>
      <c r="L71" s="1178" t="s">
        <v>675</v>
      </c>
      <c r="M71" s="1196">
        <v>140000000</v>
      </c>
      <c r="N71" s="1197" t="s">
        <v>730</v>
      </c>
      <c r="O71" s="1197" t="s">
        <v>1536</v>
      </c>
    </row>
    <row r="72" spans="1:15" s="1159" customFormat="1" ht="60" x14ac:dyDescent="0.3">
      <c r="A72" s="1172">
        <v>2022066</v>
      </c>
      <c r="B72" s="1172">
        <v>7655</v>
      </c>
      <c r="C72" s="1172" t="s">
        <v>668</v>
      </c>
      <c r="D72" s="1190" t="s">
        <v>689</v>
      </c>
      <c r="E72" s="1172">
        <v>76121900</v>
      </c>
      <c r="F72" s="1192" t="s">
        <v>1542</v>
      </c>
      <c r="G72" s="1193">
        <v>44635</v>
      </c>
      <c r="H72" s="1193">
        <v>44635</v>
      </c>
      <c r="I72" s="1194" t="s">
        <v>1543</v>
      </c>
      <c r="J72" s="1195" t="s">
        <v>1512</v>
      </c>
      <c r="K72" s="1176" t="s">
        <v>674</v>
      </c>
      <c r="L72" s="1178" t="s">
        <v>675</v>
      </c>
      <c r="M72" s="1196">
        <v>2060000</v>
      </c>
      <c r="N72" s="1197" t="s">
        <v>730</v>
      </c>
      <c r="O72" s="1197" t="s">
        <v>1536</v>
      </c>
    </row>
    <row r="73" spans="1:15" s="1159" customFormat="1" ht="60" x14ac:dyDescent="0.3">
      <c r="A73" s="1172">
        <v>2022067</v>
      </c>
      <c r="B73" s="1172">
        <v>7655</v>
      </c>
      <c r="C73" s="1172" t="s">
        <v>668</v>
      </c>
      <c r="D73" s="1190" t="s">
        <v>689</v>
      </c>
      <c r="E73" s="1172" t="s">
        <v>1544</v>
      </c>
      <c r="F73" s="1192" t="s">
        <v>1545</v>
      </c>
      <c r="G73" s="1193">
        <v>44635</v>
      </c>
      <c r="H73" s="1193">
        <v>44635</v>
      </c>
      <c r="I73" s="1195" t="s">
        <v>1546</v>
      </c>
      <c r="J73" s="1195" t="s">
        <v>1546</v>
      </c>
      <c r="K73" s="1176" t="s">
        <v>674</v>
      </c>
      <c r="L73" s="1178" t="s">
        <v>675</v>
      </c>
      <c r="M73" s="1196">
        <v>1110000</v>
      </c>
      <c r="N73" s="1197" t="s">
        <v>730</v>
      </c>
      <c r="O73" s="1197" t="s">
        <v>1536</v>
      </c>
    </row>
    <row r="74" spans="1:15" s="1159" customFormat="1" ht="60" x14ac:dyDescent="0.3">
      <c r="A74" s="1172">
        <v>2022068</v>
      </c>
      <c r="B74" s="1172">
        <v>7655</v>
      </c>
      <c r="C74" s="1172" t="s">
        <v>668</v>
      </c>
      <c r="D74" s="1190" t="s">
        <v>689</v>
      </c>
      <c r="E74" s="1191" t="s">
        <v>778</v>
      </c>
      <c r="F74" s="1198" t="s">
        <v>806</v>
      </c>
      <c r="G74" s="1193">
        <v>44575</v>
      </c>
      <c r="H74" s="1193">
        <v>44575</v>
      </c>
      <c r="I74" s="1194" t="s">
        <v>1534</v>
      </c>
      <c r="J74" s="1195" t="s">
        <v>1535</v>
      </c>
      <c r="K74" s="1176" t="s">
        <v>674</v>
      </c>
      <c r="L74" s="1178" t="s">
        <v>675</v>
      </c>
      <c r="M74" s="1196">
        <v>44275000</v>
      </c>
      <c r="N74" s="1197" t="s">
        <v>730</v>
      </c>
      <c r="O74" s="1197" t="s">
        <v>1536</v>
      </c>
    </row>
    <row r="75" spans="1:15" s="1159" customFormat="1" ht="60" x14ac:dyDescent="0.3">
      <c r="A75" s="1172">
        <v>2022069</v>
      </c>
      <c r="B75" s="1172">
        <v>7655</v>
      </c>
      <c r="C75" s="1172" t="s">
        <v>668</v>
      </c>
      <c r="D75" s="1190" t="s">
        <v>689</v>
      </c>
      <c r="E75" s="1191" t="s">
        <v>778</v>
      </c>
      <c r="F75" s="1198" t="s">
        <v>807</v>
      </c>
      <c r="G75" s="1193">
        <v>44575</v>
      </c>
      <c r="H75" s="1193">
        <v>44575</v>
      </c>
      <c r="I75" s="1194" t="s">
        <v>1534</v>
      </c>
      <c r="J75" s="1195" t="s">
        <v>1535</v>
      </c>
      <c r="K75" s="1176" t="s">
        <v>674</v>
      </c>
      <c r="L75" s="1178" t="s">
        <v>780</v>
      </c>
      <c r="M75" s="1196">
        <v>47150000</v>
      </c>
      <c r="N75" s="1197" t="s">
        <v>730</v>
      </c>
      <c r="O75" s="1197" t="s">
        <v>1536</v>
      </c>
    </row>
    <row r="76" spans="1:15" s="1159" customFormat="1" ht="60" x14ac:dyDescent="0.3">
      <c r="A76" s="1172">
        <v>2022070</v>
      </c>
      <c r="B76" s="1172">
        <v>7655</v>
      </c>
      <c r="C76" s="1172" t="s">
        <v>668</v>
      </c>
      <c r="D76" s="1190" t="s">
        <v>689</v>
      </c>
      <c r="E76" s="1191" t="s">
        <v>778</v>
      </c>
      <c r="F76" s="1192" t="s">
        <v>807</v>
      </c>
      <c r="G76" s="1193">
        <v>44575</v>
      </c>
      <c r="H76" s="1193">
        <v>44575</v>
      </c>
      <c r="I76" s="1194" t="s">
        <v>1534</v>
      </c>
      <c r="J76" s="1195" t="s">
        <v>1535</v>
      </c>
      <c r="K76" s="1176" t="s">
        <v>674</v>
      </c>
      <c r="L76" s="1178" t="s">
        <v>675</v>
      </c>
      <c r="M76" s="1196">
        <v>63250000</v>
      </c>
      <c r="N76" s="1197" t="s">
        <v>730</v>
      </c>
      <c r="O76" s="1197" t="s">
        <v>1536</v>
      </c>
    </row>
    <row r="77" spans="1:15" s="1159" customFormat="1" ht="60" x14ac:dyDescent="0.3">
      <c r="A77" s="1172">
        <v>2022071</v>
      </c>
      <c r="B77" s="1172">
        <v>7655</v>
      </c>
      <c r="C77" s="1172" t="s">
        <v>668</v>
      </c>
      <c r="D77" s="1190" t="s">
        <v>689</v>
      </c>
      <c r="E77" s="1191" t="s">
        <v>778</v>
      </c>
      <c r="F77" s="1198" t="s">
        <v>807</v>
      </c>
      <c r="G77" s="1193">
        <v>44575</v>
      </c>
      <c r="H77" s="1193">
        <v>44575</v>
      </c>
      <c r="I77" s="1194" t="s">
        <v>1534</v>
      </c>
      <c r="J77" s="1195" t="s">
        <v>1535</v>
      </c>
      <c r="K77" s="1176" t="s">
        <v>674</v>
      </c>
      <c r="L77" s="1178" t="s">
        <v>675</v>
      </c>
      <c r="M77" s="1196">
        <v>63250000</v>
      </c>
      <c r="N77" s="1197" t="s">
        <v>730</v>
      </c>
      <c r="O77" s="1197" t="s">
        <v>1536</v>
      </c>
    </row>
    <row r="78" spans="1:15" s="1159" customFormat="1" ht="60" x14ac:dyDescent="0.3">
      <c r="A78" s="1172">
        <v>2022072</v>
      </c>
      <c r="B78" s="1172">
        <v>7655</v>
      </c>
      <c r="C78" s="1172" t="s">
        <v>668</v>
      </c>
      <c r="D78" s="1190" t="s">
        <v>689</v>
      </c>
      <c r="E78" s="1191" t="s">
        <v>778</v>
      </c>
      <c r="F78" s="1192" t="s">
        <v>808</v>
      </c>
      <c r="G78" s="1193">
        <v>44575</v>
      </c>
      <c r="H78" s="1193">
        <v>44575</v>
      </c>
      <c r="I78" s="1194" t="s">
        <v>1537</v>
      </c>
      <c r="J78" s="1195" t="s">
        <v>1535</v>
      </c>
      <c r="K78" s="1176" t="s">
        <v>674</v>
      </c>
      <c r="L78" s="1178" t="s">
        <v>675</v>
      </c>
      <c r="M78" s="1196">
        <v>16500000</v>
      </c>
      <c r="N78" s="1197" t="s">
        <v>730</v>
      </c>
      <c r="O78" s="1197" t="s">
        <v>1536</v>
      </c>
    </row>
    <row r="79" spans="1:15" s="1159" customFormat="1" ht="60" x14ac:dyDescent="0.3">
      <c r="A79" s="1172">
        <v>2022073</v>
      </c>
      <c r="B79" s="1172">
        <v>7655</v>
      </c>
      <c r="C79" s="1172" t="s">
        <v>668</v>
      </c>
      <c r="D79" s="1190" t="s">
        <v>689</v>
      </c>
      <c r="E79" s="1191" t="s">
        <v>778</v>
      </c>
      <c r="F79" s="1192" t="s">
        <v>807</v>
      </c>
      <c r="G79" s="1193">
        <v>44575</v>
      </c>
      <c r="H79" s="1193">
        <v>44575</v>
      </c>
      <c r="I79" s="1194" t="s">
        <v>1534</v>
      </c>
      <c r="J79" s="1195" t="s">
        <v>1535</v>
      </c>
      <c r="K79" s="1176" t="s">
        <v>674</v>
      </c>
      <c r="L79" s="1178" t="s">
        <v>675</v>
      </c>
      <c r="M79" s="1196">
        <v>63250000</v>
      </c>
      <c r="N79" s="1197" t="s">
        <v>730</v>
      </c>
      <c r="O79" s="1197" t="s">
        <v>1536</v>
      </c>
    </row>
    <row r="80" spans="1:15" s="1159" customFormat="1" ht="60" x14ac:dyDescent="0.3">
      <c r="A80" s="1172">
        <v>2022074</v>
      </c>
      <c r="B80" s="1172">
        <v>7655</v>
      </c>
      <c r="C80" s="1172" t="s">
        <v>668</v>
      </c>
      <c r="D80" s="1190" t="s">
        <v>689</v>
      </c>
      <c r="E80" s="1191" t="s">
        <v>778</v>
      </c>
      <c r="F80" s="1198" t="s">
        <v>807</v>
      </c>
      <c r="G80" s="1193">
        <v>44575</v>
      </c>
      <c r="H80" s="1193">
        <v>44575</v>
      </c>
      <c r="I80" s="1194" t="s">
        <v>1534</v>
      </c>
      <c r="J80" s="1195" t="s">
        <v>1535</v>
      </c>
      <c r="K80" s="1176" t="s">
        <v>674</v>
      </c>
      <c r="L80" s="1178" t="s">
        <v>675</v>
      </c>
      <c r="M80" s="1196">
        <v>58650000</v>
      </c>
      <c r="N80" s="1197" t="s">
        <v>730</v>
      </c>
      <c r="O80" s="1197" t="s">
        <v>1536</v>
      </c>
    </row>
    <row r="81" spans="1:15" s="1159" customFormat="1" ht="60" x14ac:dyDescent="0.3">
      <c r="A81" s="1172">
        <v>2022075</v>
      </c>
      <c r="B81" s="1172">
        <v>7655</v>
      </c>
      <c r="C81" s="1172" t="s">
        <v>668</v>
      </c>
      <c r="D81" s="1190" t="s">
        <v>689</v>
      </c>
      <c r="E81" s="1191" t="s">
        <v>778</v>
      </c>
      <c r="F81" s="1192" t="s">
        <v>808</v>
      </c>
      <c r="G81" s="1193">
        <v>44575</v>
      </c>
      <c r="H81" s="1193">
        <v>44575</v>
      </c>
      <c r="I81" s="1194" t="s">
        <v>1534</v>
      </c>
      <c r="J81" s="1195" t="s">
        <v>1535</v>
      </c>
      <c r="K81" s="1176" t="s">
        <v>674</v>
      </c>
      <c r="L81" s="1178" t="s">
        <v>675</v>
      </c>
      <c r="M81" s="1196">
        <v>31625000</v>
      </c>
      <c r="N81" s="1197" t="s">
        <v>730</v>
      </c>
      <c r="O81" s="1197" t="s">
        <v>1536</v>
      </c>
    </row>
    <row r="82" spans="1:15" s="1159" customFormat="1" ht="60" x14ac:dyDescent="0.3">
      <c r="A82" s="1172">
        <v>2022076</v>
      </c>
      <c r="B82" s="1172">
        <v>7655</v>
      </c>
      <c r="C82" s="1172" t="s">
        <v>668</v>
      </c>
      <c r="D82" s="1190" t="s">
        <v>689</v>
      </c>
      <c r="E82" s="1191" t="s">
        <v>778</v>
      </c>
      <c r="F82" s="1192" t="s">
        <v>809</v>
      </c>
      <c r="G82" s="1193">
        <v>44575</v>
      </c>
      <c r="H82" s="1193">
        <v>44575</v>
      </c>
      <c r="I82" s="1194" t="s">
        <v>1534</v>
      </c>
      <c r="J82" s="1195" t="s">
        <v>1535</v>
      </c>
      <c r="K82" s="1176" t="s">
        <v>674</v>
      </c>
      <c r="L82" s="1178" t="s">
        <v>675</v>
      </c>
      <c r="M82" s="1196">
        <v>28175000</v>
      </c>
      <c r="N82" s="1197" t="s">
        <v>730</v>
      </c>
      <c r="O82" s="1197" t="s">
        <v>1536</v>
      </c>
    </row>
    <row r="83" spans="1:15" s="1159" customFormat="1" ht="60" x14ac:dyDescent="0.3">
      <c r="A83" s="1172">
        <v>2022077</v>
      </c>
      <c r="B83" s="1172">
        <v>7655</v>
      </c>
      <c r="C83" s="1172" t="s">
        <v>668</v>
      </c>
      <c r="D83" s="1190" t="s">
        <v>689</v>
      </c>
      <c r="E83" s="1191" t="s">
        <v>778</v>
      </c>
      <c r="F83" s="1192" t="s">
        <v>809</v>
      </c>
      <c r="G83" s="1193">
        <v>44575</v>
      </c>
      <c r="H83" s="1193">
        <v>44575</v>
      </c>
      <c r="I83" s="1194" t="s">
        <v>1534</v>
      </c>
      <c r="J83" s="1195" t="s">
        <v>1535</v>
      </c>
      <c r="K83" s="1176" t="s">
        <v>674</v>
      </c>
      <c r="L83" s="1178" t="s">
        <v>675</v>
      </c>
      <c r="M83" s="1196">
        <v>28175000</v>
      </c>
      <c r="N83" s="1197" t="s">
        <v>730</v>
      </c>
      <c r="O83" s="1197" t="s">
        <v>1536</v>
      </c>
    </row>
    <row r="84" spans="1:15" s="1159" customFormat="1" ht="60" x14ac:dyDescent="0.3">
      <c r="A84" s="1172">
        <v>2022078</v>
      </c>
      <c r="B84" s="1172">
        <v>7655</v>
      </c>
      <c r="C84" s="1172" t="s">
        <v>668</v>
      </c>
      <c r="D84" s="1190" t="s">
        <v>689</v>
      </c>
      <c r="E84" s="1191" t="s">
        <v>778</v>
      </c>
      <c r="F84" s="1198" t="s">
        <v>810</v>
      </c>
      <c r="G84" s="1193">
        <v>44575</v>
      </c>
      <c r="H84" s="1193">
        <v>44575</v>
      </c>
      <c r="I84" s="1194" t="s">
        <v>1534</v>
      </c>
      <c r="J84" s="1195" t="s">
        <v>1535</v>
      </c>
      <c r="K84" s="1176" t="s">
        <v>674</v>
      </c>
      <c r="L84" s="1178" t="s">
        <v>675</v>
      </c>
      <c r="M84" s="1196">
        <v>24150000</v>
      </c>
      <c r="N84" s="1197" t="s">
        <v>730</v>
      </c>
      <c r="O84" s="1197" t="s">
        <v>1536</v>
      </c>
    </row>
    <row r="85" spans="1:15" s="1159" customFormat="1" ht="60" x14ac:dyDescent="0.3">
      <c r="A85" s="1172">
        <v>2022079</v>
      </c>
      <c r="B85" s="1172">
        <v>7655</v>
      </c>
      <c r="C85" s="1172" t="s">
        <v>668</v>
      </c>
      <c r="D85" s="1190" t="s">
        <v>689</v>
      </c>
      <c r="E85" s="1191" t="s">
        <v>778</v>
      </c>
      <c r="F85" s="1198" t="s">
        <v>811</v>
      </c>
      <c r="G85" s="1193">
        <v>44575</v>
      </c>
      <c r="H85" s="1193">
        <v>44575</v>
      </c>
      <c r="I85" s="1194" t="s">
        <v>1534</v>
      </c>
      <c r="J85" s="1195" t="s">
        <v>1535</v>
      </c>
      <c r="K85" s="1176" t="s">
        <v>674</v>
      </c>
      <c r="L85" s="1178" t="s">
        <v>675</v>
      </c>
      <c r="M85" s="1196">
        <v>57500000</v>
      </c>
      <c r="N85" s="1197" t="s">
        <v>730</v>
      </c>
      <c r="O85" s="1197" t="s">
        <v>1536</v>
      </c>
    </row>
    <row r="86" spans="1:15" s="1159" customFormat="1" ht="60" x14ac:dyDescent="0.3">
      <c r="A86" s="1172">
        <v>2022080</v>
      </c>
      <c r="B86" s="1172">
        <v>7655</v>
      </c>
      <c r="C86" s="1172" t="s">
        <v>668</v>
      </c>
      <c r="D86" s="1190" t="s">
        <v>689</v>
      </c>
      <c r="E86" s="1191" t="s">
        <v>778</v>
      </c>
      <c r="F86" s="1198" t="s">
        <v>812</v>
      </c>
      <c r="G86" s="1193">
        <v>44575</v>
      </c>
      <c r="H86" s="1193">
        <v>44575</v>
      </c>
      <c r="I86" s="1194" t="s">
        <v>1534</v>
      </c>
      <c r="J86" s="1195" t="s">
        <v>1535</v>
      </c>
      <c r="K86" s="1176" t="s">
        <v>674</v>
      </c>
      <c r="L86" s="1178" t="s">
        <v>675</v>
      </c>
      <c r="M86" s="1196">
        <v>83950000</v>
      </c>
      <c r="N86" s="1197" t="s">
        <v>730</v>
      </c>
      <c r="O86" s="1197" t="s">
        <v>1536</v>
      </c>
    </row>
    <row r="87" spans="1:15" s="1159" customFormat="1" ht="60" x14ac:dyDescent="0.3">
      <c r="A87" s="1172">
        <v>2022081</v>
      </c>
      <c r="B87" s="1172">
        <v>7655</v>
      </c>
      <c r="C87" s="1172" t="s">
        <v>668</v>
      </c>
      <c r="D87" s="1190" t="s">
        <v>689</v>
      </c>
      <c r="E87" s="1191" t="s">
        <v>778</v>
      </c>
      <c r="F87" s="1198" t="s">
        <v>813</v>
      </c>
      <c r="G87" s="1193">
        <v>44575</v>
      </c>
      <c r="H87" s="1193">
        <v>44575</v>
      </c>
      <c r="I87" s="1194" t="s">
        <v>1534</v>
      </c>
      <c r="J87" s="1195" t="s">
        <v>1535</v>
      </c>
      <c r="K87" s="1176" t="s">
        <v>674</v>
      </c>
      <c r="L87" s="1178" t="s">
        <v>675</v>
      </c>
      <c r="M87" s="1196">
        <v>28175000</v>
      </c>
      <c r="N87" s="1197" t="s">
        <v>730</v>
      </c>
      <c r="O87" s="1197" t="s">
        <v>1536</v>
      </c>
    </row>
    <row r="88" spans="1:15" s="1159" customFormat="1" ht="60" x14ac:dyDescent="0.3">
      <c r="A88" s="1172">
        <v>2022082</v>
      </c>
      <c r="B88" s="1172">
        <v>7655</v>
      </c>
      <c r="C88" s="1172" t="s">
        <v>668</v>
      </c>
      <c r="D88" s="1190" t="s">
        <v>689</v>
      </c>
      <c r="E88" s="1191" t="s">
        <v>778</v>
      </c>
      <c r="F88" s="1198" t="s">
        <v>809</v>
      </c>
      <c r="G88" s="1193">
        <v>44575</v>
      </c>
      <c r="H88" s="1193">
        <v>44575</v>
      </c>
      <c r="I88" s="1194" t="s">
        <v>1534</v>
      </c>
      <c r="J88" s="1195" t="s">
        <v>1535</v>
      </c>
      <c r="K88" s="1176" t="s">
        <v>674</v>
      </c>
      <c r="L88" s="1178" t="s">
        <v>675</v>
      </c>
      <c r="M88" s="1196">
        <v>28175000</v>
      </c>
      <c r="N88" s="1197" t="s">
        <v>730</v>
      </c>
      <c r="O88" s="1197" t="s">
        <v>1536</v>
      </c>
    </row>
    <row r="89" spans="1:15" s="1159" customFormat="1" ht="60" x14ac:dyDescent="0.3">
      <c r="A89" s="1172">
        <v>2022083</v>
      </c>
      <c r="B89" s="1172">
        <v>7655</v>
      </c>
      <c r="C89" s="1172" t="s">
        <v>668</v>
      </c>
      <c r="D89" s="1190" t="s">
        <v>689</v>
      </c>
      <c r="E89" s="1172" t="s">
        <v>778</v>
      </c>
      <c r="F89" s="1198" t="s">
        <v>809</v>
      </c>
      <c r="G89" s="1193">
        <v>44575</v>
      </c>
      <c r="H89" s="1193">
        <v>44575</v>
      </c>
      <c r="I89" s="1194" t="s">
        <v>1534</v>
      </c>
      <c r="J89" s="1195" t="s">
        <v>1535</v>
      </c>
      <c r="K89" s="1176" t="s">
        <v>674</v>
      </c>
      <c r="L89" s="1178" t="s">
        <v>675</v>
      </c>
      <c r="M89" s="1196">
        <v>28175000</v>
      </c>
      <c r="N89" s="1197" t="s">
        <v>730</v>
      </c>
      <c r="O89" s="1197" t="s">
        <v>1536</v>
      </c>
    </row>
    <row r="90" spans="1:15" s="1159" customFormat="1" ht="60" x14ac:dyDescent="0.3">
      <c r="A90" s="1172">
        <v>2022084</v>
      </c>
      <c r="B90" s="1172">
        <v>7655</v>
      </c>
      <c r="C90" s="1172" t="s">
        <v>668</v>
      </c>
      <c r="D90" s="1190" t="s">
        <v>689</v>
      </c>
      <c r="E90" s="1172" t="s">
        <v>778</v>
      </c>
      <c r="F90" s="1198" t="s">
        <v>809</v>
      </c>
      <c r="G90" s="1193">
        <v>44575</v>
      </c>
      <c r="H90" s="1193">
        <v>44575</v>
      </c>
      <c r="I90" s="1194" t="s">
        <v>1534</v>
      </c>
      <c r="J90" s="1195" t="s">
        <v>1535</v>
      </c>
      <c r="K90" s="1176" t="s">
        <v>674</v>
      </c>
      <c r="L90" s="1178" t="s">
        <v>675</v>
      </c>
      <c r="M90" s="1196">
        <v>28175000</v>
      </c>
      <c r="N90" s="1197" t="s">
        <v>730</v>
      </c>
      <c r="O90" s="1197" t="s">
        <v>1536</v>
      </c>
    </row>
    <row r="91" spans="1:15" s="1159" customFormat="1" ht="60" x14ac:dyDescent="0.3">
      <c r="A91" s="1172">
        <v>2022085</v>
      </c>
      <c r="B91" s="1172">
        <v>7655</v>
      </c>
      <c r="C91" s="1172" t="s">
        <v>668</v>
      </c>
      <c r="D91" s="1190" t="s">
        <v>689</v>
      </c>
      <c r="E91" s="1191" t="s">
        <v>778</v>
      </c>
      <c r="F91" s="1198" t="s">
        <v>814</v>
      </c>
      <c r="G91" s="1193">
        <v>44575</v>
      </c>
      <c r="H91" s="1193">
        <v>44575</v>
      </c>
      <c r="I91" s="1194" t="s">
        <v>1534</v>
      </c>
      <c r="J91" s="1195" t="s">
        <v>1535</v>
      </c>
      <c r="K91" s="1176" t="s">
        <v>674</v>
      </c>
      <c r="L91" s="1178" t="s">
        <v>675</v>
      </c>
      <c r="M91" s="1196">
        <v>78200000</v>
      </c>
      <c r="N91" s="1197" t="s">
        <v>730</v>
      </c>
      <c r="O91" s="1197" t="s">
        <v>1536</v>
      </c>
    </row>
    <row r="92" spans="1:15" s="1159" customFormat="1" ht="60" x14ac:dyDescent="0.3">
      <c r="A92" s="1172">
        <v>2022086</v>
      </c>
      <c r="B92" s="1172">
        <v>7655</v>
      </c>
      <c r="C92" s="1172" t="s">
        <v>668</v>
      </c>
      <c r="D92" s="1190" t="s">
        <v>689</v>
      </c>
      <c r="E92" s="1191" t="s">
        <v>778</v>
      </c>
      <c r="F92" s="1175" t="s">
        <v>815</v>
      </c>
      <c r="G92" s="1193">
        <v>44575</v>
      </c>
      <c r="H92" s="1193">
        <v>44575</v>
      </c>
      <c r="I92" s="1194" t="s">
        <v>1534</v>
      </c>
      <c r="J92" s="1195" t="s">
        <v>1535</v>
      </c>
      <c r="K92" s="1176" t="s">
        <v>674</v>
      </c>
      <c r="L92" s="1178" t="s">
        <v>675</v>
      </c>
      <c r="M92" s="1196">
        <v>36800000</v>
      </c>
      <c r="N92" s="1197" t="s">
        <v>730</v>
      </c>
      <c r="O92" s="1197" t="s">
        <v>1536</v>
      </c>
    </row>
    <row r="93" spans="1:15" s="1159" customFormat="1" ht="75" x14ac:dyDescent="0.3">
      <c r="A93" s="1172">
        <v>2022087</v>
      </c>
      <c r="B93" s="1172">
        <v>7655</v>
      </c>
      <c r="C93" s="1172" t="s">
        <v>668</v>
      </c>
      <c r="D93" s="1190" t="s">
        <v>689</v>
      </c>
      <c r="E93" s="1191" t="s">
        <v>778</v>
      </c>
      <c r="F93" s="1199" t="s">
        <v>816</v>
      </c>
      <c r="G93" s="1193">
        <v>44575</v>
      </c>
      <c r="H93" s="1193">
        <v>44575</v>
      </c>
      <c r="I93" s="1194" t="s">
        <v>1534</v>
      </c>
      <c r="J93" s="1195" t="s">
        <v>1535</v>
      </c>
      <c r="K93" s="1176" t="s">
        <v>674</v>
      </c>
      <c r="L93" s="1178" t="s">
        <v>675</v>
      </c>
      <c r="M93" s="1196">
        <v>58650000</v>
      </c>
      <c r="N93" s="1197" t="s">
        <v>730</v>
      </c>
      <c r="O93" s="1197" t="s">
        <v>1536</v>
      </c>
    </row>
    <row r="94" spans="1:15" s="1159" customFormat="1" ht="60" x14ac:dyDescent="0.3">
      <c r="A94" s="1172">
        <v>2022088</v>
      </c>
      <c r="B94" s="1172">
        <v>7655</v>
      </c>
      <c r="C94" s="1172" t="s">
        <v>668</v>
      </c>
      <c r="D94" s="1190" t="s">
        <v>689</v>
      </c>
      <c r="E94" s="1191" t="s">
        <v>778</v>
      </c>
      <c r="F94" s="1198" t="s">
        <v>817</v>
      </c>
      <c r="G94" s="1193">
        <v>44575</v>
      </c>
      <c r="H94" s="1193">
        <v>44575</v>
      </c>
      <c r="I94" s="1194" t="s">
        <v>1534</v>
      </c>
      <c r="J94" s="1195" t="s">
        <v>1535</v>
      </c>
      <c r="K94" s="1176" t="s">
        <v>674</v>
      </c>
      <c r="L94" s="1178" t="s">
        <v>675</v>
      </c>
      <c r="M94" s="1196">
        <v>38525000</v>
      </c>
      <c r="N94" s="1197" t="s">
        <v>730</v>
      </c>
      <c r="O94" s="1197" t="s">
        <v>1536</v>
      </c>
    </row>
    <row r="95" spans="1:15" s="1159" customFormat="1" ht="60" x14ac:dyDescent="0.3">
      <c r="A95" s="1172">
        <v>2022089</v>
      </c>
      <c r="B95" s="1172">
        <v>7655</v>
      </c>
      <c r="C95" s="1172" t="s">
        <v>668</v>
      </c>
      <c r="D95" s="1190" t="s">
        <v>689</v>
      </c>
      <c r="E95" s="1191" t="s">
        <v>778</v>
      </c>
      <c r="F95" s="1198" t="s">
        <v>818</v>
      </c>
      <c r="G95" s="1193">
        <v>44575</v>
      </c>
      <c r="H95" s="1193">
        <v>44575</v>
      </c>
      <c r="I95" s="1194" t="s">
        <v>1534</v>
      </c>
      <c r="J95" s="1195" t="s">
        <v>1535</v>
      </c>
      <c r="K95" s="1176" t="s">
        <v>674</v>
      </c>
      <c r="L95" s="1178" t="s">
        <v>675</v>
      </c>
      <c r="M95" s="1196">
        <v>48300000</v>
      </c>
      <c r="N95" s="1197" t="s">
        <v>730</v>
      </c>
      <c r="O95" s="1197" t="s">
        <v>1536</v>
      </c>
    </row>
    <row r="96" spans="1:15" s="1159" customFormat="1" ht="60" x14ac:dyDescent="0.3">
      <c r="A96" s="1172">
        <v>2022090</v>
      </c>
      <c r="B96" s="1172">
        <v>7655</v>
      </c>
      <c r="C96" s="1172" t="s">
        <v>668</v>
      </c>
      <c r="D96" s="1190" t="s">
        <v>689</v>
      </c>
      <c r="E96" s="1191" t="s">
        <v>778</v>
      </c>
      <c r="F96" s="1198" t="s">
        <v>1547</v>
      </c>
      <c r="G96" s="1193">
        <v>44575</v>
      </c>
      <c r="H96" s="1193">
        <v>44575</v>
      </c>
      <c r="I96" s="1194" t="s">
        <v>1537</v>
      </c>
      <c r="J96" s="1195" t="s">
        <v>1535</v>
      </c>
      <c r="K96" s="1176" t="s">
        <v>674</v>
      </c>
      <c r="L96" s="1178" t="s">
        <v>675</v>
      </c>
      <c r="M96" s="1196">
        <v>36000000</v>
      </c>
      <c r="N96" s="1197" t="s">
        <v>730</v>
      </c>
      <c r="O96" s="1197" t="s">
        <v>1536</v>
      </c>
    </row>
    <row r="97" spans="1:18" s="1159" customFormat="1" ht="60" x14ac:dyDescent="0.3">
      <c r="A97" s="1172">
        <v>2022091</v>
      </c>
      <c r="B97" s="1172">
        <v>7655</v>
      </c>
      <c r="C97" s="1172" t="s">
        <v>668</v>
      </c>
      <c r="D97" s="1190" t="s">
        <v>689</v>
      </c>
      <c r="E97" s="1172" t="s">
        <v>778</v>
      </c>
      <c r="F97" s="1192" t="s">
        <v>819</v>
      </c>
      <c r="G97" s="1193">
        <v>44575</v>
      </c>
      <c r="H97" s="1193">
        <v>44575</v>
      </c>
      <c r="I97" s="1194" t="s">
        <v>1534</v>
      </c>
      <c r="J97" s="1195" t="s">
        <v>1535</v>
      </c>
      <c r="K97" s="1176" t="s">
        <v>674</v>
      </c>
      <c r="L97" s="1178" t="s">
        <v>675</v>
      </c>
      <c r="M97" s="1196">
        <v>80500000</v>
      </c>
      <c r="N97" s="1197" t="s">
        <v>730</v>
      </c>
      <c r="O97" s="1197" t="s">
        <v>1536</v>
      </c>
    </row>
    <row r="98" spans="1:18" s="1159" customFormat="1" ht="60" x14ac:dyDescent="0.3">
      <c r="A98" s="1172">
        <v>2022092</v>
      </c>
      <c r="B98" s="1172">
        <v>7655</v>
      </c>
      <c r="C98" s="1172" t="s">
        <v>668</v>
      </c>
      <c r="D98" s="1190" t="s">
        <v>689</v>
      </c>
      <c r="E98" s="1191" t="s">
        <v>778</v>
      </c>
      <c r="F98" s="1198" t="s">
        <v>820</v>
      </c>
      <c r="G98" s="1193">
        <v>44575</v>
      </c>
      <c r="H98" s="1193">
        <v>44575</v>
      </c>
      <c r="I98" s="1194" t="s">
        <v>1534</v>
      </c>
      <c r="J98" s="1195" t="s">
        <v>1535</v>
      </c>
      <c r="K98" s="1176" t="s">
        <v>674</v>
      </c>
      <c r="L98" s="1178" t="s">
        <v>675</v>
      </c>
      <c r="M98" s="1196">
        <v>28175000</v>
      </c>
      <c r="N98" s="1197" t="s">
        <v>730</v>
      </c>
      <c r="O98" s="1197" t="s">
        <v>1536</v>
      </c>
      <c r="R98" s="1200"/>
    </row>
    <row r="99" spans="1:18" s="1159" customFormat="1" ht="60" x14ac:dyDescent="0.3">
      <c r="A99" s="1172">
        <v>2022093</v>
      </c>
      <c r="B99" s="1172">
        <v>7655</v>
      </c>
      <c r="C99" s="1172" t="s">
        <v>668</v>
      </c>
      <c r="D99" s="1190" t="s">
        <v>689</v>
      </c>
      <c r="E99" s="1191" t="s">
        <v>778</v>
      </c>
      <c r="F99" s="1198" t="s">
        <v>821</v>
      </c>
      <c r="G99" s="1193">
        <v>44575</v>
      </c>
      <c r="H99" s="1193">
        <v>44575</v>
      </c>
      <c r="I99" s="1194" t="s">
        <v>1534</v>
      </c>
      <c r="J99" s="1195" t="s">
        <v>1535</v>
      </c>
      <c r="K99" s="1176" t="s">
        <v>674</v>
      </c>
      <c r="L99" s="1178" t="s">
        <v>675</v>
      </c>
      <c r="M99" s="1196">
        <v>48300000</v>
      </c>
      <c r="N99" s="1197" t="s">
        <v>730</v>
      </c>
      <c r="O99" s="1197" t="s">
        <v>1536</v>
      </c>
    </row>
    <row r="100" spans="1:18" s="1159" customFormat="1" ht="60" x14ac:dyDescent="0.3">
      <c r="A100" s="1172">
        <v>2022094</v>
      </c>
      <c r="B100" s="1172">
        <v>7655</v>
      </c>
      <c r="C100" s="1172" t="s">
        <v>668</v>
      </c>
      <c r="D100" s="1190" t="s">
        <v>689</v>
      </c>
      <c r="E100" s="1172" t="s">
        <v>778</v>
      </c>
      <c r="F100" s="1192" t="s">
        <v>820</v>
      </c>
      <c r="G100" s="1193">
        <v>44575</v>
      </c>
      <c r="H100" s="1193">
        <v>44575</v>
      </c>
      <c r="I100" s="1194" t="s">
        <v>1534</v>
      </c>
      <c r="J100" s="1195" t="s">
        <v>1535</v>
      </c>
      <c r="K100" s="1176" t="s">
        <v>674</v>
      </c>
      <c r="L100" s="1178" t="s">
        <v>675</v>
      </c>
      <c r="M100" s="1196">
        <v>28175000</v>
      </c>
      <c r="N100" s="1197" t="s">
        <v>730</v>
      </c>
      <c r="O100" s="1197" t="s">
        <v>1536</v>
      </c>
    </row>
    <row r="101" spans="1:18" s="1159" customFormat="1" ht="60" x14ac:dyDescent="0.3">
      <c r="A101" s="1172">
        <v>2022095</v>
      </c>
      <c r="B101" s="1172">
        <v>7655</v>
      </c>
      <c r="C101" s="1172" t="s">
        <v>668</v>
      </c>
      <c r="D101" s="1190" t="s">
        <v>689</v>
      </c>
      <c r="E101" s="1172" t="s">
        <v>778</v>
      </c>
      <c r="F101" s="1192" t="s">
        <v>822</v>
      </c>
      <c r="G101" s="1193">
        <v>44575</v>
      </c>
      <c r="H101" s="1193">
        <v>44575</v>
      </c>
      <c r="I101" s="1194" t="s">
        <v>1534</v>
      </c>
      <c r="J101" s="1195" t="s">
        <v>1535</v>
      </c>
      <c r="K101" s="1176" t="s">
        <v>674</v>
      </c>
      <c r="L101" s="1178" t="s">
        <v>675</v>
      </c>
      <c r="M101" s="1196">
        <v>31625000</v>
      </c>
      <c r="N101" s="1197" t="s">
        <v>730</v>
      </c>
      <c r="O101" s="1197" t="s">
        <v>1536</v>
      </c>
    </row>
    <row r="102" spans="1:18" s="1159" customFormat="1" ht="60" x14ac:dyDescent="0.3">
      <c r="A102" s="1172">
        <v>2022096</v>
      </c>
      <c r="B102" s="1172">
        <v>7655</v>
      </c>
      <c r="C102" s="1172" t="s">
        <v>668</v>
      </c>
      <c r="D102" s="1190" t="s">
        <v>689</v>
      </c>
      <c r="E102" s="1172" t="s">
        <v>778</v>
      </c>
      <c r="F102" s="1192" t="s">
        <v>823</v>
      </c>
      <c r="G102" s="1193">
        <v>44575</v>
      </c>
      <c r="H102" s="1193">
        <v>44575</v>
      </c>
      <c r="I102" s="1194" t="s">
        <v>1534</v>
      </c>
      <c r="J102" s="1195" t="s">
        <v>1535</v>
      </c>
      <c r="K102" s="1176" t="s">
        <v>674</v>
      </c>
      <c r="L102" s="1178" t="s">
        <v>675</v>
      </c>
      <c r="M102" s="1196">
        <v>69000000</v>
      </c>
      <c r="N102" s="1197" t="s">
        <v>730</v>
      </c>
      <c r="O102" s="1197" t="s">
        <v>1536</v>
      </c>
    </row>
    <row r="103" spans="1:18" s="1159" customFormat="1" ht="60" x14ac:dyDescent="0.3">
      <c r="A103" s="1172">
        <v>2022097</v>
      </c>
      <c r="B103" s="1172">
        <v>7655</v>
      </c>
      <c r="C103" s="1172" t="s">
        <v>668</v>
      </c>
      <c r="D103" s="1190" t="s">
        <v>689</v>
      </c>
      <c r="E103" s="1172" t="s">
        <v>778</v>
      </c>
      <c r="F103" s="1192" t="s">
        <v>820</v>
      </c>
      <c r="G103" s="1193">
        <v>44575</v>
      </c>
      <c r="H103" s="1193">
        <v>44575</v>
      </c>
      <c r="I103" s="1194" t="s">
        <v>1534</v>
      </c>
      <c r="J103" s="1195" t="s">
        <v>1535</v>
      </c>
      <c r="K103" s="1176" t="s">
        <v>674</v>
      </c>
      <c r="L103" s="1178" t="s">
        <v>675</v>
      </c>
      <c r="M103" s="1196">
        <v>24150000</v>
      </c>
      <c r="N103" s="1197" t="s">
        <v>730</v>
      </c>
      <c r="O103" s="1197" t="s">
        <v>1536</v>
      </c>
    </row>
    <row r="104" spans="1:18" s="1159" customFormat="1" ht="60" x14ac:dyDescent="0.3">
      <c r="A104" s="1172">
        <v>2022098</v>
      </c>
      <c r="B104" s="1172">
        <v>7655</v>
      </c>
      <c r="C104" s="1172" t="s">
        <v>668</v>
      </c>
      <c r="D104" s="1190" t="s">
        <v>689</v>
      </c>
      <c r="E104" s="1172" t="s">
        <v>778</v>
      </c>
      <c r="F104" s="1192" t="s">
        <v>820</v>
      </c>
      <c r="G104" s="1193">
        <v>44575</v>
      </c>
      <c r="H104" s="1193">
        <v>44575</v>
      </c>
      <c r="I104" s="1194" t="s">
        <v>1534</v>
      </c>
      <c r="J104" s="1195" t="s">
        <v>1535</v>
      </c>
      <c r="K104" s="1176" t="s">
        <v>674</v>
      </c>
      <c r="L104" s="1178" t="s">
        <v>675</v>
      </c>
      <c r="M104" s="1196">
        <v>28175000</v>
      </c>
      <c r="N104" s="1197" t="s">
        <v>730</v>
      </c>
      <c r="O104" s="1197" t="s">
        <v>1536</v>
      </c>
    </row>
    <row r="105" spans="1:18" s="1159" customFormat="1" ht="60" x14ac:dyDescent="0.3">
      <c r="A105" s="1172">
        <v>2022099</v>
      </c>
      <c r="B105" s="1172">
        <v>7655</v>
      </c>
      <c r="C105" s="1172" t="s">
        <v>668</v>
      </c>
      <c r="D105" s="1190" t="s">
        <v>689</v>
      </c>
      <c r="E105" s="1172" t="s">
        <v>778</v>
      </c>
      <c r="F105" s="1192" t="s">
        <v>820</v>
      </c>
      <c r="G105" s="1193">
        <v>44575</v>
      </c>
      <c r="H105" s="1193">
        <v>44575</v>
      </c>
      <c r="I105" s="1194" t="s">
        <v>1534</v>
      </c>
      <c r="J105" s="1195" t="s">
        <v>1535</v>
      </c>
      <c r="K105" s="1176" t="s">
        <v>674</v>
      </c>
      <c r="L105" s="1178" t="s">
        <v>675</v>
      </c>
      <c r="M105" s="1196">
        <v>28175000</v>
      </c>
      <c r="N105" s="1197" t="s">
        <v>730</v>
      </c>
      <c r="O105" s="1197" t="s">
        <v>1536</v>
      </c>
    </row>
    <row r="106" spans="1:18" s="1159" customFormat="1" ht="75" x14ac:dyDescent="0.3">
      <c r="A106" s="1172">
        <v>2022100</v>
      </c>
      <c r="B106" s="1172">
        <v>7655</v>
      </c>
      <c r="C106" s="1172" t="s">
        <v>668</v>
      </c>
      <c r="D106" s="1190" t="s">
        <v>689</v>
      </c>
      <c r="E106" s="1191" t="s">
        <v>778</v>
      </c>
      <c r="F106" s="1192" t="s">
        <v>824</v>
      </c>
      <c r="G106" s="1193">
        <v>44575</v>
      </c>
      <c r="H106" s="1193">
        <v>44575</v>
      </c>
      <c r="I106" s="1194" t="s">
        <v>1534</v>
      </c>
      <c r="J106" s="1195" t="s">
        <v>1535</v>
      </c>
      <c r="K106" s="1176" t="s">
        <v>674</v>
      </c>
      <c r="L106" s="1178" t="s">
        <v>780</v>
      </c>
      <c r="M106" s="1196">
        <v>63250000</v>
      </c>
      <c r="N106" s="1197" t="s">
        <v>730</v>
      </c>
      <c r="O106" s="1197" t="s">
        <v>1536</v>
      </c>
    </row>
    <row r="107" spans="1:18" s="1159" customFormat="1" ht="75" x14ac:dyDescent="0.3">
      <c r="A107" s="1172">
        <v>2022101</v>
      </c>
      <c r="B107" s="1172">
        <v>7655</v>
      </c>
      <c r="C107" s="1172" t="s">
        <v>668</v>
      </c>
      <c r="D107" s="1190" t="s">
        <v>689</v>
      </c>
      <c r="E107" s="1191" t="s">
        <v>778</v>
      </c>
      <c r="F107" s="1192" t="s">
        <v>825</v>
      </c>
      <c r="G107" s="1193">
        <v>44575</v>
      </c>
      <c r="H107" s="1193">
        <v>44575</v>
      </c>
      <c r="I107" s="1194" t="s">
        <v>1534</v>
      </c>
      <c r="J107" s="1195" t="s">
        <v>1535</v>
      </c>
      <c r="K107" s="1176" t="s">
        <v>674</v>
      </c>
      <c r="L107" s="1178" t="s">
        <v>780</v>
      </c>
      <c r="M107" s="1196">
        <v>63250000</v>
      </c>
      <c r="N107" s="1197" t="s">
        <v>730</v>
      </c>
      <c r="O107" s="1197" t="s">
        <v>1536</v>
      </c>
    </row>
    <row r="108" spans="1:18" s="1159" customFormat="1" ht="60" x14ac:dyDescent="0.3">
      <c r="A108" s="1172">
        <v>2022102</v>
      </c>
      <c r="B108" s="1172">
        <v>7655</v>
      </c>
      <c r="C108" s="1172" t="s">
        <v>668</v>
      </c>
      <c r="D108" s="1190" t="s">
        <v>689</v>
      </c>
      <c r="E108" s="1191" t="s">
        <v>97</v>
      </c>
      <c r="F108" s="1201" t="s">
        <v>1548</v>
      </c>
      <c r="G108" s="1193" t="s">
        <v>97</v>
      </c>
      <c r="H108" s="1193" t="s">
        <v>97</v>
      </c>
      <c r="I108" s="1193" t="s">
        <v>97</v>
      </c>
      <c r="J108" s="1195" t="s">
        <v>1535</v>
      </c>
      <c r="K108" s="1176" t="s">
        <v>674</v>
      </c>
      <c r="L108" s="1178" t="s">
        <v>675</v>
      </c>
      <c r="M108" s="1196">
        <v>138627500</v>
      </c>
      <c r="N108" s="1197" t="s">
        <v>730</v>
      </c>
      <c r="O108" s="1197" t="s">
        <v>1536</v>
      </c>
    </row>
    <row r="109" spans="1:18" s="1159" customFormat="1" ht="60" x14ac:dyDescent="0.3">
      <c r="A109" s="1172">
        <v>2022103</v>
      </c>
      <c r="B109" s="1172">
        <v>7655</v>
      </c>
      <c r="C109" s="1172" t="s">
        <v>668</v>
      </c>
      <c r="D109" s="1190" t="s">
        <v>689</v>
      </c>
      <c r="E109" s="1172" t="s">
        <v>778</v>
      </c>
      <c r="F109" s="1198" t="s">
        <v>826</v>
      </c>
      <c r="G109" s="1193">
        <v>44575</v>
      </c>
      <c r="H109" s="1193">
        <v>44575</v>
      </c>
      <c r="I109" s="1194" t="s">
        <v>1538</v>
      </c>
      <c r="J109" s="1195" t="s">
        <v>1535</v>
      </c>
      <c r="K109" s="1176" t="s">
        <v>674</v>
      </c>
      <c r="L109" s="1178" t="s">
        <v>675</v>
      </c>
      <c r="M109" s="1179">
        <v>31500000</v>
      </c>
      <c r="N109" s="1197" t="s">
        <v>730</v>
      </c>
      <c r="O109" s="1197" t="s">
        <v>1536</v>
      </c>
    </row>
    <row r="110" spans="1:18" s="1159" customFormat="1" ht="60" x14ac:dyDescent="0.3">
      <c r="A110" s="1172">
        <v>2022104</v>
      </c>
      <c r="B110" s="1172">
        <v>7655</v>
      </c>
      <c r="C110" s="1172" t="s">
        <v>668</v>
      </c>
      <c r="D110" s="1190" t="s">
        <v>689</v>
      </c>
      <c r="E110" s="1172" t="s">
        <v>778</v>
      </c>
      <c r="F110" s="1198" t="s">
        <v>827</v>
      </c>
      <c r="G110" s="1193">
        <v>44575</v>
      </c>
      <c r="H110" s="1193">
        <v>44575</v>
      </c>
      <c r="I110" s="1194" t="s">
        <v>1534</v>
      </c>
      <c r="J110" s="1195" t="s">
        <v>1535</v>
      </c>
      <c r="K110" s="1176" t="s">
        <v>674</v>
      </c>
      <c r="L110" s="1178" t="s">
        <v>675</v>
      </c>
      <c r="M110" s="1179">
        <v>38525000</v>
      </c>
      <c r="N110" s="1197" t="s">
        <v>730</v>
      </c>
      <c r="O110" s="1197" t="s">
        <v>1536</v>
      </c>
    </row>
    <row r="111" spans="1:18" s="1159" customFormat="1" ht="60" x14ac:dyDescent="0.3">
      <c r="A111" s="1172">
        <v>2022105</v>
      </c>
      <c r="B111" s="1172">
        <v>7655</v>
      </c>
      <c r="C111" s="1172" t="s">
        <v>668</v>
      </c>
      <c r="D111" s="1190" t="s">
        <v>689</v>
      </c>
      <c r="E111" s="1172" t="s">
        <v>778</v>
      </c>
      <c r="F111" s="1198" t="s">
        <v>827</v>
      </c>
      <c r="G111" s="1193">
        <v>44575</v>
      </c>
      <c r="H111" s="1193">
        <v>44575</v>
      </c>
      <c r="I111" s="1194" t="s">
        <v>1534</v>
      </c>
      <c r="J111" s="1195" t="s">
        <v>1535</v>
      </c>
      <c r="K111" s="1176" t="s">
        <v>674</v>
      </c>
      <c r="L111" s="1178" t="s">
        <v>675</v>
      </c>
      <c r="M111" s="1179">
        <v>28175000</v>
      </c>
      <c r="N111" s="1197" t="s">
        <v>730</v>
      </c>
      <c r="O111" s="1197" t="s">
        <v>1536</v>
      </c>
    </row>
    <row r="112" spans="1:18" s="1159" customFormat="1" ht="60" x14ac:dyDescent="0.3">
      <c r="A112" s="1172">
        <v>2022106</v>
      </c>
      <c r="B112" s="1172">
        <v>7655</v>
      </c>
      <c r="C112" s="1172" t="s">
        <v>668</v>
      </c>
      <c r="D112" s="1190" t="s">
        <v>689</v>
      </c>
      <c r="E112" s="1172" t="s">
        <v>778</v>
      </c>
      <c r="F112" s="1198" t="s">
        <v>828</v>
      </c>
      <c r="G112" s="1193">
        <v>44575</v>
      </c>
      <c r="H112" s="1193">
        <v>44575</v>
      </c>
      <c r="I112" s="1194" t="s">
        <v>1534</v>
      </c>
      <c r="J112" s="1195" t="s">
        <v>1535</v>
      </c>
      <c r="K112" s="1176" t="s">
        <v>674</v>
      </c>
      <c r="L112" s="1178" t="s">
        <v>675</v>
      </c>
      <c r="M112" s="1179">
        <v>44275000</v>
      </c>
      <c r="N112" s="1197" t="s">
        <v>730</v>
      </c>
      <c r="O112" s="1197" t="s">
        <v>1536</v>
      </c>
    </row>
    <row r="113" spans="1:15" s="1159" customFormat="1" ht="75" x14ac:dyDescent="0.3">
      <c r="A113" s="1172">
        <v>2022107</v>
      </c>
      <c r="B113" s="1172">
        <v>7655</v>
      </c>
      <c r="C113" s="1172" t="s">
        <v>668</v>
      </c>
      <c r="D113" s="1190" t="s">
        <v>689</v>
      </c>
      <c r="E113" s="1172" t="s">
        <v>778</v>
      </c>
      <c r="F113" s="1192" t="s">
        <v>829</v>
      </c>
      <c r="G113" s="1193">
        <v>44575</v>
      </c>
      <c r="H113" s="1193">
        <v>44575</v>
      </c>
      <c r="I113" s="1194" t="s">
        <v>1538</v>
      </c>
      <c r="J113" s="1195" t="s">
        <v>1535</v>
      </c>
      <c r="K113" s="1176" t="s">
        <v>674</v>
      </c>
      <c r="L113" s="1178" t="s">
        <v>675</v>
      </c>
      <c r="M113" s="1179">
        <v>31500000</v>
      </c>
      <c r="N113" s="1197" t="s">
        <v>730</v>
      </c>
      <c r="O113" s="1197" t="s">
        <v>1536</v>
      </c>
    </row>
    <row r="114" spans="1:15" s="1159" customFormat="1" ht="60" x14ac:dyDescent="0.3">
      <c r="A114" s="1172">
        <v>2022108</v>
      </c>
      <c r="B114" s="1172">
        <v>7655</v>
      </c>
      <c r="C114" s="1172" t="s">
        <v>668</v>
      </c>
      <c r="D114" s="1190" t="s">
        <v>689</v>
      </c>
      <c r="E114" s="1191" t="s">
        <v>778</v>
      </c>
      <c r="F114" s="1198" t="s">
        <v>830</v>
      </c>
      <c r="G114" s="1193">
        <v>44575</v>
      </c>
      <c r="H114" s="1193">
        <v>44575</v>
      </c>
      <c r="I114" s="1194" t="s">
        <v>1543</v>
      </c>
      <c r="J114" s="1195" t="s">
        <v>1535</v>
      </c>
      <c r="K114" s="1176" t="s">
        <v>674</v>
      </c>
      <c r="L114" s="1178" t="s">
        <v>675</v>
      </c>
      <c r="M114" s="1196">
        <v>29400000</v>
      </c>
      <c r="N114" s="1197" t="s">
        <v>730</v>
      </c>
      <c r="O114" s="1197" t="s">
        <v>1536</v>
      </c>
    </row>
    <row r="115" spans="1:15" s="1159" customFormat="1" ht="60" x14ac:dyDescent="0.3">
      <c r="A115" s="1172">
        <v>2022109</v>
      </c>
      <c r="B115" s="1172">
        <v>7655</v>
      </c>
      <c r="C115" s="1172" t="s">
        <v>668</v>
      </c>
      <c r="D115" s="1190" t="s">
        <v>689</v>
      </c>
      <c r="E115" s="1191" t="s">
        <v>778</v>
      </c>
      <c r="F115" s="1198" t="s">
        <v>831</v>
      </c>
      <c r="G115" s="1193">
        <v>44575</v>
      </c>
      <c r="H115" s="1193">
        <v>44575</v>
      </c>
      <c r="I115" s="1194" t="s">
        <v>1543</v>
      </c>
      <c r="J115" s="1195" t="s">
        <v>1535</v>
      </c>
      <c r="K115" s="1176" t="s">
        <v>674</v>
      </c>
      <c r="L115" s="1178" t="s">
        <v>675</v>
      </c>
      <c r="M115" s="1196">
        <v>84000000</v>
      </c>
      <c r="N115" s="1197" t="s">
        <v>730</v>
      </c>
      <c r="O115" s="1197" t="s">
        <v>1536</v>
      </c>
    </row>
    <row r="116" spans="1:15" s="1159" customFormat="1" ht="60" x14ac:dyDescent="0.3">
      <c r="A116" s="1172">
        <v>2022110</v>
      </c>
      <c r="B116" s="1172">
        <v>7655</v>
      </c>
      <c r="C116" s="1172" t="s">
        <v>668</v>
      </c>
      <c r="D116" s="1190" t="s">
        <v>689</v>
      </c>
      <c r="E116" s="1191" t="s">
        <v>778</v>
      </c>
      <c r="F116" s="1198" t="s">
        <v>832</v>
      </c>
      <c r="G116" s="1193">
        <v>44575</v>
      </c>
      <c r="H116" s="1193">
        <v>44575</v>
      </c>
      <c r="I116" s="1194" t="s">
        <v>1543</v>
      </c>
      <c r="J116" s="1195" t="s">
        <v>1535</v>
      </c>
      <c r="K116" s="1176" t="s">
        <v>674</v>
      </c>
      <c r="L116" s="1178" t="s">
        <v>675</v>
      </c>
      <c r="M116" s="1196">
        <v>40200000</v>
      </c>
      <c r="N116" s="1197" t="s">
        <v>730</v>
      </c>
      <c r="O116" s="1197" t="s">
        <v>1536</v>
      </c>
    </row>
    <row r="117" spans="1:15" s="1159" customFormat="1" ht="60" x14ac:dyDescent="0.3">
      <c r="A117" s="1172">
        <v>2022111</v>
      </c>
      <c r="B117" s="1172">
        <v>7655</v>
      </c>
      <c r="C117" s="1172" t="s">
        <v>668</v>
      </c>
      <c r="D117" s="1190" t="s">
        <v>689</v>
      </c>
      <c r="E117" s="1191" t="s">
        <v>778</v>
      </c>
      <c r="F117" s="1198" t="s">
        <v>830</v>
      </c>
      <c r="G117" s="1193">
        <v>44575</v>
      </c>
      <c r="H117" s="1193">
        <v>44575</v>
      </c>
      <c r="I117" s="1194" t="s">
        <v>1543</v>
      </c>
      <c r="J117" s="1195" t="s">
        <v>1535</v>
      </c>
      <c r="K117" s="1176" t="s">
        <v>674</v>
      </c>
      <c r="L117" s="1178" t="s">
        <v>675</v>
      </c>
      <c r="M117" s="1196">
        <v>29400000</v>
      </c>
      <c r="N117" s="1197" t="s">
        <v>730</v>
      </c>
      <c r="O117" s="1197" t="s">
        <v>1536</v>
      </c>
    </row>
    <row r="118" spans="1:15" s="1159" customFormat="1" ht="60" x14ac:dyDescent="0.3">
      <c r="A118" s="1172">
        <v>2022112</v>
      </c>
      <c r="B118" s="1172">
        <v>7655</v>
      </c>
      <c r="C118" s="1172" t="s">
        <v>668</v>
      </c>
      <c r="D118" s="1190" t="s">
        <v>689</v>
      </c>
      <c r="E118" s="1191" t="s">
        <v>778</v>
      </c>
      <c r="F118" s="1198" t="s">
        <v>833</v>
      </c>
      <c r="G118" s="1193">
        <v>44575</v>
      </c>
      <c r="H118" s="1193">
        <v>44575</v>
      </c>
      <c r="I118" s="1194" t="s">
        <v>1543</v>
      </c>
      <c r="J118" s="1195" t="s">
        <v>1535</v>
      </c>
      <c r="K118" s="1176" t="s">
        <v>674</v>
      </c>
      <c r="L118" s="1178" t="s">
        <v>675</v>
      </c>
      <c r="M118" s="1196">
        <v>29400000</v>
      </c>
      <c r="N118" s="1197" t="s">
        <v>730</v>
      </c>
      <c r="O118" s="1197" t="s">
        <v>1536</v>
      </c>
    </row>
    <row r="119" spans="1:15" s="1159" customFormat="1" ht="60" x14ac:dyDescent="0.3">
      <c r="A119" s="1172">
        <v>2022113</v>
      </c>
      <c r="B119" s="1172">
        <v>7655</v>
      </c>
      <c r="C119" s="1172" t="s">
        <v>668</v>
      </c>
      <c r="D119" s="1190" t="s">
        <v>689</v>
      </c>
      <c r="E119" s="1191" t="s">
        <v>778</v>
      </c>
      <c r="F119" s="1198" t="s">
        <v>833</v>
      </c>
      <c r="G119" s="1193">
        <v>44575</v>
      </c>
      <c r="H119" s="1193">
        <v>44575</v>
      </c>
      <c r="I119" s="1194" t="s">
        <v>1543</v>
      </c>
      <c r="J119" s="1195" t="s">
        <v>1535</v>
      </c>
      <c r="K119" s="1176" t="s">
        <v>674</v>
      </c>
      <c r="L119" s="1178" t="s">
        <v>675</v>
      </c>
      <c r="M119" s="1196">
        <v>29400000</v>
      </c>
      <c r="N119" s="1197" t="s">
        <v>730</v>
      </c>
      <c r="O119" s="1197" t="s">
        <v>1536</v>
      </c>
    </row>
    <row r="120" spans="1:15" s="1159" customFormat="1" ht="60" x14ac:dyDescent="0.3">
      <c r="A120" s="1172">
        <v>2022114</v>
      </c>
      <c r="B120" s="1172">
        <v>7655</v>
      </c>
      <c r="C120" s="1172" t="s">
        <v>668</v>
      </c>
      <c r="D120" s="1190" t="s">
        <v>689</v>
      </c>
      <c r="E120" s="1191" t="s">
        <v>778</v>
      </c>
      <c r="F120" s="1198" t="s">
        <v>834</v>
      </c>
      <c r="G120" s="1193">
        <v>44575</v>
      </c>
      <c r="H120" s="1193">
        <v>44575</v>
      </c>
      <c r="I120" s="1194" t="s">
        <v>1543</v>
      </c>
      <c r="J120" s="1195" t="s">
        <v>1535</v>
      </c>
      <c r="K120" s="1176" t="s">
        <v>674</v>
      </c>
      <c r="L120" s="1178" t="s">
        <v>675</v>
      </c>
      <c r="M120" s="1196">
        <v>29400000</v>
      </c>
      <c r="N120" s="1197" t="s">
        <v>730</v>
      </c>
      <c r="O120" s="1197" t="s">
        <v>1536</v>
      </c>
    </row>
    <row r="121" spans="1:15" s="1159" customFormat="1" ht="60" x14ac:dyDescent="0.3">
      <c r="A121" s="1172">
        <v>2022115</v>
      </c>
      <c r="B121" s="1172">
        <v>7655</v>
      </c>
      <c r="C121" s="1172" t="s">
        <v>668</v>
      </c>
      <c r="D121" s="1190" t="s">
        <v>689</v>
      </c>
      <c r="E121" s="1191" t="s">
        <v>778</v>
      </c>
      <c r="F121" s="1198" t="s">
        <v>833</v>
      </c>
      <c r="G121" s="1193">
        <v>44575</v>
      </c>
      <c r="H121" s="1193">
        <v>44575</v>
      </c>
      <c r="I121" s="1194" t="s">
        <v>1543</v>
      </c>
      <c r="J121" s="1195" t="s">
        <v>1535</v>
      </c>
      <c r="K121" s="1176" t="s">
        <v>674</v>
      </c>
      <c r="L121" s="1178" t="s">
        <v>675</v>
      </c>
      <c r="M121" s="1196">
        <v>29400000</v>
      </c>
      <c r="N121" s="1197" t="s">
        <v>730</v>
      </c>
      <c r="O121" s="1197" t="s">
        <v>1536</v>
      </c>
    </row>
    <row r="122" spans="1:15" s="1159" customFormat="1" ht="60" x14ac:dyDescent="0.3">
      <c r="A122" s="1172">
        <v>2022116</v>
      </c>
      <c r="B122" s="1172">
        <v>7655</v>
      </c>
      <c r="C122" s="1172" t="s">
        <v>668</v>
      </c>
      <c r="D122" s="1190" t="s">
        <v>689</v>
      </c>
      <c r="E122" s="1191" t="s">
        <v>778</v>
      </c>
      <c r="F122" s="1198" t="s">
        <v>833</v>
      </c>
      <c r="G122" s="1193">
        <v>44575</v>
      </c>
      <c r="H122" s="1193">
        <v>44575</v>
      </c>
      <c r="I122" s="1194" t="s">
        <v>1543</v>
      </c>
      <c r="J122" s="1195" t="s">
        <v>1535</v>
      </c>
      <c r="K122" s="1176" t="s">
        <v>674</v>
      </c>
      <c r="L122" s="1178" t="s">
        <v>675</v>
      </c>
      <c r="M122" s="1196">
        <v>29400000</v>
      </c>
      <c r="N122" s="1197" t="s">
        <v>730</v>
      </c>
      <c r="O122" s="1197" t="s">
        <v>1536</v>
      </c>
    </row>
    <row r="123" spans="1:15" s="1159" customFormat="1" ht="60" x14ac:dyDescent="0.3">
      <c r="A123" s="1172">
        <v>2022117</v>
      </c>
      <c r="B123" s="1172">
        <v>7655</v>
      </c>
      <c r="C123" s="1172" t="s">
        <v>668</v>
      </c>
      <c r="D123" s="1190" t="s">
        <v>689</v>
      </c>
      <c r="E123" s="1191" t="s">
        <v>778</v>
      </c>
      <c r="F123" s="1198" t="s">
        <v>833</v>
      </c>
      <c r="G123" s="1193">
        <v>44575</v>
      </c>
      <c r="H123" s="1193">
        <v>44575</v>
      </c>
      <c r="I123" s="1194" t="s">
        <v>1543</v>
      </c>
      <c r="J123" s="1195" t="s">
        <v>1535</v>
      </c>
      <c r="K123" s="1176" t="s">
        <v>674</v>
      </c>
      <c r="L123" s="1178" t="s">
        <v>675</v>
      </c>
      <c r="M123" s="1196">
        <v>29400000</v>
      </c>
      <c r="N123" s="1197" t="s">
        <v>730</v>
      </c>
      <c r="O123" s="1197" t="s">
        <v>1536</v>
      </c>
    </row>
    <row r="124" spans="1:15" s="1159" customFormat="1" ht="60" x14ac:dyDescent="0.3">
      <c r="A124" s="1172">
        <v>2022118</v>
      </c>
      <c r="B124" s="1172">
        <v>7655</v>
      </c>
      <c r="C124" s="1172" t="s">
        <v>668</v>
      </c>
      <c r="D124" s="1190" t="s">
        <v>689</v>
      </c>
      <c r="E124" s="1191" t="s">
        <v>778</v>
      </c>
      <c r="F124" s="1198" t="s">
        <v>833</v>
      </c>
      <c r="G124" s="1193">
        <v>44575</v>
      </c>
      <c r="H124" s="1193">
        <v>44575</v>
      </c>
      <c r="I124" s="1194" t="s">
        <v>1543</v>
      </c>
      <c r="J124" s="1195" t="s">
        <v>1535</v>
      </c>
      <c r="K124" s="1176" t="s">
        <v>674</v>
      </c>
      <c r="L124" s="1178" t="s">
        <v>675</v>
      </c>
      <c r="M124" s="1196">
        <v>29400000</v>
      </c>
      <c r="N124" s="1197" t="s">
        <v>730</v>
      </c>
      <c r="O124" s="1197" t="s">
        <v>1536</v>
      </c>
    </row>
    <row r="125" spans="1:15" s="1159" customFormat="1" ht="60" x14ac:dyDescent="0.3">
      <c r="A125" s="1172">
        <v>2022119</v>
      </c>
      <c r="B125" s="1172">
        <v>7655</v>
      </c>
      <c r="C125" s="1172" t="s">
        <v>668</v>
      </c>
      <c r="D125" s="1190" t="s">
        <v>689</v>
      </c>
      <c r="E125" s="1191" t="s">
        <v>778</v>
      </c>
      <c r="F125" s="1198" t="s">
        <v>833</v>
      </c>
      <c r="G125" s="1193">
        <v>44575</v>
      </c>
      <c r="H125" s="1193">
        <v>44575</v>
      </c>
      <c r="I125" s="1194" t="s">
        <v>1543</v>
      </c>
      <c r="J125" s="1195" t="s">
        <v>1535</v>
      </c>
      <c r="K125" s="1176" t="s">
        <v>674</v>
      </c>
      <c r="L125" s="1178" t="s">
        <v>675</v>
      </c>
      <c r="M125" s="1196">
        <v>29400000</v>
      </c>
      <c r="N125" s="1197" t="s">
        <v>730</v>
      </c>
      <c r="O125" s="1197" t="s">
        <v>1536</v>
      </c>
    </row>
    <row r="126" spans="1:15" s="1159" customFormat="1" ht="60" x14ac:dyDescent="0.3">
      <c r="A126" s="1172">
        <v>2022120</v>
      </c>
      <c r="B126" s="1172">
        <v>7655</v>
      </c>
      <c r="C126" s="1172" t="s">
        <v>668</v>
      </c>
      <c r="D126" s="1190" t="s">
        <v>689</v>
      </c>
      <c r="E126" s="1191" t="s">
        <v>778</v>
      </c>
      <c r="F126" s="1198" t="s">
        <v>830</v>
      </c>
      <c r="G126" s="1193">
        <v>44575</v>
      </c>
      <c r="H126" s="1193">
        <v>44575</v>
      </c>
      <c r="I126" s="1194" t="s">
        <v>1543</v>
      </c>
      <c r="J126" s="1195" t="s">
        <v>1535</v>
      </c>
      <c r="K126" s="1176" t="s">
        <v>674</v>
      </c>
      <c r="L126" s="1178" t="s">
        <v>675</v>
      </c>
      <c r="M126" s="1196">
        <v>29400000</v>
      </c>
      <c r="N126" s="1197" t="s">
        <v>730</v>
      </c>
      <c r="O126" s="1197" t="s">
        <v>1536</v>
      </c>
    </row>
    <row r="127" spans="1:15" s="1159" customFormat="1" ht="60" x14ac:dyDescent="0.3">
      <c r="A127" s="1172">
        <v>2022121</v>
      </c>
      <c r="B127" s="1172">
        <v>7655</v>
      </c>
      <c r="C127" s="1172" t="s">
        <v>668</v>
      </c>
      <c r="D127" s="1190" t="s">
        <v>689</v>
      </c>
      <c r="E127" s="1191" t="s">
        <v>778</v>
      </c>
      <c r="F127" s="1198" t="s">
        <v>830</v>
      </c>
      <c r="G127" s="1193">
        <v>44575</v>
      </c>
      <c r="H127" s="1193">
        <v>44575</v>
      </c>
      <c r="I127" s="1194" t="s">
        <v>1543</v>
      </c>
      <c r="J127" s="1195" t="s">
        <v>1535</v>
      </c>
      <c r="K127" s="1176" t="s">
        <v>674</v>
      </c>
      <c r="L127" s="1178" t="s">
        <v>675</v>
      </c>
      <c r="M127" s="1196">
        <v>29400000</v>
      </c>
      <c r="N127" s="1197" t="s">
        <v>730</v>
      </c>
      <c r="O127" s="1197" t="s">
        <v>1536</v>
      </c>
    </row>
    <row r="128" spans="1:15" s="1159" customFormat="1" ht="60" x14ac:dyDescent="0.3">
      <c r="A128" s="1172">
        <v>2022122</v>
      </c>
      <c r="B128" s="1172">
        <v>7655</v>
      </c>
      <c r="C128" s="1172" t="s">
        <v>668</v>
      </c>
      <c r="D128" s="1190" t="s">
        <v>689</v>
      </c>
      <c r="E128" s="1191" t="s">
        <v>778</v>
      </c>
      <c r="F128" s="1198" t="s">
        <v>830</v>
      </c>
      <c r="G128" s="1193">
        <v>44575</v>
      </c>
      <c r="H128" s="1193">
        <v>44575</v>
      </c>
      <c r="I128" s="1194" t="s">
        <v>1543</v>
      </c>
      <c r="J128" s="1195" t="s">
        <v>1535</v>
      </c>
      <c r="K128" s="1176" t="s">
        <v>674</v>
      </c>
      <c r="L128" s="1178" t="s">
        <v>675</v>
      </c>
      <c r="M128" s="1196">
        <v>29400000</v>
      </c>
      <c r="N128" s="1197" t="s">
        <v>730</v>
      </c>
      <c r="O128" s="1197" t="s">
        <v>1536</v>
      </c>
    </row>
    <row r="129" spans="1:15" s="1159" customFormat="1" ht="60" x14ac:dyDescent="0.3">
      <c r="A129" s="1172">
        <v>2022123</v>
      </c>
      <c r="B129" s="1172">
        <v>7655</v>
      </c>
      <c r="C129" s="1172" t="s">
        <v>668</v>
      </c>
      <c r="D129" s="1190" t="s">
        <v>689</v>
      </c>
      <c r="E129" s="1191" t="s">
        <v>778</v>
      </c>
      <c r="F129" s="1198" t="s">
        <v>830</v>
      </c>
      <c r="G129" s="1193">
        <v>44575</v>
      </c>
      <c r="H129" s="1193">
        <v>44575</v>
      </c>
      <c r="I129" s="1194" t="s">
        <v>1543</v>
      </c>
      <c r="J129" s="1195" t="s">
        <v>1535</v>
      </c>
      <c r="K129" s="1176" t="s">
        <v>674</v>
      </c>
      <c r="L129" s="1178" t="s">
        <v>675</v>
      </c>
      <c r="M129" s="1196">
        <v>29400000</v>
      </c>
      <c r="N129" s="1197" t="s">
        <v>730</v>
      </c>
      <c r="O129" s="1197" t="s">
        <v>1536</v>
      </c>
    </row>
    <row r="130" spans="1:15" s="1159" customFormat="1" ht="60" x14ac:dyDescent="0.3">
      <c r="A130" s="1172">
        <v>2022124</v>
      </c>
      <c r="B130" s="1172">
        <v>7655</v>
      </c>
      <c r="C130" s="1172" t="s">
        <v>668</v>
      </c>
      <c r="D130" s="1190" t="s">
        <v>689</v>
      </c>
      <c r="E130" s="1191" t="s">
        <v>778</v>
      </c>
      <c r="F130" s="1192" t="s">
        <v>833</v>
      </c>
      <c r="G130" s="1193">
        <v>44575</v>
      </c>
      <c r="H130" s="1193">
        <v>44575</v>
      </c>
      <c r="I130" s="1194" t="s">
        <v>1543</v>
      </c>
      <c r="J130" s="1195" t="s">
        <v>1535</v>
      </c>
      <c r="K130" s="1176" t="s">
        <v>674</v>
      </c>
      <c r="L130" s="1178" t="s">
        <v>675</v>
      </c>
      <c r="M130" s="1196">
        <v>29400000</v>
      </c>
      <c r="N130" s="1197" t="s">
        <v>730</v>
      </c>
      <c r="O130" s="1197" t="s">
        <v>1536</v>
      </c>
    </row>
    <row r="131" spans="1:15" s="1159" customFormat="1" ht="60" x14ac:dyDescent="0.3">
      <c r="A131" s="1172">
        <v>2022125</v>
      </c>
      <c r="B131" s="1172">
        <v>7655</v>
      </c>
      <c r="C131" s="1172" t="s">
        <v>668</v>
      </c>
      <c r="D131" s="1190" t="s">
        <v>689</v>
      </c>
      <c r="E131" s="1191" t="s">
        <v>778</v>
      </c>
      <c r="F131" s="1192" t="s">
        <v>830</v>
      </c>
      <c r="G131" s="1193">
        <v>44575</v>
      </c>
      <c r="H131" s="1193">
        <v>44575</v>
      </c>
      <c r="I131" s="1194" t="s">
        <v>1543</v>
      </c>
      <c r="J131" s="1195" t="s">
        <v>1535</v>
      </c>
      <c r="K131" s="1176" t="s">
        <v>674</v>
      </c>
      <c r="L131" s="1178" t="s">
        <v>675</v>
      </c>
      <c r="M131" s="1196">
        <v>29400000</v>
      </c>
      <c r="N131" s="1197" t="s">
        <v>730</v>
      </c>
      <c r="O131" s="1197" t="s">
        <v>1536</v>
      </c>
    </row>
    <row r="132" spans="1:15" s="1159" customFormat="1" ht="60" x14ac:dyDescent="0.3">
      <c r="A132" s="1172">
        <v>2022126</v>
      </c>
      <c r="B132" s="1172">
        <v>7655</v>
      </c>
      <c r="C132" s="1172" t="s">
        <v>668</v>
      </c>
      <c r="D132" s="1190" t="s">
        <v>689</v>
      </c>
      <c r="E132" s="1191" t="s">
        <v>778</v>
      </c>
      <c r="F132" s="1192" t="s">
        <v>833</v>
      </c>
      <c r="G132" s="1193">
        <v>44575</v>
      </c>
      <c r="H132" s="1193">
        <v>44575</v>
      </c>
      <c r="I132" s="1194" t="s">
        <v>1543</v>
      </c>
      <c r="J132" s="1195" t="s">
        <v>1535</v>
      </c>
      <c r="K132" s="1176" t="s">
        <v>674</v>
      </c>
      <c r="L132" s="1178" t="s">
        <v>675</v>
      </c>
      <c r="M132" s="1196">
        <v>29400000</v>
      </c>
      <c r="N132" s="1197" t="s">
        <v>730</v>
      </c>
      <c r="O132" s="1197" t="s">
        <v>1536</v>
      </c>
    </row>
    <row r="133" spans="1:15" s="1159" customFormat="1" ht="60" x14ac:dyDescent="0.3">
      <c r="A133" s="1172">
        <v>2022127</v>
      </c>
      <c r="B133" s="1172">
        <v>7655</v>
      </c>
      <c r="C133" s="1172" t="s">
        <v>668</v>
      </c>
      <c r="D133" s="1190" t="s">
        <v>689</v>
      </c>
      <c r="E133" s="1191" t="s">
        <v>778</v>
      </c>
      <c r="F133" s="1192" t="s">
        <v>830</v>
      </c>
      <c r="G133" s="1193">
        <v>44575</v>
      </c>
      <c r="H133" s="1193">
        <v>44575</v>
      </c>
      <c r="I133" s="1194" t="s">
        <v>1543</v>
      </c>
      <c r="J133" s="1195" t="s">
        <v>1535</v>
      </c>
      <c r="K133" s="1176" t="s">
        <v>674</v>
      </c>
      <c r="L133" s="1178" t="s">
        <v>675</v>
      </c>
      <c r="M133" s="1196">
        <v>29400000</v>
      </c>
      <c r="N133" s="1197" t="s">
        <v>730</v>
      </c>
      <c r="O133" s="1197" t="s">
        <v>1536</v>
      </c>
    </row>
    <row r="134" spans="1:15" s="1159" customFormat="1" ht="60" x14ac:dyDescent="0.3">
      <c r="A134" s="1172">
        <v>2022128</v>
      </c>
      <c r="B134" s="1172">
        <v>7655</v>
      </c>
      <c r="C134" s="1172" t="s">
        <v>668</v>
      </c>
      <c r="D134" s="1190" t="s">
        <v>689</v>
      </c>
      <c r="E134" s="1191" t="s">
        <v>778</v>
      </c>
      <c r="F134" s="1192" t="s">
        <v>830</v>
      </c>
      <c r="G134" s="1193">
        <v>44575</v>
      </c>
      <c r="H134" s="1193">
        <v>44575</v>
      </c>
      <c r="I134" s="1194" t="s">
        <v>1543</v>
      </c>
      <c r="J134" s="1195" t="s">
        <v>1535</v>
      </c>
      <c r="K134" s="1176" t="s">
        <v>674</v>
      </c>
      <c r="L134" s="1178" t="s">
        <v>675</v>
      </c>
      <c r="M134" s="1196">
        <v>29400000</v>
      </c>
      <c r="N134" s="1197" t="s">
        <v>730</v>
      </c>
      <c r="O134" s="1197" t="s">
        <v>1536</v>
      </c>
    </row>
    <row r="135" spans="1:15" s="1159" customFormat="1" ht="60" x14ac:dyDescent="0.3">
      <c r="A135" s="1172">
        <v>2022129</v>
      </c>
      <c r="B135" s="1172">
        <v>7655</v>
      </c>
      <c r="C135" s="1172" t="s">
        <v>668</v>
      </c>
      <c r="D135" s="1190" t="s">
        <v>689</v>
      </c>
      <c r="E135" s="1191" t="s">
        <v>778</v>
      </c>
      <c r="F135" s="1192" t="s">
        <v>830</v>
      </c>
      <c r="G135" s="1193">
        <v>44575</v>
      </c>
      <c r="H135" s="1193">
        <v>44575</v>
      </c>
      <c r="I135" s="1194" t="s">
        <v>1543</v>
      </c>
      <c r="J135" s="1195" t="s">
        <v>1535</v>
      </c>
      <c r="K135" s="1176" t="s">
        <v>674</v>
      </c>
      <c r="L135" s="1178" t="s">
        <v>675</v>
      </c>
      <c r="M135" s="1196">
        <v>29400000</v>
      </c>
      <c r="N135" s="1197" t="s">
        <v>730</v>
      </c>
      <c r="O135" s="1197" t="s">
        <v>1536</v>
      </c>
    </row>
    <row r="136" spans="1:15" s="1159" customFormat="1" ht="60" x14ac:dyDescent="0.3">
      <c r="A136" s="1172">
        <v>2022130</v>
      </c>
      <c r="B136" s="1172">
        <v>7655</v>
      </c>
      <c r="C136" s="1172" t="s">
        <v>668</v>
      </c>
      <c r="D136" s="1190" t="s">
        <v>689</v>
      </c>
      <c r="E136" s="1191" t="s">
        <v>778</v>
      </c>
      <c r="F136" s="1192" t="s">
        <v>830</v>
      </c>
      <c r="G136" s="1193">
        <v>44575</v>
      </c>
      <c r="H136" s="1193">
        <v>44575</v>
      </c>
      <c r="I136" s="1194" t="s">
        <v>1543</v>
      </c>
      <c r="J136" s="1195" t="s">
        <v>1535</v>
      </c>
      <c r="K136" s="1176" t="s">
        <v>674</v>
      </c>
      <c r="L136" s="1178" t="s">
        <v>675</v>
      </c>
      <c r="M136" s="1196">
        <v>29400000</v>
      </c>
      <c r="N136" s="1197" t="s">
        <v>730</v>
      </c>
      <c r="O136" s="1197" t="s">
        <v>1536</v>
      </c>
    </row>
    <row r="137" spans="1:15" s="1159" customFormat="1" ht="60" x14ac:dyDescent="0.3">
      <c r="A137" s="1172">
        <v>2022131</v>
      </c>
      <c r="B137" s="1172">
        <v>7655</v>
      </c>
      <c r="C137" s="1172" t="s">
        <v>668</v>
      </c>
      <c r="D137" s="1190" t="s">
        <v>689</v>
      </c>
      <c r="E137" s="1191" t="s">
        <v>778</v>
      </c>
      <c r="F137" s="1192" t="s">
        <v>830</v>
      </c>
      <c r="G137" s="1193">
        <v>44575</v>
      </c>
      <c r="H137" s="1193">
        <v>44575</v>
      </c>
      <c r="I137" s="1194" t="s">
        <v>1543</v>
      </c>
      <c r="J137" s="1195" t="s">
        <v>1535</v>
      </c>
      <c r="K137" s="1176" t="s">
        <v>674</v>
      </c>
      <c r="L137" s="1178" t="s">
        <v>675</v>
      </c>
      <c r="M137" s="1196">
        <v>29400000</v>
      </c>
      <c r="N137" s="1197" t="s">
        <v>730</v>
      </c>
      <c r="O137" s="1197" t="s">
        <v>1536</v>
      </c>
    </row>
    <row r="138" spans="1:15" s="1159" customFormat="1" ht="60" x14ac:dyDescent="0.3">
      <c r="A138" s="1172">
        <v>2022132</v>
      </c>
      <c r="B138" s="1172">
        <v>7655</v>
      </c>
      <c r="C138" s="1172" t="s">
        <v>668</v>
      </c>
      <c r="D138" s="1190" t="s">
        <v>689</v>
      </c>
      <c r="E138" s="1172" t="s">
        <v>778</v>
      </c>
      <c r="F138" s="1192" t="s">
        <v>835</v>
      </c>
      <c r="G138" s="1193">
        <v>44575</v>
      </c>
      <c r="H138" s="1193">
        <v>44575</v>
      </c>
      <c r="I138" s="1194" t="s">
        <v>1543</v>
      </c>
      <c r="J138" s="1195" t="s">
        <v>1535</v>
      </c>
      <c r="K138" s="1176" t="s">
        <v>674</v>
      </c>
      <c r="L138" s="1178" t="s">
        <v>675</v>
      </c>
      <c r="M138" s="1196">
        <v>87600000</v>
      </c>
      <c r="N138" s="1197" t="s">
        <v>730</v>
      </c>
      <c r="O138" s="1197" t="s">
        <v>1536</v>
      </c>
    </row>
    <row r="139" spans="1:15" s="1159" customFormat="1" ht="75" x14ac:dyDescent="0.3">
      <c r="A139" s="1172">
        <v>2022133</v>
      </c>
      <c r="B139" s="1172">
        <v>7655</v>
      </c>
      <c r="C139" s="1172" t="s">
        <v>668</v>
      </c>
      <c r="D139" s="1190" t="s">
        <v>689</v>
      </c>
      <c r="E139" s="1191" t="s">
        <v>778</v>
      </c>
      <c r="F139" s="1192" t="s">
        <v>836</v>
      </c>
      <c r="G139" s="1193">
        <v>44575</v>
      </c>
      <c r="H139" s="1193">
        <v>44575</v>
      </c>
      <c r="I139" s="1194" t="s">
        <v>1538</v>
      </c>
      <c r="J139" s="1195" t="s">
        <v>1535</v>
      </c>
      <c r="K139" s="1176" t="s">
        <v>674</v>
      </c>
      <c r="L139" s="1178" t="s">
        <v>675</v>
      </c>
      <c r="M139" s="1196">
        <v>42000000</v>
      </c>
      <c r="N139" s="1197" t="s">
        <v>730</v>
      </c>
      <c r="O139" s="1197" t="s">
        <v>1536</v>
      </c>
    </row>
    <row r="140" spans="1:15" s="1159" customFormat="1" ht="60" x14ac:dyDescent="0.3">
      <c r="A140" s="1172">
        <v>2022134</v>
      </c>
      <c r="B140" s="1172">
        <v>7655</v>
      </c>
      <c r="C140" s="1172" t="s">
        <v>668</v>
      </c>
      <c r="D140" s="1190" t="s">
        <v>689</v>
      </c>
      <c r="E140" s="1191" t="s">
        <v>778</v>
      </c>
      <c r="F140" s="1175" t="s">
        <v>837</v>
      </c>
      <c r="G140" s="1193">
        <v>44575</v>
      </c>
      <c r="H140" s="1193">
        <v>44575</v>
      </c>
      <c r="I140" s="1194" t="s">
        <v>1534</v>
      </c>
      <c r="J140" s="1195" t="s">
        <v>1535</v>
      </c>
      <c r="K140" s="1176" t="s">
        <v>674</v>
      </c>
      <c r="L140" s="1178" t="s">
        <v>675</v>
      </c>
      <c r="M140" s="1196">
        <v>64802500</v>
      </c>
      <c r="N140" s="1197" t="s">
        <v>730</v>
      </c>
      <c r="O140" s="1197" t="s">
        <v>1536</v>
      </c>
    </row>
    <row r="141" spans="1:15" s="1159" customFormat="1" ht="60" x14ac:dyDescent="0.3">
      <c r="A141" s="1172">
        <v>2022135</v>
      </c>
      <c r="B141" s="1172">
        <v>7655</v>
      </c>
      <c r="C141" s="1172" t="s">
        <v>668</v>
      </c>
      <c r="D141" s="1190" t="s">
        <v>689</v>
      </c>
      <c r="E141" s="1172" t="s">
        <v>778</v>
      </c>
      <c r="F141" s="1192" t="s">
        <v>837</v>
      </c>
      <c r="G141" s="1193">
        <v>44575</v>
      </c>
      <c r="H141" s="1193">
        <v>44575</v>
      </c>
      <c r="I141" s="1194" t="s">
        <v>1538</v>
      </c>
      <c r="J141" s="1195" t="s">
        <v>1535</v>
      </c>
      <c r="K141" s="1176" t="s">
        <v>674</v>
      </c>
      <c r="L141" s="1178" t="s">
        <v>675</v>
      </c>
      <c r="M141" s="1196">
        <v>31500000</v>
      </c>
      <c r="N141" s="1197" t="s">
        <v>730</v>
      </c>
      <c r="O141" s="1197" t="s">
        <v>1536</v>
      </c>
    </row>
    <row r="142" spans="1:15" s="1159" customFormat="1" ht="60" x14ac:dyDescent="0.3">
      <c r="A142" s="1172">
        <v>2022136</v>
      </c>
      <c r="B142" s="1172">
        <v>7655</v>
      </c>
      <c r="C142" s="1172" t="s">
        <v>668</v>
      </c>
      <c r="D142" s="1190" t="s">
        <v>689</v>
      </c>
      <c r="E142" s="1172" t="s">
        <v>778</v>
      </c>
      <c r="F142" s="1192" t="s">
        <v>838</v>
      </c>
      <c r="G142" s="1193">
        <v>44575</v>
      </c>
      <c r="H142" s="1193">
        <v>44575</v>
      </c>
      <c r="I142" s="1194" t="s">
        <v>1534</v>
      </c>
      <c r="J142" s="1195" t="s">
        <v>1535</v>
      </c>
      <c r="K142" s="1176" t="s">
        <v>674</v>
      </c>
      <c r="L142" s="1178" t="s">
        <v>675</v>
      </c>
      <c r="M142" s="1179">
        <v>28175000</v>
      </c>
      <c r="N142" s="1197" t="s">
        <v>730</v>
      </c>
      <c r="O142" s="1197" t="s">
        <v>1536</v>
      </c>
    </row>
    <row r="143" spans="1:15" s="1159" customFormat="1" ht="60" x14ac:dyDescent="0.3">
      <c r="A143" s="1172">
        <v>2022137</v>
      </c>
      <c r="B143" s="1172">
        <v>7655</v>
      </c>
      <c r="C143" s="1172" t="s">
        <v>668</v>
      </c>
      <c r="D143" s="1190" t="s">
        <v>689</v>
      </c>
      <c r="E143" s="1172" t="s">
        <v>778</v>
      </c>
      <c r="F143" s="1192" t="s">
        <v>839</v>
      </c>
      <c r="G143" s="1193">
        <v>44575</v>
      </c>
      <c r="H143" s="1193">
        <v>44575</v>
      </c>
      <c r="I143" s="1194" t="s">
        <v>1534</v>
      </c>
      <c r="J143" s="1195" t="s">
        <v>1535</v>
      </c>
      <c r="K143" s="1176" t="s">
        <v>674</v>
      </c>
      <c r="L143" s="1178" t="s">
        <v>675</v>
      </c>
      <c r="M143" s="1179">
        <v>83950000</v>
      </c>
      <c r="N143" s="1197" t="s">
        <v>730</v>
      </c>
      <c r="O143" s="1197" t="s">
        <v>1536</v>
      </c>
    </row>
    <row r="144" spans="1:15" s="1159" customFormat="1" ht="90" x14ac:dyDescent="0.3">
      <c r="A144" s="1172">
        <v>2022138</v>
      </c>
      <c r="B144" s="1172">
        <v>7655</v>
      </c>
      <c r="C144" s="1172" t="s">
        <v>668</v>
      </c>
      <c r="D144" s="1190" t="s">
        <v>689</v>
      </c>
      <c r="E144" s="1172" t="s">
        <v>778</v>
      </c>
      <c r="F144" s="1192" t="s">
        <v>840</v>
      </c>
      <c r="G144" s="1193">
        <v>44575</v>
      </c>
      <c r="H144" s="1193">
        <v>44575</v>
      </c>
      <c r="I144" s="1194" t="s">
        <v>1534</v>
      </c>
      <c r="J144" s="1195" t="s">
        <v>1535</v>
      </c>
      <c r="K144" s="1176" t="s">
        <v>674</v>
      </c>
      <c r="L144" s="1178" t="s">
        <v>675</v>
      </c>
      <c r="M144" s="1179">
        <v>44275000</v>
      </c>
      <c r="N144" s="1197" t="s">
        <v>730</v>
      </c>
      <c r="O144" s="1197" t="s">
        <v>1536</v>
      </c>
    </row>
    <row r="145" spans="1:15" s="1159" customFormat="1" ht="90" x14ac:dyDescent="0.3">
      <c r="A145" s="1172">
        <v>2022139</v>
      </c>
      <c r="B145" s="1172">
        <v>7655</v>
      </c>
      <c r="C145" s="1172" t="s">
        <v>668</v>
      </c>
      <c r="D145" s="1190" t="s">
        <v>689</v>
      </c>
      <c r="E145" s="1172" t="s">
        <v>778</v>
      </c>
      <c r="F145" s="1192" t="s">
        <v>840</v>
      </c>
      <c r="G145" s="1193">
        <v>44575</v>
      </c>
      <c r="H145" s="1193">
        <v>44575</v>
      </c>
      <c r="I145" s="1194" t="s">
        <v>1534</v>
      </c>
      <c r="J145" s="1195" t="s">
        <v>1535</v>
      </c>
      <c r="K145" s="1176" t="s">
        <v>674</v>
      </c>
      <c r="L145" s="1178" t="s">
        <v>675</v>
      </c>
      <c r="M145" s="1179">
        <v>58650000</v>
      </c>
      <c r="N145" s="1197" t="s">
        <v>730</v>
      </c>
      <c r="O145" s="1197" t="s">
        <v>1536</v>
      </c>
    </row>
    <row r="146" spans="1:15" s="1159" customFormat="1" ht="60" x14ac:dyDescent="0.3">
      <c r="A146" s="1172">
        <v>2022140</v>
      </c>
      <c r="B146" s="1172">
        <v>7655</v>
      </c>
      <c r="C146" s="1172" t="s">
        <v>668</v>
      </c>
      <c r="D146" s="1190" t="s">
        <v>695</v>
      </c>
      <c r="E146" s="1202">
        <v>80111600</v>
      </c>
      <c r="F146" s="1203" t="s">
        <v>841</v>
      </c>
      <c r="G146" s="1204" t="s">
        <v>1495</v>
      </c>
      <c r="H146" s="1204" t="s">
        <v>1495</v>
      </c>
      <c r="I146" s="1204" t="s">
        <v>1549</v>
      </c>
      <c r="J146" s="1195" t="s">
        <v>1535</v>
      </c>
      <c r="K146" s="1176" t="s">
        <v>674</v>
      </c>
      <c r="L146" s="1205" t="s">
        <v>675</v>
      </c>
      <c r="M146" s="1179">
        <v>26496000</v>
      </c>
      <c r="N146" s="1206" t="s">
        <v>730</v>
      </c>
      <c r="O146" s="1206" t="s">
        <v>1536</v>
      </c>
    </row>
    <row r="147" spans="1:15" s="1159" customFormat="1" ht="60" x14ac:dyDescent="0.3">
      <c r="A147" s="1172">
        <v>2022141</v>
      </c>
      <c r="B147" s="1172">
        <v>7655</v>
      </c>
      <c r="C147" s="1172" t="s">
        <v>668</v>
      </c>
      <c r="D147" s="1190" t="s">
        <v>695</v>
      </c>
      <c r="E147" s="1202">
        <v>80111600</v>
      </c>
      <c r="F147" s="1203" t="s">
        <v>842</v>
      </c>
      <c r="G147" s="1204" t="s">
        <v>1495</v>
      </c>
      <c r="H147" s="1204" t="s">
        <v>1495</v>
      </c>
      <c r="I147" s="1204" t="s">
        <v>1549</v>
      </c>
      <c r="J147" s="1195" t="s">
        <v>1535</v>
      </c>
      <c r="K147" s="1176" t="s">
        <v>674</v>
      </c>
      <c r="L147" s="1205" t="s">
        <v>675</v>
      </c>
      <c r="M147" s="1179">
        <v>34776000</v>
      </c>
      <c r="N147" s="1206" t="s">
        <v>730</v>
      </c>
      <c r="O147" s="1206" t="s">
        <v>1536</v>
      </c>
    </row>
    <row r="148" spans="1:15" s="1159" customFormat="1" ht="60" x14ac:dyDescent="0.3">
      <c r="A148" s="1172">
        <v>2022142</v>
      </c>
      <c r="B148" s="1172">
        <v>7655</v>
      </c>
      <c r="C148" s="1172" t="s">
        <v>668</v>
      </c>
      <c r="D148" s="1190" t="s">
        <v>695</v>
      </c>
      <c r="E148" s="1202">
        <v>80111600</v>
      </c>
      <c r="F148" s="1203" t="s">
        <v>843</v>
      </c>
      <c r="G148" s="1204" t="s">
        <v>1495</v>
      </c>
      <c r="H148" s="1204" t="s">
        <v>1495</v>
      </c>
      <c r="I148" s="1204" t="s">
        <v>1498</v>
      </c>
      <c r="J148" s="1195" t="s">
        <v>1535</v>
      </c>
      <c r="K148" s="1176" t="s">
        <v>674</v>
      </c>
      <c r="L148" s="1205" t="s">
        <v>675</v>
      </c>
      <c r="M148" s="1179">
        <v>56100000</v>
      </c>
      <c r="N148" s="1206" t="s">
        <v>730</v>
      </c>
      <c r="O148" s="1206" t="s">
        <v>1536</v>
      </c>
    </row>
    <row r="149" spans="1:15" s="1159" customFormat="1" ht="60" x14ac:dyDescent="0.3">
      <c r="A149" s="1172">
        <v>2022143</v>
      </c>
      <c r="B149" s="1172">
        <v>7655</v>
      </c>
      <c r="C149" s="1172" t="s">
        <v>668</v>
      </c>
      <c r="D149" s="1190" t="s">
        <v>695</v>
      </c>
      <c r="E149" s="1202">
        <v>80111600</v>
      </c>
      <c r="F149" s="1203" t="s">
        <v>844</v>
      </c>
      <c r="G149" s="1204" t="s">
        <v>1495</v>
      </c>
      <c r="H149" s="1204" t="s">
        <v>1495</v>
      </c>
      <c r="I149" s="1204" t="s">
        <v>1498</v>
      </c>
      <c r="J149" s="1195" t="s">
        <v>1535</v>
      </c>
      <c r="K149" s="1176" t="s">
        <v>674</v>
      </c>
      <c r="L149" s="1205" t="s">
        <v>675</v>
      </c>
      <c r="M149" s="1179">
        <v>47817000</v>
      </c>
      <c r="N149" s="1206" t="s">
        <v>730</v>
      </c>
      <c r="O149" s="1206" t="s">
        <v>1536</v>
      </c>
    </row>
    <row r="150" spans="1:15" s="1159" customFormat="1" ht="60" x14ac:dyDescent="0.3">
      <c r="A150" s="1172">
        <v>2022144</v>
      </c>
      <c r="B150" s="1172">
        <v>7655</v>
      </c>
      <c r="C150" s="1172" t="s">
        <v>668</v>
      </c>
      <c r="D150" s="1190" t="s">
        <v>695</v>
      </c>
      <c r="E150" s="1202">
        <v>80111600</v>
      </c>
      <c r="F150" s="1203" t="s">
        <v>842</v>
      </c>
      <c r="G150" s="1204" t="s">
        <v>1495</v>
      </c>
      <c r="H150" s="1204" t="s">
        <v>1495</v>
      </c>
      <c r="I150" s="1204" t="s">
        <v>1498</v>
      </c>
      <c r="J150" s="1195" t="s">
        <v>1535</v>
      </c>
      <c r="K150" s="1176" t="s">
        <v>674</v>
      </c>
      <c r="L150" s="1205" t="s">
        <v>675</v>
      </c>
      <c r="M150" s="1179">
        <v>56100000</v>
      </c>
      <c r="N150" s="1206" t="s">
        <v>730</v>
      </c>
      <c r="O150" s="1206" t="s">
        <v>1536</v>
      </c>
    </row>
    <row r="151" spans="1:15" s="1159" customFormat="1" ht="60" x14ac:dyDescent="0.3">
      <c r="A151" s="1172">
        <v>2022145</v>
      </c>
      <c r="B151" s="1172">
        <v>7655</v>
      </c>
      <c r="C151" s="1172" t="s">
        <v>668</v>
      </c>
      <c r="D151" s="1190" t="s">
        <v>695</v>
      </c>
      <c r="E151" s="1202">
        <v>80111600</v>
      </c>
      <c r="F151" s="1203" t="s">
        <v>844</v>
      </c>
      <c r="G151" s="1204" t="s">
        <v>1495</v>
      </c>
      <c r="H151" s="1204" t="s">
        <v>1495</v>
      </c>
      <c r="I151" s="1204" t="s">
        <v>1538</v>
      </c>
      <c r="J151" s="1195" t="s">
        <v>1535</v>
      </c>
      <c r="K151" s="1176" t="s">
        <v>674</v>
      </c>
      <c r="L151" s="1205" t="s">
        <v>675</v>
      </c>
      <c r="M151" s="1179">
        <v>27895000</v>
      </c>
      <c r="N151" s="1206" t="s">
        <v>730</v>
      </c>
      <c r="O151" s="1206" t="s">
        <v>1536</v>
      </c>
    </row>
    <row r="152" spans="1:15" s="1159" customFormat="1" ht="60" x14ac:dyDescent="0.3">
      <c r="A152" s="1172">
        <v>2022146</v>
      </c>
      <c r="B152" s="1172">
        <v>7655</v>
      </c>
      <c r="C152" s="1172" t="s">
        <v>668</v>
      </c>
      <c r="D152" s="1190" t="s">
        <v>695</v>
      </c>
      <c r="E152" s="1202">
        <v>80111600</v>
      </c>
      <c r="F152" s="1203" t="s">
        <v>844</v>
      </c>
      <c r="G152" s="1204" t="s">
        <v>1495</v>
      </c>
      <c r="H152" s="1204" t="s">
        <v>1495</v>
      </c>
      <c r="I152" s="1204" t="s">
        <v>1538</v>
      </c>
      <c r="J152" s="1195" t="s">
        <v>1535</v>
      </c>
      <c r="K152" s="1176" t="s">
        <v>674</v>
      </c>
      <c r="L152" s="1205" t="s">
        <v>675</v>
      </c>
      <c r="M152" s="1179">
        <v>26950000</v>
      </c>
      <c r="N152" s="1206" t="s">
        <v>730</v>
      </c>
      <c r="O152" s="1206" t="s">
        <v>1536</v>
      </c>
    </row>
    <row r="153" spans="1:15" s="1159" customFormat="1" ht="60" x14ac:dyDescent="0.3">
      <c r="A153" s="1172">
        <v>2022147</v>
      </c>
      <c r="B153" s="1172">
        <v>7655</v>
      </c>
      <c r="C153" s="1172" t="s">
        <v>668</v>
      </c>
      <c r="D153" s="1190" t="s">
        <v>695</v>
      </c>
      <c r="E153" s="1202">
        <v>80111600</v>
      </c>
      <c r="F153" s="1203" t="s">
        <v>845</v>
      </c>
      <c r="G153" s="1204" t="s">
        <v>1495</v>
      </c>
      <c r="H153" s="1204" t="s">
        <v>1495</v>
      </c>
      <c r="I153" s="1204" t="s">
        <v>1549</v>
      </c>
      <c r="J153" s="1195" t="s">
        <v>1535</v>
      </c>
      <c r="K153" s="1176" t="s">
        <v>674</v>
      </c>
      <c r="L153" s="1205" t="s">
        <v>675</v>
      </c>
      <c r="M153" s="1179">
        <v>19600000</v>
      </c>
      <c r="N153" s="1206" t="s">
        <v>730</v>
      </c>
      <c r="O153" s="1206" t="s">
        <v>1536</v>
      </c>
    </row>
    <row r="154" spans="1:15" s="1159" customFormat="1" ht="60" x14ac:dyDescent="0.3">
      <c r="A154" s="1172">
        <v>2022148</v>
      </c>
      <c r="B154" s="1172">
        <v>7655</v>
      </c>
      <c r="C154" s="1172" t="s">
        <v>668</v>
      </c>
      <c r="D154" s="1190" t="s">
        <v>695</v>
      </c>
      <c r="E154" s="1202">
        <v>80111600</v>
      </c>
      <c r="F154" s="1203" t="s">
        <v>846</v>
      </c>
      <c r="G154" s="1204" t="s">
        <v>1495</v>
      </c>
      <c r="H154" s="1204" t="s">
        <v>1495</v>
      </c>
      <c r="I154" s="1204" t="s">
        <v>1549</v>
      </c>
      <c r="J154" s="1195" t="s">
        <v>1535</v>
      </c>
      <c r="K154" s="1176" t="s">
        <v>674</v>
      </c>
      <c r="L154" s="1205" t="s">
        <v>675</v>
      </c>
      <c r="M154" s="1179">
        <v>40800000</v>
      </c>
      <c r="N154" s="1206" t="s">
        <v>730</v>
      </c>
      <c r="O154" s="1206" t="s">
        <v>1536</v>
      </c>
    </row>
    <row r="155" spans="1:15" s="1159" customFormat="1" ht="60" x14ac:dyDescent="0.3">
      <c r="A155" s="1172">
        <v>2022149</v>
      </c>
      <c r="B155" s="1172">
        <v>7655</v>
      </c>
      <c r="C155" s="1172" t="s">
        <v>668</v>
      </c>
      <c r="D155" s="1190" t="s">
        <v>695</v>
      </c>
      <c r="E155" s="1202">
        <v>80111600</v>
      </c>
      <c r="F155" s="1203" t="s">
        <v>847</v>
      </c>
      <c r="G155" s="1204" t="s">
        <v>1495</v>
      </c>
      <c r="H155" s="1204" t="s">
        <v>1495</v>
      </c>
      <c r="I155" s="1204" t="s">
        <v>1498</v>
      </c>
      <c r="J155" s="1195" t="s">
        <v>1535</v>
      </c>
      <c r="K155" s="1176" t="s">
        <v>674</v>
      </c>
      <c r="L155" s="1205" t="s">
        <v>675</v>
      </c>
      <c r="M155" s="1179">
        <v>56100000</v>
      </c>
      <c r="N155" s="1206" t="s">
        <v>730</v>
      </c>
      <c r="O155" s="1206" t="s">
        <v>1536</v>
      </c>
    </row>
    <row r="156" spans="1:15" s="1159" customFormat="1" ht="60" x14ac:dyDescent="0.3">
      <c r="A156" s="1172">
        <v>2022150</v>
      </c>
      <c r="B156" s="1172">
        <v>7655</v>
      </c>
      <c r="C156" s="1172" t="s">
        <v>668</v>
      </c>
      <c r="D156" s="1190" t="s">
        <v>695</v>
      </c>
      <c r="E156" s="1202">
        <v>80111600</v>
      </c>
      <c r="F156" s="1203" t="s">
        <v>846</v>
      </c>
      <c r="G156" s="1204" t="s">
        <v>1495</v>
      </c>
      <c r="H156" s="1204" t="s">
        <v>1495</v>
      </c>
      <c r="I156" s="1204" t="s">
        <v>1538</v>
      </c>
      <c r="J156" s="1195" t="s">
        <v>1535</v>
      </c>
      <c r="K156" s="1176" t="s">
        <v>674</v>
      </c>
      <c r="L156" s="1205" t="s">
        <v>675</v>
      </c>
      <c r="M156" s="1179">
        <v>35700000</v>
      </c>
      <c r="N156" s="1206" t="s">
        <v>730</v>
      </c>
      <c r="O156" s="1206" t="s">
        <v>1536</v>
      </c>
    </row>
    <row r="157" spans="1:15" s="1159" customFormat="1" ht="60" x14ac:dyDescent="0.3">
      <c r="A157" s="1172">
        <v>2022151</v>
      </c>
      <c r="B157" s="1172">
        <v>7655</v>
      </c>
      <c r="C157" s="1172" t="s">
        <v>668</v>
      </c>
      <c r="D157" s="1190" t="s">
        <v>695</v>
      </c>
      <c r="E157" s="1202">
        <v>80111600</v>
      </c>
      <c r="F157" s="1203" t="s">
        <v>848</v>
      </c>
      <c r="G157" s="1204" t="s">
        <v>1495</v>
      </c>
      <c r="H157" s="1204" t="s">
        <v>1495</v>
      </c>
      <c r="I157" s="1204" t="s">
        <v>1549</v>
      </c>
      <c r="J157" s="1195" t="s">
        <v>1535</v>
      </c>
      <c r="K157" s="1176" t="s">
        <v>674</v>
      </c>
      <c r="L157" s="1205" t="s">
        <v>675</v>
      </c>
      <c r="M157" s="1179">
        <v>41400000</v>
      </c>
      <c r="N157" s="1206" t="s">
        <v>730</v>
      </c>
      <c r="O157" s="1206" t="s">
        <v>1536</v>
      </c>
    </row>
    <row r="158" spans="1:15" s="1159" customFormat="1" ht="60" x14ac:dyDescent="0.3">
      <c r="A158" s="1172">
        <v>2022152</v>
      </c>
      <c r="B158" s="1172">
        <v>7655</v>
      </c>
      <c r="C158" s="1172" t="s">
        <v>668</v>
      </c>
      <c r="D158" s="1190" t="s">
        <v>695</v>
      </c>
      <c r="E158" s="1202">
        <v>80111600</v>
      </c>
      <c r="F158" s="1203" t="s">
        <v>849</v>
      </c>
      <c r="G158" s="1204" t="s">
        <v>1495</v>
      </c>
      <c r="H158" s="1204" t="s">
        <v>1495</v>
      </c>
      <c r="I158" s="1204" t="s">
        <v>1549</v>
      </c>
      <c r="J158" s="1195" t="s">
        <v>1535</v>
      </c>
      <c r="K158" s="1176" t="s">
        <v>674</v>
      </c>
      <c r="L158" s="1205" t="s">
        <v>675</v>
      </c>
      <c r="M158" s="1179">
        <v>45544000</v>
      </c>
      <c r="N158" s="1206" t="s">
        <v>730</v>
      </c>
      <c r="O158" s="1206" t="s">
        <v>1536</v>
      </c>
    </row>
    <row r="159" spans="1:15" s="1159" customFormat="1" ht="60" x14ac:dyDescent="0.3">
      <c r="A159" s="1172">
        <v>2022153</v>
      </c>
      <c r="B159" s="1172">
        <v>7655</v>
      </c>
      <c r="C159" s="1172" t="s">
        <v>668</v>
      </c>
      <c r="D159" s="1190" t="s">
        <v>695</v>
      </c>
      <c r="E159" s="1202">
        <v>80111600</v>
      </c>
      <c r="F159" s="1203" t="s">
        <v>850</v>
      </c>
      <c r="G159" s="1204" t="s">
        <v>1495</v>
      </c>
      <c r="H159" s="1204" t="s">
        <v>1495</v>
      </c>
      <c r="I159" s="1204" t="s">
        <v>1538</v>
      </c>
      <c r="J159" s="1195" t="s">
        <v>1535</v>
      </c>
      <c r="K159" s="1176" t="s">
        <v>674</v>
      </c>
      <c r="L159" s="1205" t="s">
        <v>675</v>
      </c>
      <c r="M159" s="1179">
        <v>23184000</v>
      </c>
      <c r="N159" s="1206" t="s">
        <v>730</v>
      </c>
      <c r="O159" s="1206" t="s">
        <v>1536</v>
      </c>
    </row>
    <row r="160" spans="1:15" s="1159" customFormat="1" ht="60" x14ac:dyDescent="0.3">
      <c r="A160" s="1172">
        <v>2022154</v>
      </c>
      <c r="B160" s="1172">
        <v>7655</v>
      </c>
      <c r="C160" s="1172" t="s">
        <v>668</v>
      </c>
      <c r="D160" s="1190" t="s">
        <v>695</v>
      </c>
      <c r="E160" s="1202">
        <v>80111600</v>
      </c>
      <c r="F160" s="1203" t="s">
        <v>851</v>
      </c>
      <c r="G160" s="1204" t="s">
        <v>1495</v>
      </c>
      <c r="H160" s="1204" t="s">
        <v>1495</v>
      </c>
      <c r="I160" s="1204" t="s">
        <v>1538</v>
      </c>
      <c r="J160" s="1195" t="s">
        <v>1535</v>
      </c>
      <c r="K160" s="1176" t="s">
        <v>674</v>
      </c>
      <c r="L160" s="1205" t="s">
        <v>675</v>
      </c>
      <c r="M160" s="1179">
        <v>30429000</v>
      </c>
      <c r="N160" s="1206" t="s">
        <v>730</v>
      </c>
      <c r="O160" s="1206" t="s">
        <v>1536</v>
      </c>
    </row>
    <row r="161" spans="1:18" s="1159" customFormat="1" ht="60" x14ac:dyDescent="0.3">
      <c r="A161" s="1172">
        <v>2022155</v>
      </c>
      <c r="B161" s="1172">
        <v>7655</v>
      </c>
      <c r="C161" s="1172" t="s">
        <v>668</v>
      </c>
      <c r="D161" s="1190" t="s">
        <v>695</v>
      </c>
      <c r="E161" s="1202">
        <v>80111600</v>
      </c>
      <c r="F161" s="1203" t="s">
        <v>852</v>
      </c>
      <c r="G161" s="1204" t="s">
        <v>1495</v>
      </c>
      <c r="H161" s="1204" t="s">
        <v>1495</v>
      </c>
      <c r="I161" s="1204" t="s">
        <v>1498</v>
      </c>
      <c r="J161" s="1195" t="s">
        <v>1535</v>
      </c>
      <c r="K161" s="1176" t="s">
        <v>674</v>
      </c>
      <c r="L161" s="1205" t="s">
        <v>675</v>
      </c>
      <c r="M161" s="1179">
        <v>83600000</v>
      </c>
      <c r="N161" s="1206" t="s">
        <v>730</v>
      </c>
      <c r="O161" s="1206" t="s">
        <v>1536</v>
      </c>
    </row>
    <row r="162" spans="1:18" s="1200" customFormat="1" ht="60" x14ac:dyDescent="0.25">
      <c r="A162" s="1172">
        <v>2022156</v>
      </c>
      <c r="B162" s="1172">
        <v>7655</v>
      </c>
      <c r="C162" s="1172" t="s">
        <v>668</v>
      </c>
      <c r="D162" s="1190" t="s">
        <v>695</v>
      </c>
      <c r="E162" s="1202">
        <v>80111600</v>
      </c>
      <c r="F162" s="1203" t="s">
        <v>853</v>
      </c>
      <c r="G162" s="1204" t="s">
        <v>1495</v>
      </c>
      <c r="H162" s="1204" t="s">
        <v>1495</v>
      </c>
      <c r="I162" s="1204" t="s">
        <v>1538</v>
      </c>
      <c r="J162" s="1195" t="s">
        <v>1535</v>
      </c>
      <c r="K162" s="1176" t="s">
        <v>674</v>
      </c>
      <c r="L162" s="1205" t="s">
        <v>675</v>
      </c>
      <c r="M162" s="1179">
        <v>26950000</v>
      </c>
      <c r="N162" s="1206" t="s">
        <v>730</v>
      </c>
      <c r="O162" s="1206" t="s">
        <v>1536</v>
      </c>
      <c r="R162" s="1207"/>
    </row>
    <row r="163" spans="1:18" s="1159" customFormat="1" ht="60" x14ac:dyDescent="0.25">
      <c r="A163" s="1172">
        <v>2022157</v>
      </c>
      <c r="B163" s="1172">
        <v>7655</v>
      </c>
      <c r="C163" s="1172" t="s">
        <v>668</v>
      </c>
      <c r="D163" s="1190" t="s">
        <v>695</v>
      </c>
      <c r="E163" s="1202">
        <v>80111600</v>
      </c>
      <c r="F163" s="1203" t="s">
        <v>848</v>
      </c>
      <c r="G163" s="1204" t="s">
        <v>1495</v>
      </c>
      <c r="H163" s="1204" t="s">
        <v>1495</v>
      </c>
      <c r="I163" s="1204" t="s">
        <v>1538</v>
      </c>
      <c r="J163" s="1195" t="s">
        <v>1535</v>
      </c>
      <c r="K163" s="1176" t="s">
        <v>674</v>
      </c>
      <c r="L163" s="1205" t="s">
        <v>675</v>
      </c>
      <c r="M163" s="1179">
        <v>36225000</v>
      </c>
      <c r="N163" s="1206" t="s">
        <v>730</v>
      </c>
      <c r="O163" s="1206" t="s">
        <v>1536</v>
      </c>
      <c r="R163" s="1207"/>
    </row>
    <row r="164" spans="1:18" s="1159" customFormat="1" ht="60" x14ac:dyDescent="0.25">
      <c r="A164" s="1172">
        <v>2022158</v>
      </c>
      <c r="B164" s="1172">
        <v>7655</v>
      </c>
      <c r="C164" s="1172" t="s">
        <v>668</v>
      </c>
      <c r="D164" s="1190" t="s">
        <v>695</v>
      </c>
      <c r="E164" s="1202">
        <v>80111600</v>
      </c>
      <c r="F164" s="1203" t="s">
        <v>849</v>
      </c>
      <c r="G164" s="1204" t="s">
        <v>1495</v>
      </c>
      <c r="H164" s="1204" t="s">
        <v>1495</v>
      </c>
      <c r="I164" s="1204" t="s">
        <v>1549</v>
      </c>
      <c r="J164" s="1195" t="s">
        <v>1535</v>
      </c>
      <c r="K164" s="1176" t="s">
        <v>674</v>
      </c>
      <c r="L164" s="1205" t="s">
        <v>675</v>
      </c>
      <c r="M164" s="1179">
        <v>45544000</v>
      </c>
      <c r="N164" s="1206" t="s">
        <v>730</v>
      </c>
      <c r="O164" s="1206" t="s">
        <v>1536</v>
      </c>
      <c r="R164" s="1207"/>
    </row>
    <row r="165" spans="1:18" s="1159" customFormat="1" ht="60" x14ac:dyDescent="0.25">
      <c r="A165" s="1172">
        <v>2022159</v>
      </c>
      <c r="B165" s="1172">
        <v>7655</v>
      </c>
      <c r="C165" s="1172" t="s">
        <v>668</v>
      </c>
      <c r="D165" s="1190" t="s">
        <v>695</v>
      </c>
      <c r="E165" s="1202">
        <v>80111600</v>
      </c>
      <c r="F165" s="1203" t="s">
        <v>854</v>
      </c>
      <c r="G165" s="1204" t="s">
        <v>1495</v>
      </c>
      <c r="H165" s="1204" t="s">
        <v>1495</v>
      </c>
      <c r="I165" s="1204" t="s">
        <v>1549</v>
      </c>
      <c r="J165" s="1195" t="s">
        <v>1535</v>
      </c>
      <c r="K165" s="1176" t="s">
        <v>674</v>
      </c>
      <c r="L165" s="1205" t="s">
        <v>675</v>
      </c>
      <c r="M165" s="1179">
        <v>19600000</v>
      </c>
      <c r="N165" s="1206" t="s">
        <v>730</v>
      </c>
      <c r="O165" s="1206" t="s">
        <v>1536</v>
      </c>
      <c r="R165" s="1207"/>
    </row>
    <row r="166" spans="1:18" s="1159" customFormat="1" ht="60" x14ac:dyDescent="0.25">
      <c r="A166" s="1172">
        <v>2022160</v>
      </c>
      <c r="B166" s="1172">
        <v>7655</v>
      </c>
      <c r="C166" s="1172" t="s">
        <v>668</v>
      </c>
      <c r="D166" s="1190" t="s">
        <v>695</v>
      </c>
      <c r="E166" s="1202">
        <v>80111600</v>
      </c>
      <c r="F166" s="1203" t="s">
        <v>855</v>
      </c>
      <c r="G166" s="1204" t="s">
        <v>1495</v>
      </c>
      <c r="H166" s="1204" t="s">
        <v>1495</v>
      </c>
      <c r="I166" s="1204" t="s">
        <v>1498</v>
      </c>
      <c r="J166" s="1195" t="s">
        <v>1535</v>
      </c>
      <c r="K166" s="1176" t="s">
        <v>674</v>
      </c>
      <c r="L166" s="1205" t="s">
        <v>675</v>
      </c>
      <c r="M166" s="1179">
        <v>31306000</v>
      </c>
      <c r="N166" s="1206" t="s">
        <v>730</v>
      </c>
      <c r="O166" s="1206" t="s">
        <v>1536</v>
      </c>
      <c r="R166" s="1207"/>
    </row>
    <row r="167" spans="1:18" s="1159" customFormat="1" ht="90" x14ac:dyDescent="0.25">
      <c r="A167" s="1172">
        <v>2022161</v>
      </c>
      <c r="B167" s="1172">
        <v>7655</v>
      </c>
      <c r="C167" s="1172" t="s">
        <v>668</v>
      </c>
      <c r="D167" s="1190" t="s">
        <v>695</v>
      </c>
      <c r="E167" s="1202">
        <v>80111600</v>
      </c>
      <c r="F167" s="1208" t="s">
        <v>856</v>
      </c>
      <c r="G167" s="1204" t="s">
        <v>1495</v>
      </c>
      <c r="H167" s="1204" t="s">
        <v>1495</v>
      </c>
      <c r="I167" s="1204" t="s">
        <v>1549</v>
      </c>
      <c r="J167" s="1195" t="s">
        <v>1535</v>
      </c>
      <c r="K167" s="1176" t="s">
        <v>674</v>
      </c>
      <c r="L167" s="1205" t="s">
        <v>675</v>
      </c>
      <c r="M167" s="1179">
        <v>34776000</v>
      </c>
      <c r="N167" s="1206" t="s">
        <v>730</v>
      </c>
      <c r="O167" s="1206" t="s">
        <v>1536</v>
      </c>
      <c r="R167" s="1207"/>
    </row>
    <row r="168" spans="1:18" s="1159" customFormat="1" ht="60" x14ac:dyDescent="0.25">
      <c r="A168" s="1172">
        <v>2022162</v>
      </c>
      <c r="B168" s="1172">
        <v>7655</v>
      </c>
      <c r="C168" s="1172" t="s">
        <v>668</v>
      </c>
      <c r="D168" s="1190" t="s">
        <v>695</v>
      </c>
      <c r="E168" s="1202">
        <v>80111600</v>
      </c>
      <c r="F168" s="1203" t="s">
        <v>857</v>
      </c>
      <c r="G168" s="1204" t="s">
        <v>1495</v>
      </c>
      <c r="H168" s="1204" t="s">
        <v>1495</v>
      </c>
      <c r="I168" s="1204" t="s">
        <v>1549</v>
      </c>
      <c r="J168" s="1195" t="s">
        <v>1535</v>
      </c>
      <c r="K168" s="1176" t="s">
        <v>674</v>
      </c>
      <c r="L168" s="1205" t="s">
        <v>675</v>
      </c>
      <c r="M168" s="1179">
        <v>34776000</v>
      </c>
      <c r="N168" s="1206" t="s">
        <v>730</v>
      </c>
      <c r="O168" s="1206" t="s">
        <v>1536</v>
      </c>
      <c r="R168" s="1207"/>
    </row>
    <row r="169" spans="1:18" s="1159" customFormat="1" ht="90" x14ac:dyDescent="0.25">
      <c r="A169" s="1172">
        <v>2022163</v>
      </c>
      <c r="B169" s="1172">
        <v>7655</v>
      </c>
      <c r="C169" s="1172" t="s">
        <v>668</v>
      </c>
      <c r="D169" s="1190" t="s">
        <v>695</v>
      </c>
      <c r="E169" s="1202">
        <v>80111600</v>
      </c>
      <c r="F169" s="1208" t="s">
        <v>858</v>
      </c>
      <c r="G169" s="1204" t="s">
        <v>1495</v>
      </c>
      <c r="H169" s="1204" t="s">
        <v>1495</v>
      </c>
      <c r="I169" s="1204" t="s">
        <v>1498</v>
      </c>
      <c r="J169" s="1195" t="s">
        <v>1535</v>
      </c>
      <c r="K169" s="1176" t="s">
        <v>674</v>
      </c>
      <c r="L169" s="1205" t="s">
        <v>675</v>
      </c>
      <c r="M169" s="1179">
        <v>36850000</v>
      </c>
      <c r="N169" s="1206" t="s">
        <v>730</v>
      </c>
      <c r="O169" s="1206" t="s">
        <v>1536</v>
      </c>
      <c r="R169" s="1207"/>
    </row>
    <row r="170" spans="1:18" s="1159" customFormat="1" ht="60" x14ac:dyDescent="0.25">
      <c r="A170" s="1172">
        <v>2022164</v>
      </c>
      <c r="B170" s="1172">
        <v>7655</v>
      </c>
      <c r="C170" s="1172" t="s">
        <v>668</v>
      </c>
      <c r="D170" s="1190" t="s">
        <v>695</v>
      </c>
      <c r="E170" s="1202">
        <v>80111600</v>
      </c>
      <c r="F170" s="1203" t="s">
        <v>859</v>
      </c>
      <c r="G170" s="1204" t="s">
        <v>1495</v>
      </c>
      <c r="H170" s="1204" t="s">
        <v>1495</v>
      </c>
      <c r="I170" s="1204" t="s">
        <v>1538</v>
      </c>
      <c r="J170" s="1195" t="s">
        <v>1535</v>
      </c>
      <c r="K170" s="1176" t="s">
        <v>674</v>
      </c>
      <c r="L170" s="1205" t="s">
        <v>675</v>
      </c>
      <c r="M170" s="1179">
        <v>26950000</v>
      </c>
      <c r="N170" s="1206" t="s">
        <v>730</v>
      </c>
      <c r="O170" s="1206" t="s">
        <v>1536</v>
      </c>
      <c r="R170" s="1207"/>
    </row>
    <row r="171" spans="1:18" s="1159" customFormat="1" ht="60" x14ac:dyDescent="0.25">
      <c r="A171" s="1172">
        <v>2022165</v>
      </c>
      <c r="B171" s="1172">
        <v>7655</v>
      </c>
      <c r="C171" s="1172" t="s">
        <v>668</v>
      </c>
      <c r="D171" s="1190" t="s">
        <v>695</v>
      </c>
      <c r="E171" s="1202">
        <v>80111600</v>
      </c>
      <c r="F171" s="1203" t="s">
        <v>860</v>
      </c>
      <c r="G171" s="1204" t="s">
        <v>1495</v>
      </c>
      <c r="H171" s="1204" t="s">
        <v>1495</v>
      </c>
      <c r="I171" s="1204" t="s">
        <v>1549</v>
      </c>
      <c r="J171" s="1195" t="s">
        <v>1535</v>
      </c>
      <c r="K171" s="1176" t="s">
        <v>674</v>
      </c>
      <c r="L171" s="1205" t="s">
        <v>675</v>
      </c>
      <c r="M171" s="1179">
        <v>41400000</v>
      </c>
      <c r="N171" s="1206" t="s">
        <v>730</v>
      </c>
      <c r="O171" s="1206" t="s">
        <v>1536</v>
      </c>
      <c r="R171" s="1207"/>
    </row>
    <row r="172" spans="1:18" s="1159" customFormat="1" ht="60" x14ac:dyDescent="0.25">
      <c r="A172" s="1172">
        <v>2022166</v>
      </c>
      <c r="B172" s="1172">
        <v>7655</v>
      </c>
      <c r="C172" s="1172" t="s">
        <v>668</v>
      </c>
      <c r="D172" s="1190" t="s">
        <v>695</v>
      </c>
      <c r="E172" s="1202">
        <v>80111600</v>
      </c>
      <c r="F172" s="1203" t="s">
        <v>861</v>
      </c>
      <c r="G172" s="1204" t="s">
        <v>1495</v>
      </c>
      <c r="H172" s="1204" t="s">
        <v>1495</v>
      </c>
      <c r="I172" s="1204" t="s">
        <v>1549</v>
      </c>
      <c r="J172" s="1195" t="s">
        <v>1535</v>
      </c>
      <c r="K172" s="1176" t="s">
        <v>674</v>
      </c>
      <c r="L172" s="1205" t="s">
        <v>675</v>
      </c>
      <c r="M172" s="1179">
        <v>41400000</v>
      </c>
      <c r="N172" s="1206" t="s">
        <v>730</v>
      </c>
      <c r="O172" s="1206" t="s">
        <v>1536</v>
      </c>
      <c r="R172" s="1207"/>
    </row>
    <row r="173" spans="1:18" s="1159" customFormat="1" ht="60" x14ac:dyDescent="0.25">
      <c r="A173" s="1172">
        <v>2022167</v>
      </c>
      <c r="B173" s="1172">
        <v>7655</v>
      </c>
      <c r="C173" s="1172" t="s">
        <v>668</v>
      </c>
      <c r="D173" s="1190" t="s">
        <v>695</v>
      </c>
      <c r="E173" s="1202">
        <v>80111600</v>
      </c>
      <c r="F173" s="1203" t="s">
        <v>862</v>
      </c>
      <c r="G173" s="1204" t="s">
        <v>1495</v>
      </c>
      <c r="H173" s="1204" t="s">
        <v>1495</v>
      </c>
      <c r="I173" s="1204" t="s">
        <v>1498</v>
      </c>
      <c r="J173" s="1195" t="s">
        <v>1535</v>
      </c>
      <c r="K173" s="1176" t="s">
        <v>674</v>
      </c>
      <c r="L173" s="1205" t="s">
        <v>675</v>
      </c>
      <c r="M173" s="1179">
        <v>80036000</v>
      </c>
      <c r="N173" s="1206" t="s">
        <v>730</v>
      </c>
      <c r="O173" s="1206" t="s">
        <v>1536</v>
      </c>
      <c r="R173" s="1207"/>
    </row>
    <row r="174" spans="1:18" s="1159" customFormat="1" ht="60" x14ac:dyDescent="0.25">
      <c r="A174" s="1172">
        <v>2022168</v>
      </c>
      <c r="B174" s="1172">
        <v>7655</v>
      </c>
      <c r="C174" s="1172" t="s">
        <v>668</v>
      </c>
      <c r="D174" s="1190" t="s">
        <v>695</v>
      </c>
      <c r="E174" s="1202">
        <v>80111600</v>
      </c>
      <c r="F174" s="1209" t="s">
        <v>860</v>
      </c>
      <c r="G174" s="1204" t="s">
        <v>1495</v>
      </c>
      <c r="H174" s="1204" t="s">
        <v>1495</v>
      </c>
      <c r="I174" s="1204" t="s">
        <v>1541</v>
      </c>
      <c r="J174" s="1195" t="s">
        <v>1535</v>
      </c>
      <c r="K174" s="1176" t="s">
        <v>674</v>
      </c>
      <c r="L174" s="1205" t="s">
        <v>675</v>
      </c>
      <c r="M174" s="1179">
        <v>60000000</v>
      </c>
      <c r="N174" s="1206" t="s">
        <v>730</v>
      </c>
      <c r="O174" s="1206" t="s">
        <v>1536</v>
      </c>
      <c r="R174" s="1207"/>
    </row>
    <row r="175" spans="1:18" s="1159" customFormat="1" ht="90" x14ac:dyDescent="0.25">
      <c r="A175" s="1172">
        <v>2022169</v>
      </c>
      <c r="B175" s="1172">
        <v>7655</v>
      </c>
      <c r="C175" s="1172" t="s">
        <v>668</v>
      </c>
      <c r="D175" s="1190" t="s">
        <v>695</v>
      </c>
      <c r="E175" s="1202">
        <v>80111600</v>
      </c>
      <c r="F175" s="1208" t="s">
        <v>858</v>
      </c>
      <c r="G175" s="1204" t="s">
        <v>1495</v>
      </c>
      <c r="H175" s="1204" t="s">
        <v>1495</v>
      </c>
      <c r="I175" s="1204" t="s">
        <v>1498</v>
      </c>
      <c r="J175" s="1195" t="s">
        <v>1535</v>
      </c>
      <c r="K175" s="1176" t="s">
        <v>674</v>
      </c>
      <c r="L175" s="1205" t="s">
        <v>675</v>
      </c>
      <c r="M175" s="1179">
        <v>34155000</v>
      </c>
      <c r="N175" s="1206" t="s">
        <v>730</v>
      </c>
      <c r="O175" s="1206" t="s">
        <v>1536</v>
      </c>
      <c r="R175" s="1207"/>
    </row>
    <row r="176" spans="1:18" s="1159" customFormat="1" ht="60" x14ac:dyDescent="0.25">
      <c r="A176" s="1172">
        <v>2022170</v>
      </c>
      <c r="B176" s="1172">
        <v>7655</v>
      </c>
      <c r="C176" s="1172" t="s">
        <v>668</v>
      </c>
      <c r="D176" s="1190" t="s">
        <v>695</v>
      </c>
      <c r="E176" s="1202">
        <v>80111600</v>
      </c>
      <c r="F176" s="1203" t="s">
        <v>861</v>
      </c>
      <c r="G176" s="1204" t="s">
        <v>1495</v>
      </c>
      <c r="H176" s="1204" t="s">
        <v>1495</v>
      </c>
      <c r="I176" s="1204" t="s">
        <v>1537</v>
      </c>
      <c r="J176" s="1195" t="s">
        <v>1535</v>
      </c>
      <c r="K176" s="1176" t="s">
        <v>674</v>
      </c>
      <c r="L176" s="1205" t="s">
        <v>675</v>
      </c>
      <c r="M176" s="1179">
        <v>26082000</v>
      </c>
      <c r="N176" s="1206" t="s">
        <v>730</v>
      </c>
      <c r="O176" s="1206" t="s">
        <v>1536</v>
      </c>
      <c r="R176" s="1207"/>
    </row>
    <row r="177" spans="1:18" s="1159" customFormat="1" ht="60" x14ac:dyDescent="0.25">
      <c r="A177" s="1172">
        <v>2022171</v>
      </c>
      <c r="B177" s="1172">
        <v>7655</v>
      </c>
      <c r="C177" s="1172" t="s">
        <v>668</v>
      </c>
      <c r="D177" s="1190" t="s">
        <v>695</v>
      </c>
      <c r="E177" s="1202">
        <v>80111600</v>
      </c>
      <c r="F177" s="1209" t="s">
        <v>863</v>
      </c>
      <c r="G177" s="1204" t="s">
        <v>1495</v>
      </c>
      <c r="H177" s="1204" t="s">
        <v>1495</v>
      </c>
      <c r="I177" s="1204" t="s">
        <v>1538</v>
      </c>
      <c r="J177" s="1195" t="s">
        <v>1535</v>
      </c>
      <c r="K177" s="1176" t="s">
        <v>674</v>
      </c>
      <c r="L177" s="1205" t="s">
        <v>675</v>
      </c>
      <c r="M177" s="1179">
        <v>36225000</v>
      </c>
      <c r="N177" s="1206" t="s">
        <v>730</v>
      </c>
      <c r="O177" s="1206" t="s">
        <v>1536</v>
      </c>
      <c r="R177" s="1207"/>
    </row>
    <row r="178" spans="1:18" s="1159" customFormat="1" ht="60" x14ac:dyDescent="0.25">
      <c r="A178" s="1172">
        <v>2022172</v>
      </c>
      <c r="B178" s="1172">
        <v>7655</v>
      </c>
      <c r="C178" s="1172" t="s">
        <v>668</v>
      </c>
      <c r="D178" s="1190" t="s">
        <v>695</v>
      </c>
      <c r="E178" s="1202">
        <v>80111600</v>
      </c>
      <c r="F178" s="1209" t="s">
        <v>860</v>
      </c>
      <c r="G178" s="1204" t="s">
        <v>1495</v>
      </c>
      <c r="H178" s="1204" t="s">
        <v>1495</v>
      </c>
      <c r="I178" s="1204" t="s">
        <v>1538</v>
      </c>
      <c r="J178" s="1195" t="s">
        <v>1535</v>
      </c>
      <c r="K178" s="1176" t="s">
        <v>674</v>
      </c>
      <c r="L178" s="1205" t="s">
        <v>675</v>
      </c>
      <c r="M178" s="1179">
        <v>36225000</v>
      </c>
      <c r="N178" s="1206" t="s">
        <v>730</v>
      </c>
      <c r="O178" s="1206" t="s">
        <v>1536</v>
      </c>
      <c r="R178" s="1207"/>
    </row>
    <row r="179" spans="1:18" s="1159" customFormat="1" ht="60" x14ac:dyDescent="0.25">
      <c r="A179" s="1172">
        <v>2022173</v>
      </c>
      <c r="B179" s="1172">
        <v>7655</v>
      </c>
      <c r="C179" s="1172" t="s">
        <v>668</v>
      </c>
      <c r="D179" s="1190" t="s">
        <v>695</v>
      </c>
      <c r="E179" s="1202">
        <v>80111600</v>
      </c>
      <c r="F179" s="1209" t="s">
        <v>864</v>
      </c>
      <c r="G179" s="1204" t="s">
        <v>1495</v>
      </c>
      <c r="H179" s="1204" t="s">
        <v>1495</v>
      </c>
      <c r="I179" s="1204" t="s">
        <v>1537</v>
      </c>
      <c r="J179" s="1195" t="s">
        <v>1535</v>
      </c>
      <c r="K179" s="1176" t="s">
        <v>674</v>
      </c>
      <c r="L179" s="1205" t="s">
        <v>675</v>
      </c>
      <c r="M179" s="1179">
        <v>12000000</v>
      </c>
      <c r="N179" s="1206" t="s">
        <v>730</v>
      </c>
      <c r="O179" s="1206" t="s">
        <v>1536</v>
      </c>
      <c r="R179" s="1207"/>
    </row>
    <row r="180" spans="1:18" s="1159" customFormat="1" ht="60" x14ac:dyDescent="0.25">
      <c r="A180" s="1172">
        <v>2022174</v>
      </c>
      <c r="B180" s="1172">
        <v>7655</v>
      </c>
      <c r="C180" s="1172" t="s">
        <v>668</v>
      </c>
      <c r="D180" s="1190" t="s">
        <v>695</v>
      </c>
      <c r="E180" s="1202">
        <v>80111600</v>
      </c>
      <c r="F180" s="1209" t="s">
        <v>865</v>
      </c>
      <c r="G180" s="1204" t="s">
        <v>1495</v>
      </c>
      <c r="H180" s="1204" t="s">
        <v>1510</v>
      </c>
      <c r="I180" s="1204" t="s">
        <v>1550</v>
      </c>
      <c r="J180" s="1195" t="s">
        <v>1535</v>
      </c>
      <c r="K180" s="1176" t="s">
        <v>674</v>
      </c>
      <c r="L180" s="1205" t="s">
        <v>675</v>
      </c>
      <c r="M180" s="1179">
        <v>282051000</v>
      </c>
      <c r="N180" s="1206" t="s">
        <v>730</v>
      </c>
      <c r="O180" s="1206" t="s">
        <v>1536</v>
      </c>
      <c r="R180" s="1207"/>
    </row>
    <row r="181" spans="1:18" s="1159" customFormat="1" ht="60" x14ac:dyDescent="0.25">
      <c r="A181" s="1172">
        <v>2022175</v>
      </c>
      <c r="B181" s="1172">
        <v>7655</v>
      </c>
      <c r="C181" s="1172" t="s">
        <v>668</v>
      </c>
      <c r="D181" s="1190" t="s">
        <v>701</v>
      </c>
      <c r="E181" s="1210">
        <v>80111600</v>
      </c>
      <c r="F181" s="1211" t="s">
        <v>866</v>
      </c>
      <c r="G181" s="1193" t="s">
        <v>1495</v>
      </c>
      <c r="H181" s="1212" t="s">
        <v>1495</v>
      </c>
      <c r="I181" s="1176" t="s">
        <v>1537</v>
      </c>
      <c r="J181" s="1210" t="s">
        <v>1551</v>
      </c>
      <c r="K181" s="1176" t="s">
        <v>674</v>
      </c>
      <c r="L181" s="1213" t="s">
        <v>675</v>
      </c>
      <c r="M181" s="1179">
        <v>1000000000</v>
      </c>
      <c r="N181" s="1214" t="s">
        <v>726</v>
      </c>
      <c r="O181" s="1206" t="s">
        <v>1536</v>
      </c>
      <c r="R181" s="1207"/>
    </row>
    <row r="182" spans="1:18" s="1159" customFormat="1" ht="54.75" customHeight="1" x14ac:dyDescent="0.3">
      <c r="A182" s="1172">
        <v>2022176</v>
      </c>
      <c r="B182" s="1172">
        <v>7655</v>
      </c>
      <c r="C182" s="1172" t="s">
        <v>668</v>
      </c>
      <c r="D182" s="1190" t="s">
        <v>701</v>
      </c>
      <c r="E182" s="1191">
        <v>80111600</v>
      </c>
      <c r="F182" s="1192" t="s">
        <v>867</v>
      </c>
      <c r="G182" s="1193" t="s">
        <v>1495</v>
      </c>
      <c r="H182" s="1212" t="s">
        <v>1495</v>
      </c>
      <c r="I182" s="1215" t="s">
        <v>1552</v>
      </c>
      <c r="J182" s="1195" t="s">
        <v>1535</v>
      </c>
      <c r="K182" s="1176" t="s">
        <v>674</v>
      </c>
      <c r="L182" s="1176" t="s">
        <v>675</v>
      </c>
      <c r="M182" s="1196">
        <f>80500000-42000000</f>
        <v>38500000</v>
      </c>
      <c r="N182" s="1214" t="s">
        <v>726</v>
      </c>
      <c r="O182" s="1206" t="s">
        <v>1536</v>
      </c>
    </row>
    <row r="183" spans="1:18" s="1159" customFormat="1" ht="60" x14ac:dyDescent="0.3">
      <c r="A183" s="1172">
        <v>2022177</v>
      </c>
      <c r="B183" s="1172">
        <v>7655</v>
      </c>
      <c r="C183" s="1172" t="s">
        <v>668</v>
      </c>
      <c r="D183" s="1190" t="s">
        <v>698</v>
      </c>
      <c r="E183" s="1172">
        <v>80111600</v>
      </c>
      <c r="F183" s="1216" t="s">
        <v>868</v>
      </c>
      <c r="G183" s="1204" t="s">
        <v>1495</v>
      </c>
      <c r="H183" s="1217" t="s">
        <v>1505</v>
      </c>
      <c r="I183" s="1204" t="s">
        <v>1498</v>
      </c>
      <c r="J183" s="1195" t="s">
        <v>1535</v>
      </c>
      <c r="K183" s="1176" t="s">
        <v>674</v>
      </c>
      <c r="L183" s="1218" t="s">
        <v>675</v>
      </c>
      <c r="M183" s="1179">
        <v>80000000</v>
      </c>
      <c r="N183" s="1206" t="s">
        <v>730</v>
      </c>
      <c r="O183" s="1206" t="s">
        <v>1536</v>
      </c>
    </row>
    <row r="184" spans="1:18" s="1159" customFormat="1" ht="60" x14ac:dyDescent="0.3">
      <c r="A184" s="1172">
        <v>2022178</v>
      </c>
      <c r="B184" s="1172">
        <v>7655</v>
      </c>
      <c r="C184" s="1172" t="s">
        <v>668</v>
      </c>
      <c r="D184" s="1190" t="s">
        <v>692</v>
      </c>
      <c r="E184" s="1172">
        <v>80111600</v>
      </c>
      <c r="F184" s="1216" t="s">
        <v>869</v>
      </c>
      <c r="G184" s="1204" t="s">
        <v>1495</v>
      </c>
      <c r="H184" s="1217" t="s">
        <v>1505</v>
      </c>
      <c r="I184" s="1204" t="s">
        <v>1541</v>
      </c>
      <c r="J184" s="1195" t="s">
        <v>1535</v>
      </c>
      <c r="K184" s="1176" t="s">
        <v>674</v>
      </c>
      <c r="L184" s="1218" t="s">
        <v>675</v>
      </c>
      <c r="M184" s="1179">
        <v>80000000</v>
      </c>
      <c r="N184" s="1206" t="s">
        <v>730</v>
      </c>
      <c r="O184" s="1206" t="s">
        <v>1536</v>
      </c>
    </row>
    <row r="185" spans="1:18" s="1159" customFormat="1" ht="60" x14ac:dyDescent="0.3">
      <c r="A185" s="1172">
        <v>2022179</v>
      </c>
      <c r="B185" s="1172">
        <v>7655</v>
      </c>
      <c r="C185" s="1172" t="s">
        <v>668</v>
      </c>
      <c r="D185" s="1190" t="s">
        <v>686</v>
      </c>
      <c r="E185" s="1210">
        <v>80111600</v>
      </c>
      <c r="F185" s="1216" t="s">
        <v>870</v>
      </c>
      <c r="G185" s="1204" t="s">
        <v>1495</v>
      </c>
      <c r="H185" s="1204" t="s">
        <v>1495</v>
      </c>
      <c r="I185" s="1204" t="s">
        <v>1543</v>
      </c>
      <c r="J185" s="1195" t="s">
        <v>1535</v>
      </c>
      <c r="K185" s="1176" t="s">
        <v>674</v>
      </c>
      <c r="L185" s="1218" t="s">
        <v>675</v>
      </c>
      <c r="M185" s="1179">
        <v>39371000</v>
      </c>
      <c r="N185" s="1197" t="s">
        <v>730</v>
      </c>
      <c r="O185" s="1206" t="s">
        <v>1536</v>
      </c>
    </row>
    <row r="186" spans="1:18" s="1159" customFormat="1" ht="60" x14ac:dyDescent="0.3">
      <c r="A186" s="1172">
        <v>2022180</v>
      </c>
      <c r="B186" s="1172">
        <v>7655</v>
      </c>
      <c r="C186" s="1172" t="s">
        <v>668</v>
      </c>
      <c r="D186" s="1190" t="s">
        <v>686</v>
      </c>
      <c r="E186" s="1210">
        <v>80111600</v>
      </c>
      <c r="F186" s="1216" t="s">
        <v>871</v>
      </c>
      <c r="G186" s="1204" t="s">
        <v>1495</v>
      </c>
      <c r="H186" s="1204" t="s">
        <v>1495</v>
      </c>
      <c r="I186" s="1204" t="s">
        <v>1543</v>
      </c>
      <c r="J186" s="1195" t="s">
        <v>1535</v>
      </c>
      <c r="K186" s="1176" t="s">
        <v>674</v>
      </c>
      <c r="L186" s="1218" t="s">
        <v>675</v>
      </c>
      <c r="M186" s="1179">
        <v>45697000</v>
      </c>
      <c r="N186" s="1197" t="s">
        <v>730</v>
      </c>
      <c r="O186" s="1206" t="s">
        <v>1536</v>
      </c>
    </row>
    <row r="187" spans="1:18" s="1159" customFormat="1" ht="60" x14ac:dyDescent="0.3">
      <c r="A187" s="1172">
        <v>2022181</v>
      </c>
      <c r="B187" s="1172">
        <v>7655</v>
      </c>
      <c r="C187" s="1172" t="s">
        <v>668</v>
      </c>
      <c r="D187" s="1190" t="s">
        <v>686</v>
      </c>
      <c r="E187" s="1210">
        <v>80111600</v>
      </c>
      <c r="F187" s="1216" t="s">
        <v>871</v>
      </c>
      <c r="G187" s="1204" t="s">
        <v>1495</v>
      </c>
      <c r="H187" s="1204" t="s">
        <v>1495</v>
      </c>
      <c r="I187" s="1204" t="s">
        <v>1543</v>
      </c>
      <c r="J187" s="1195" t="s">
        <v>1535</v>
      </c>
      <c r="K187" s="1176" t="s">
        <v>674</v>
      </c>
      <c r="L187" s="1218" t="s">
        <v>675</v>
      </c>
      <c r="M187" s="1179">
        <v>79351000</v>
      </c>
      <c r="N187" s="1197" t="s">
        <v>730</v>
      </c>
      <c r="O187" s="1206" t="s">
        <v>1536</v>
      </c>
    </row>
    <row r="188" spans="1:18" s="1159" customFormat="1" ht="60" x14ac:dyDescent="0.3">
      <c r="A188" s="1172">
        <v>2022182</v>
      </c>
      <c r="B188" s="1172">
        <v>7655</v>
      </c>
      <c r="C188" s="1172" t="s">
        <v>668</v>
      </c>
      <c r="D188" s="1190" t="s">
        <v>686</v>
      </c>
      <c r="E188" s="1210">
        <v>80111600</v>
      </c>
      <c r="F188" s="1216" t="s">
        <v>871</v>
      </c>
      <c r="G188" s="1204" t="s">
        <v>1495</v>
      </c>
      <c r="H188" s="1204" t="s">
        <v>1495</v>
      </c>
      <c r="I188" s="1204" t="s">
        <v>1543</v>
      </c>
      <c r="J188" s="1195" t="s">
        <v>1535</v>
      </c>
      <c r="K188" s="1176" t="s">
        <v>674</v>
      </c>
      <c r="L188" s="1218" t="s">
        <v>675</v>
      </c>
      <c r="M188" s="1179">
        <v>79351000</v>
      </c>
      <c r="N188" s="1197" t="s">
        <v>730</v>
      </c>
      <c r="O188" s="1206" t="s">
        <v>1536</v>
      </c>
    </row>
    <row r="189" spans="1:18" s="1159" customFormat="1" ht="60" x14ac:dyDescent="0.3">
      <c r="A189" s="1172">
        <v>2022183</v>
      </c>
      <c r="B189" s="1172">
        <v>7655</v>
      </c>
      <c r="C189" s="1172" t="s">
        <v>668</v>
      </c>
      <c r="D189" s="1190" t="s">
        <v>686</v>
      </c>
      <c r="E189" s="1210">
        <v>80111600</v>
      </c>
      <c r="F189" s="1216" t="s">
        <v>871</v>
      </c>
      <c r="G189" s="1204" t="s">
        <v>1495</v>
      </c>
      <c r="H189" s="1204" t="s">
        <v>1495</v>
      </c>
      <c r="I189" s="1204" t="s">
        <v>1543</v>
      </c>
      <c r="J189" s="1195" t="s">
        <v>1535</v>
      </c>
      <c r="K189" s="1176" t="s">
        <v>674</v>
      </c>
      <c r="L189" s="1218" t="s">
        <v>675</v>
      </c>
      <c r="M189" s="1179">
        <v>79351000</v>
      </c>
      <c r="N189" s="1197" t="s">
        <v>730</v>
      </c>
      <c r="O189" s="1206" t="s">
        <v>1536</v>
      </c>
    </row>
    <row r="190" spans="1:18" s="1159" customFormat="1" ht="60" x14ac:dyDescent="0.3">
      <c r="A190" s="1172">
        <v>2022184</v>
      </c>
      <c r="B190" s="1172">
        <v>7655</v>
      </c>
      <c r="C190" s="1172" t="s">
        <v>668</v>
      </c>
      <c r="D190" s="1190" t="s">
        <v>682</v>
      </c>
      <c r="E190" s="1191">
        <v>80111600</v>
      </c>
      <c r="F190" s="1198" t="s">
        <v>872</v>
      </c>
      <c r="G190" s="1193">
        <v>44566</v>
      </c>
      <c r="H190" s="1193">
        <v>44568</v>
      </c>
      <c r="I190" s="1204" t="s">
        <v>1553</v>
      </c>
      <c r="J190" s="1195" t="s">
        <v>1535</v>
      </c>
      <c r="K190" s="1176" t="s">
        <v>674</v>
      </c>
      <c r="L190" s="1178" t="s">
        <v>780</v>
      </c>
      <c r="M190" s="1196">
        <v>106950000</v>
      </c>
      <c r="N190" s="1197" t="s">
        <v>730</v>
      </c>
      <c r="O190" s="1206" t="s">
        <v>1536</v>
      </c>
    </row>
    <row r="191" spans="1:18" s="1159" customFormat="1" ht="60" x14ac:dyDescent="0.3">
      <c r="A191" s="1172">
        <v>2022185</v>
      </c>
      <c r="B191" s="1172">
        <v>7655</v>
      </c>
      <c r="C191" s="1172" t="s">
        <v>668</v>
      </c>
      <c r="D191" s="1190" t="s">
        <v>682</v>
      </c>
      <c r="E191" s="1191">
        <v>80111600</v>
      </c>
      <c r="F191" s="1198" t="s">
        <v>873</v>
      </c>
      <c r="G191" s="1193">
        <v>44566</v>
      </c>
      <c r="H191" s="1193">
        <v>44568</v>
      </c>
      <c r="I191" s="1204" t="s">
        <v>1553</v>
      </c>
      <c r="J191" s="1195" t="s">
        <v>1535</v>
      </c>
      <c r="K191" s="1176" t="s">
        <v>674</v>
      </c>
      <c r="L191" s="1178" t="s">
        <v>780</v>
      </c>
      <c r="M191" s="1196">
        <v>78200000</v>
      </c>
      <c r="N191" s="1197" t="s">
        <v>730</v>
      </c>
      <c r="O191" s="1206" t="s">
        <v>1536</v>
      </c>
    </row>
    <row r="192" spans="1:18" s="1159" customFormat="1" ht="60" x14ac:dyDescent="0.3">
      <c r="A192" s="1172">
        <v>2022186</v>
      </c>
      <c r="B192" s="1172">
        <v>7655</v>
      </c>
      <c r="C192" s="1172" t="s">
        <v>668</v>
      </c>
      <c r="D192" s="1190" t="s">
        <v>682</v>
      </c>
      <c r="E192" s="1191">
        <v>80111600</v>
      </c>
      <c r="F192" s="1198" t="s">
        <v>874</v>
      </c>
      <c r="G192" s="1193">
        <v>44566</v>
      </c>
      <c r="H192" s="1193">
        <v>44568</v>
      </c>
      <c r="I192" s="1204" t="s">
        <v>1553</v>
      </c>
      <c r="J192" s="1195" t="s">
        <v>1535</v>
      </c>
      <c r="K192" s="1176" t="s">
        <v>674</v>
      </c>
      <c r="L192" s="1178" t="s">
        <v>780</v>
      </c>
      <c r="M192" s="1196">
        <v>92000000</v>
      </c>
      <c r="N192" s="1197" t="s">
        <v>730</v>
      </c>
      <c r="O192" s="1206" t="s">
        <v>1536</v>
      </c>
    </row>
    <row r="193" spans="1:15" s="1159" customFormat="1" ht="60" x14ac:dyDescent="0.3">
      <c r="A193" s="1172">
        <v>2022187</v>
      </c>
      <c r="B193" s="1172">
        <v>7655</v>
      </c>
      <c r="C193" s="1172" t="s">
        <v>668</v>
      </c>
      <c r="D193" s="1190" t="s">
        <v>682</v>
      </c>
      <c r="E193" s="1191">
        <v>80111600</v>
      </c>
      <c r="F193" s="1198" t="s">
        <v>875</v>
      </c>
      <c r="G193" s="1193">
        <v>44566</v>
      </c>
      <c r="H193" s="1193">
        <v>44568</v>
      </c>
      <c r="I193" s="1204" t="s">
        <v>1553</v>
      </c>
      <c r="J193" s="1195" t="s">
        <v>1535</v>
      </c>
      <c r="K193" s="1176" t="s">
        <v>674</v>
      </c>
      <c r="L193" s="1178" t="s">
        <v>675</v>
      </c>
      <c r="M193" s="1196">
        <v>80500000</v>
      </c>
      <c r="N193" s="1197" t="s">
        <v>730</v>
      </c>
      <c r="O193" s="1206" t="s">
        <v>1536</v>
      </c>
    </row>
    <row r="194" spans="1:15" s="1159" customFormat="1" ht="60" x14ac:dyDescent="0.3">
      <c r="A194" s="1172">
        <v>2022188</v>
      </c>
      <c r="B194" s="1172">
        <v>7655</v>
      </c>
      <c r="C194" s="1172" t="s">
        <v>668</v>
      </c>
      <c r="D194" s="1190" t="s">
        <v>682</v>
      </c>
      <c r="E194" s="1191">
        <v>80111600</v>
      </c>
      <c r="F194" s="1198" t="s">
        <v>876</v>
      </c>
      <c r="G194" s="1193">
        <v>44566</v>
      </c>
      <c r="H194" s="1193">
        <v>44568</v>
      </c>
      <c r="I194" s="1204" t="s">
        <v>1553</v>
      </c>
      <c r="J194" s="1195" t="s">
        <v>1535</v>
      </c>
      <c r="K194" s="1176" t="s">
        <v>674</v>
      </c>
      <c r="L194" s="1178" t="s">
        <v>780</v>
      </c>
      <c r="M194" s="1196">
        <v>87975000</v>
      </c>
      <c r="N194" s="1197" t="s">
        <v>730</v>
      </c>
      <c r="O194" s="1206" t="s">
        <v>1536</v>
      </c>
    </row>
    <row r="195" spans="1:15" s="1159" customFormat="1" ht="60" x14ac:dyDescent="0.3">
      <c r="A195" s="1172">
        <v>2022189</v>
      </c>
      <c r="B195" s="1172">
        <v>7655</v>
      </c>
      <c r="C195" s="1172" t="s">
        <v>668</v>
      </c>
      <c r="D195" s="1190" t="s">
        <v>682</v>
      </c>
      <c r="E195" s="1191">
        <v>80111600</v>
      </c>
      <c r="F195" s="1198" t="s">
        <v>876</v>
      </c>
      <c r="G195" s="1193">
        <v>44566</v>
      </c>
      <c r="H195" s="1193">
        <v>44568</v>
      </c>
      <c r="I195" s="1204" t="s">
        <v>1553</v>
      </c>
      <c r="J195" s="1195" t="s">
        <v>1535</v>
      </c>
      <c r="K195" s="1176" t="s">
        <v>674</v>
      </c>
      <c r="L195" s="1178" t="s">
        <v>780</v>
      </c>
      <c r="M195" s="1196">
        <v>87975000</v>
      </c>
      <c r="N195" s="1197" t="s">
        <v>730</v>
      </c>
      <c r="O195" s="1206" t="s">
        <v>1536</v>
      </c>
    </row>
    <row r="196" spans="1:15" s="1159" customFormat="1" ht="60" x14ac:dyDescent="0.3">
      <c r="A196" s="1172">
        <v>2022190</v>
      </c>
      <c r="B196" s="1172">
        <v>7655</v>
      </c>
      <c r="C196" s="1172" t="s">
        <v>668</v>
      </c>
      <c r="D196" s="1190" t="s">
        <v>682</v>
      </c>
      <c r="E196" s="1191">
        <v>80111600</v>
      </c>
      <c r="F196" s="1198" t="s">
        <v>876</v>
      </c>
      <c r="G196" s="1193">
        <v>44566</v>
      </c>
      <c r="H196" s="1193">
        <v>44568</v>
      </c>
      <c r="I196" s="1204" t="s">
        <v>1553</v>
      </c>
      <c r="J196" s="1195" t="s">
        <v>1535</v>
      </c>
      <c r="K196" s="1176" t="s">
        <v>674</v>
      </c>
      <c r="L196" s="1178" t="s">
        <v>780</v>
      </c>
      <c r="M196" s="1196">
        <v>87975000</v>
      </c>
      <c r="N196" s="1197" t="s">
        <v>730</v>
      </c>
      <c r="O196" s="1206" t="s">
        <v>1536</v>
      </c>
    </row>
    <row r="197" spans="1:15" s="1159" customFormat="1" ht="60" x14ac:dyDescent="0.3">
      <c r="A197" s="1172">
        <v>2022191</v>
      </c>
      <c r="B197" s="1172">
        <v>7655</v>
      </c>
      <c r="C197" s="1172" t="s">
        <v>668</v>
      </c>
      <c r="D197" s="1190" t="s">
        <v>682</v>
      </c>
      <c r="E197" s="1191">
        <v>80111600</v>
      </c>
      <c r="F197" s="1198" t="s">
        <v>876</v>
      </c>
      <c r="G197" s="1193">
        <v>44566</v>
      </c>
      <c r="H197" s="1193">
        <v>44568</v>
      </c>
      <c r="I197" s="1204" t="s">
        <v>1553</v>
      </c>
      <c r="J197" s="1195" t="s">
        <v>1535</v>
      </c>
      <c r="K197" s="1176" t="s">
        <v>674</v>
      </c>
      <c r="L197" s="1178" t="s">
        <v>780</v>
      </c>
      <c r="M197" s="1196">
        <v>87975000</v>
      </c>
      <c r="N197" s="1197" t="s">
        <v>730</v>
      </c>
      <c r="O197" s="1206" t="s">
        <v>1536</v>
      </c>
    </row>
    <row r="198" spans="1:15" s="1159" customFormat="1" ht="60" x14ac:dyDescent="0.3">
      <c r="A198" s="1172">
        <v>2022192</v>
      </c>
      <c r="B198" s="1172">
        <v>7655</v>
      </c>
      <c r="C198" s="1172" t="s">
        <v>668</v>
      </c>
      <c r="D198" s="1190" t="s">
        <v>682</v>
      </c>
      <c r="E198" s="1191">
        <v>80111600</v>
      </c>
      <c r="F198" s="1198" t="s">
        <v>876</v>
      </c>
      <c r="G198" s="1193">
        <v>44566</v>
      </c>
      <c r="H198" s="1193">
        <v>44568</v>
      </c>
      <c r="I198" s="1204" t="s">
        <v>1553</v>
      </c>
      <c r="J198" s="1195" t="s">
        <v>1535</v>
      </c>
      <c r="K198" s="1176" t="s">
        <v>674</v>
      </c>
      <c r="L198" s="1178" t="s">
        <v>780</v>
      </c>
      <c r="M198" s="1196">
        <v>87975000</v>
      </c>
      <c r="N198" s="1197" t="s">
        <v>730</v>
      </c>
      <c r="O198" s="1206" t="s">
        <v>1536</v>
      </c>
    </row>
    <row r="199" spans="1:15" s="1159" customFormat="1" ht="60" x14ac:dyDescent="0.3">
      <c r="A199" s="1172">
        <v>2022193</v>
      </c>
      <c r="B199" s="1172">
        <v>7655</v>
      </c>
      <c r="C199" s="1172" t="s">
        <v>668</v>
      </c>
      <c r="D199" s="1190" t="s">
        <v>682</v>
      </c>
      <c r="E199" s="1191">
        <v>80111600</v>
      </c>
      <c r="F199" s="1198" t="s">
        <v>876</v>
      </c>
      <c r="G199" s="1193">
        <v>44566</v>
      </c>
      <c r="H199" s="1193">
        <v>44568</v>
      </c>
      <c r="I199" s="1204" t="s">
        <v>1553</v>
      </c>
      <c r="J199" s="1195" t="s">
        <v>1535</v>
      </c>
      <c r="K199" s="1176" t="s">
        <v>674</v>
      </c>
      <c r="L199" s="1178" t="s">
        <v>780</v>
      </c>
      <c r="M199" s="1196">
        <v>87975000</v>
      </c>
      <c r="N199" s="1197" t="s">
        <v>730</v>
      </c>
      <c r="O199" s="1206" t="s">
        <v>1536</v>
      </c>
    </row>
    <row r="200" spans="1:15" s="1159" customFormat="1" ht="60" x14ac:dyDescent="0.3">
      <c r="A200" s="1172">
        <v>2022194</v>
      </c>
      <c r="B200" s="1172">
        <v>7655</v>
      </c>
      <c r="C200" s="1172" t="s">
        <v>668</v>
      </c>
      <c r="D200" s="1190" t="s">
        <v>682</v>
      </c>
      <c r="E200" s="1191">
        <v>80111600</v>
      </c>
      <c r="F200" s="1198" t="s">
        <v>877</v>
      </c>
      <c r="G200" s="1193">
        <v>44566</v>
      </c>
      <c r="H200" s="1193">
        <v>44568</v>
      </c>
      <c r="I200" s="1204" t="s">
        <v>1553</v>
      </c>
      <c r="J200" s="1195" t="s">
        <v>1535</v>
      </c>
      <c r="K200" s="1176" t="s">
        <v>674</v>
      </c>
      <c r="L200" s="1178" t="s">
        <v>780</v>
      </c>
      <c r="M200" s="1196">
        <v>42642000</v>
      </c>
      <c r="N200" s="1197" t="s">
        <v>730</v>
      </c>
      <c r="O200" s="1206" t="s">
        <v>1536</v>
      </c>
    </row>
    <row r="201" spans="1:15" s="1159" customFormat="1" ht="60" x14ac:dyDescent="0.3">
      <c r="A201" s="1172">
        <v>2022195</v>
      </c>
      <c r="B201" s="1172">
        <v>7655</v>
      </c>
      <c r="C201" s="1172" t="s">
        <v>668</v>
      </c>
      <c r="D201" s="1190" t="s">
        <v>682</v>
      </c>
      <c r="E201" s="1191">
        <v>80111600</v>
      </c>
      <c r="F201" s="1198" t="s">
        <v>877</v>
      </c>
      <c r="G201" s="1193">
        <v>44566</v>
      </c>
      <c r="H201" s="1193">
        <v>44568</v>
      </c>
      <c r="I201" s="1204" t="s">
        <v>1553</v>
      </c>
      <c r="J201" s="1195" t="s">
        <v>1535</v>
      </c>
      <c r="K201" s="1176" t="s">
        <v>674</v>
      </c>
      <c r="L201" s="1178" t="s">
        <v>780</v>
      </c>
      <c r="M201" s="1196">
        <v>42642000</v>
      </c>
      <c r="N201" s="1197" t="s">
        <v>730</v>
      </c>
      <c r="O201" s="1206" t="s">
        <v>1536</v>
      </c>
    </row>
    <row r="202" spans="1:15" s="1159" customFormat="1" ht="60" x14ac:dyDescent="0.3">
      <c r="A202" s="1172">
        <v>2022196</v>
      </c>
      <c r="B202" s="1172">
        <v>7655</v>
      </c>
      <c r="C202" s="1172" t="s">
        <v>668</v>
      </c>
      <c r="D202" s="1190" t="s">
        <v>682</v>
      </c>
      <c r="E202" s="1191">
        <v>80111600</v>
      </c>
      <c r="F202" s="1198" t="s">
        <v>876</v>
      </c>
      <c r="G202" s="1193">
        <v>44566</v>
      </c>
      <c r="H202" s="1193">
        <v>44568</v>
      </c>
      <c r="I202" s="1204" t="s">
        <v>1554</v>
      </c>
      <c r="J202" s="1195" t="s">
        <v>1535</v>
      </c>
      <c r="K202" s="1176" t="s">
        <v>674</v>
      </c>
      <c r="L202" s="1178" t="s">
        <v>780</v>
      </c>
      <c r="M202" s="1196">
        <v>71103000</v>
      </c>
      <c r="N202" s="1197" t="s">
        <v>730</v>
      </c>
      <c r="O202" s="1206" t="s">
        <v>1536</v>
      </c>
    </row>
    <row r="203" spans="1:15" s="1159" customFormat="1" ht="60" x14ac:dyDescent="0.3">
      <c r="A203" s="1172">
        <v>2022197</v>
      </c>
      <c r="B203" s="1172">
        <v>7655</v>
      </c>
      <c r="C203" s="1172" t="s">
        <v>668</v>
      </c>
      <c r="D203" s="1190" t="s">
        <v>682</v>
      </c>
      <c r="E203" s="1191">
        <v>80111600</v>
      </c>
      <c r="F203" s="1198" t="s">
        <v>878</v>
      </c>
      <c r="G203" s="1193">
        <v>44566</v>
      </c>
      <c r="H203" s="1193">
        <v>44568</v>
      </c>
      <c r="I203" s="1204" t="s">
        <v>1553</v>
      </c>
      <c r="J203" s="1195" t="s">
        <v>1535</v>
      </c>
      <c r="K203" s="1176" t="s">
        <v>674</v>
      </c>
      <c r="L203" s="1178" t="s">
        <v>780</v>
      </c>
      <c r="M203" s="1196">
        <v>61295000</v>
      </c>
      <c r="N203" s="1197" t="s">
        <v>730</v>
      </c>
      <c r="O203" s="1206" t="s">
        <v>1536</v>
      </c>
    </row>
    <row r="204" spans="1:15" s="1159" customFormat="1" ht="60" x14ac:dyDescent="0.3">
      <c r="A204" s="1172">
        <v>2022198</v>
      </c>
      <c r="B204" s="1172">
        <v>7655</v>
      </c>
      <c r="C204" s="1172" t="s">
        <v>668</v>
      </c>
      <c r="D204" s="1190" t="s">
        <v>682</v>
      </c>
      <c r="E204" s="1191">
        <v>80111600</v>
      </c>
      <c r="F204" s="1198" t="s">
        <v>879</v>
      </c>
      <c r="G204" s="1193">
        <v>44566</v>
      </c>
      <c r="H204" s="1193">
        <v>44568</v>
      </c>
      <c r="I204" s="1204" t="s">
        <v>1553</v>
      </c>
      <c r="J204" s="1195" t="s">
        <v>1535</v>
      </c>
      <c r="K204" s="1176" t="s">
        <v>674</v>
      </c>
      <c r="L204" s="1178" t="s">
        <v>780</v>
      </c>
      <c r="M204" s="1196">
        <v>358041000</v>
      </c>
      <c r="N204" s="1197" t="s">
        <v>730</v>
      </c>
      <c r="O204" s="1206" t="s">
        <v>1536</v>
      </c>
    </row>
    <row r="205" spans="1:15" s="1159" customFormat="1" ht="60" x14ac:dyDescent="0.3">
      <c r="A205" s="1172">
        <v>2022199</v>
      </c>
      <c r="B205" s="1172">
        <v>7655</v>
      </c>
      <c r="C205" s="1172" t="s">
        <v>668</v>
      </c>
      <c r="D205" s="1190" t="s">
        <v>682</v>
      </c>
      <c r="E205" s="1191">
        <v>80111600</v>
      </c>
      <c r="F205" s="1198" t="s">
        <v>880</v>
      </c>
      <c r="G205" s="1193">
        <v>44566</v>
      </c>
      <c r="H205" s="1193">
        <v>44568</v>
      </c>
      <c r="I205" s="1204" t="s">
        <v>1553</v>
      </c>
      <c r="J205" s="1195" t="s">
        <v>1535</v>
      </c>
      <c r="K205" s="1176" t="s">
        <v>674</v>
      </c>
      <c r="L205" s="1178" t="s">
        <v>675</v>
      </c>
      <c r="M205" s="1196">
        <v>38525000</v>
      </c>
      <c r="N205" s="1197" t="s">
        <v>730</v>
      </c>
      <c r="O205" s="1206" t="s">
        <v>1536</v>
      </c>
    </row>
    <row r="206" spans="1:15" s="1159" customFormat="1" ht="60" x14ac:dyDescent="0.3">
      <c r="A206" s="1172">
        <v>2022200</v>
      </c>
      <c r="B206" s="1172">
        <v>7655</v>
      </c>
      <c r="C206" s="1172" t="s">
        <v>668</v>
      </c>
      <c r="D206" s="1190" t="s">
        <v>682</v>
      </c>
      <c r="E206" s="1191">
        <v>80111600</v>
      </c>
      <c r="F206" s="1198" t="s">
        <v>881</v>
      </c>
      <c r="G206" s="1193">
        <v>44566</v>
      </c>
      <c r="H206" s="1193">
        <v>44568</v>
      </c>
      <c r="I206" s="1204" t="s">
        <v>1553</v>
      </c>
      <c r="J206" s="1195" t="s">
        <v>1535</v>
      </c>
      <c r="K206" s="1176" t="s">
        <v>674</v>
      </c>
      <c r="L206" s="1178" t="s">
        <v>675</v>
      </c>
      <c r="M206" s="1196">
        <v>32200000</v>
      </c>
      <c r="N206" s="1197" t="s">
        <v>730</v>
      </c>
      <c r="O206" s="1206" t="s">
        <v>1536</v>
      </c>
    </row>
    <row r="207" spans="1:15" s="1159" customFormat="1" ht="60" x14ac:dyDescent="0.3">
      <c r="A207" s="1172">
        <v>2022201</v>
      </c>
      <c r="B207" s="1172">
        <v>7655</v>
      </c>
      <c r="C207" s="1172" t="s">
        <v>668</v>
      </c>
      <c r="D207" s="1190" t="s">
        <v>682</v>
      </c>
      <c r="E207" s="1191">
        <v>80111600</v>
      </c>
      <c r="F207" s="1198" t="s">
        <v>881</v>
      </c>
      <c r="G207" s="1193">
        <v>44566</v>
      </c>
      <c r="H207" s="1193">
        <v>44568</v>
      </c>
      <c r="I207" s="1204" t="s">
        <v>1553</v>
      </c>
      <c r="J207" s="1195" t="s">
        <v>1535</v>
      </c>
      <c r="K207" s="1176" t="s">
        <v>674</v>
      </c>
      <c r="L207" s="1178" t="s">
        <v>675</v>
      </c>
      <c r="M207" s="1196">
        <v>32200000</v>
      </c>
      <c r="N207" s="1197" t="s">
        <v>730</v>
      </c>
      <c r="O207" s="1206" t="s">
        <v>1536</v>
      </c>
    </row>
    <row r="208" spans="1:15" s="1159" customFormat="1" ht="60" x14ac:dyDescent="0.3">
      <c r="A208" s="1172">
        <v>2022202</v>
      </c>
      <c r="B208" s="1172">
        <v>7655</v>
      </c>
      <c r="C208" s="1172" t="s">
        <v>668</v>
      </c>
      <c r="D208" s="1190" t="s">
        <v>682</v>
      </c>
      <c r="E208" s="1191">
        <v>80111600</v>
      </c>
      <c r="F208" s="1198" t="s">
        <v>881</v>
      </c>
      <c r="G208" s="1193">
        <v>44566</v>
      </c>
      <c r="H208" s="1193">
        <v>44568</v>
      </c>
      <c r="I208" s="1204" t="s">
        <v>1553</v>
      </c>
      <c r="J208" s="1195" t="s">
        <v>1535</v>
      </c>
      <c r="K208" s="1176" t="s">
        <v>674</v>
      </c>
      <c r="L208" s="1178" t="s">
        <v>675</v>
      </c>
      <c r="M208" s="1196">
        <v>32200000</v>
      </c>
      <c r="N208" s="1197" t="s">
        <v>730</v>
      </c>
      <c r="O208" s="1206" t="s">
        <v>1536</v>
      </c>
    </row>
    <row r="209" spans="1:17" s="1159" customFormat="1" ht="60" x14ac:dyDescent="0.3">
      <c r="A209" s="1172">
        <v>2022203</v>
      </c>
      <c r="B209" s="1172">
        <v>7655</v>
      </c>
      <c r="C209" s="1172" t="s">
        <v>668</v>
      </c>
      <c r="D209" s="1190" t="s">
        <v>682</v>
      </c>
      <c r="E209" s="1191">
        <v>80111600</v>
      </c>
      <c r="F209" s="1198" t="s">
        <v>881</v>
      </c>
      <c r="G209" s="1193">
        <v>44566</v>
      </c>
      <c r="H209" s="1193">
        <v>44568</v>
      </c>
      <c r="I209" s="1204" t="s">
        <v>1553</v>
      </c>
      <c r="J209" s="1195" t="s">
        <v>1535</v>
      </c>
      <c r="K209" s="1176" t="s">
        <v>674</v>
      </c>
      <c r="L209" s="1178" t="s">
        <v>675</v>
      </c>
      <c r="M209" s="1196">
        <v>37950000</v>
      </c>
      <c r="N209" s="1197" t="s">
        <v>730</v>
      </c>
      <c r="O209" s="1206" t="s">
        <v>1536</v>
      </c>
    </row>
    <row r="210" spans="1:17" s="1159" customFormat="1" ht="60" x14ac:dyDescent="0.3">
      <c r="A210" s="1172">
        <v>2022204</v>
      </c>
      <c r="B210" s="1172">
        <v>7655</v>
      </c>
      <c r="C210" s="1172" t="s">
        <v>668</v>
      </c>
      <c r="D210" s="1190" t="s">
        <v>682</v>
      </c>
      <c r="E210" s="1191">
        <v>80111600</v>
      </c>
      <c r="F210" s="1198" t="s">
        <v>882</v>
      </c>
      <c r="G210" s="1193">
        <v>44566</v>
      </c>
      <c r="H210" s="1193">
        <v>44568</v>
      </c>
      <c r="I210" s="1204" t="s">
        <v>1553</v>
      </c>
      <c r="J210" s="1195" t="s">
        <v>1535</v>
      </c>
      <c r="K210" s="1176" t="s">
        <v>674</v>
      </c>
      <c r="L210" s="1178" t="s">
        <v>675</v>
      </c>
      <c r="M210" s="1196">
        <v>52900000</v>
      </c>
      <c r="N210" s="1197" t="s">
        <v>730</v>
      </c>
      <c r="O210" s="1206" t="s">
        <v>1536</v>
      </c>
    </row>
    <row r="211" spans="1:17" s="1159" customFormat="1" ht="60" x14ac:dyDescent="0.3">
      <c r="A211" s="1172">
        <v>2022205</v>
      </c>
      <c r="B211" s="1172">
        <v>7655</v>
      </c>
      <c r="C211" s="1172" t="s">
        <v>668</v>
      </c>
      <c r="D211" s="1190" t="s">
        <v>682</v>
      </c>
      <c r="E211" s="1191">
        <v>80111600</v>
      </c>
      <c r="F211" s="1198" t="s">
        <v>883</v>
      </c>
      <c r="G211" s="1193">
        <v>44566</v>
      </c>
      <c r="H211" s="1193">
        <v>44568</v>
      </c>
      <c r="I211" s="1204" t="s">
        <v>1537</v>
      </c>
      <c r="J211" s="1195" t="s">
        <v>1535</v>
      </c>
      <c r="K211" s="1176" t="s">
        <v>674</v>
      </c>
      <c r="L211" s="1178" t="s">
        <v>675</v>
      </c>
      <c r="M211" s="1196">
        <v>37080000</v>
      </c>
      <c r="N211" s="1197" t="s">
        <v>730</v>
      </c>
      <c r="O211" s="1206" t="s">
        <v>1536</v>
      </c>
    </row>
    <row r="212" spans="1:17" s="1159" customFormat="1" ht="60" x14ac:dyDescent="0.3">
      <c r="A212" s="1172">
        <v>2022206</v>
      </c>
      <c r="B212" s="1172">
        <v>7655</v>
      </c>
      <c r="C212" s="1172" t="s">
        <v>668</v>
      </c>
      <c r="D212" s="1190" t="s">
        <v>682</v>
      </c>
      <c r="E212" s="1172">
        <v>80111600</v>
      </c>
      <c r="F212" s="1192" t="s">
        <v>884</v>
      </c>
      <c r="G212" s="1193">
        <v>44566</v>
      </c>
      <c r="H212" s="1193">
        <v>44568</v>
      </c>
      <c r="I212" s="1204" t="s">
        <v>1537</v>
      </c>
      <c r="J212" s="1195" t="s">
        <v>1535</v>
      </c>
      <c r="K212" s="1176" t="s">
        <v>674</v>
      </c>
      <c r="L212" s="1178" t="s">
        <v>675</v>
      </c>
      <c r="M212" s="1179">
        <v>16800000</v>
      </c>
      <c r="N212" s="1197" t="s">
        <v>730</v>
      </c>
      <c r="O212" s="1206" t="s">
        <v>1536</v>
      </c>
    </row>
    <row r="213" spans="1:17" s="1159" customFormat="1" ht="60" x14ac:dyDescent="0.3">
      <c r="A213" s="1172">
        <v>2022207</v>
      </c>
      <c r="B213" s="1172">
        <v>7655</v>
      </c>
      <c r="C213" s="1172" t="s">
        <v>668</v>
      </c>
      <c r="D213" s="1190" t="s">
        <v>682</v>
      </c>
      <c r="E213" s="1172">
        <v>80111600</v>
      </c>
      <c r="F213" s="1192" t="s">
        <v>885</v>
      </c>
      <c r="G213" s="1193">
        <v>44566</v>
      </c>
      <c r="H213" s="1193">
        <v>44568</v>
      </c>
      <c r="I213" s="1204" t="s">
        <v>1555</v>
      </c>
      <c r="J213" s="1195" t="s">
        <v>1535</v>
      </c>
      <c r="K213" s="1176" t="s">
        <v>674</v>
      </c>
      <c r="L213" s="1178" t="s">
        <v>675</v>
      </c>
      <c r="M213" s="1179">
        <v>17500000</v>
      </c>
      <c r="N213" s="1197" t="s">
        <v>730</v>
      </c>
      <c r="O213" s="1206" t="s">
        <v>1536</v>
      </c>
    </row>
    <row r="214" spans="1:17" s="1159" customFormat="1" ht="60" x14ac:dyDescent="0.3">
      <c r="A214" s="1172">
        <v>2022208</v>
      </c>
      <c r="B214" s="1172">
        <v>7655</v>
      </c>
      <c r="C214" s="1172" t="s">
        <v>668</v>
      </c>
      <c r="D214" s="1190" t="s">
        <v>671</v>
      </c>
      <c r="E214" s="1191">
        <v>80111600</v>
      </c>
      <c r="F214" s="1192" t="s">
        <v>886</v>
      </c>
      <c r="G214" s="1193" t="s">
        <v>1495</v>
      </c>
      <c r="H214" s="1212" t="s">
        <v>1495</v>
      </c>
      <c r="I214" s="1215" t="s">
        <v>1556</v>
      </c>
      <c r="J214" s="1195" t="s">
        <v>1535</v>
      </c>
      <c r="K214" s="1176" t="s">
        <v>674</v>
      </c>
      <c r="L214" s="1219" t="s">
        <v>675</v>
      </c>
      <c r="M214" s="1196">
        <v>106950000</v>
      </c>
      <c r="N214" s="1197" t="s">
        <v>730</v>
      </c>
      <c r="O214" s="1206" t="s">
        <v>1536</v>
      </c>
    </row>
    <row r="215" spans="1:17" s="1159" customFormat="1" ht="60" x14ac:dyDescent="0.3">
      <c r="A215" s="1172">
        <v>2022209</v>
      </c>
      <c r="B215" s="1172">
        <v>7655</v>
      </c>
      <c r="C215" s="1172" t="s">
        <v>668</v>
      </c>
      <c r="D215" s="1190" t="s">
        <v>671</v>
      </c>
      <c r="E215" s="1191">
        <v>80111600</v>
      </c>
      <c r="F215" s="1175" t="s">
        <v>887</v>
      </c>
      <c r="G215" s="1193" t="s">
        <v>1495</v>
      </c>
      <c r="H215" s="1212" t="s">
        <v>1495</v>
      </c>
      <c r="I215" s="1215" t="s">
        <v>1556</v>
      </c>
      <c r="J215" s="1195" t="s">
        <v>1535</v>
      </c>
      <c r="K215" s="1176" t="s">
        <v>674</v>
      </c>
      <c r="L215" s="1219" t="s">
        <v>675</v>
      </c>
      <c r="M215" s="1196">
        <v>97750000</v>
      </c>
      <c r="N215" s="1197" t="s">
        <v>730</v>
      </c>
      <c r="O215" s="1206" t="s">
        <v>1536</v>
      </c>
    </row>
    <row r="216" spans="1:17" s="1159" customFormat="1" ht="60" x14ac:dyDescent="0.3">
      <c r="A216" s="1172">
        <v>2022210</v>
      </c>
      <c r="B216" s="1172">
        <v>7655</v>
      </c>
      <c r="C216" s="1172" t="s">
        <v>668</v>
      </c>
      <c r="D216" s="1190" t="s">
        <v>671</v>
      </c>
      <c r="E216" s="1191">
        <v>80111600</v>
      </c>
      <c r="F216" s="1192" t="s">
        <v>888</v>
      </c>
      <c r="G216" s="1193" t="s">
        <v>1495</v>
      </c>
      <c r="H216" s="1212" t="s">
        <v>1495</v>
      </c>
      <c r="I216" s="1215" t="s">
        <v>1556</v>
      </c>
      <c r="J216" s="1195" t="s">
        <v>1535</v>
      </c>
      <c r="K216" s="1176" t="s">
        <v>674</v>
      </c>
      <c r="L216" s="1219" t="s">
        <v>675</v>
      </c>
      <c r="M216" s="1196">
        <v>92000000</v>
      </c>
      <c r="N216" s="1197" t="s">
        <v>730</v>
      </c>
      <c r="O216" s="1206" t="s">
        <v>1536</v>
      </c>
    </row>
    <row r="217" spans="1:17" s="1159" customFormat="1" ht="60" x14ac:dyDescent="0.3">
      <c r="A217" s="1172">
        <v>2022211</v>
      </c>
      <c r="B217" s="1172">
        <v>7655</v>
      </c>
      <c r="C217" s="1172" t="s">
        <v>668</v>
      </c>
      <c r="D217" s="1190" t="s">
        <v>671</v>
      </c>
      <c r="E217" s="1191">
        <v>80111600</v>
      </c>
      <c r="F217" s="1192" t="s">
        <v>889</v>
      </c>
      <c r="G217" s="1193" t="s">
        <v>1495</v>
      </c>
      <c r="H217" s="1212" t="s">
        <v>1495</v>
      </c>
      <c r="I217" s="1215" t="s">
        <v>1556</v>
      </c>
      <c r="J217" s="1195" t="s">
        <v>1535</v>
      </c>
      <c r="K217" s="1176" t="s">
        <v>674</v>
      </c>
      <c r="L217" s="1219" t="s">
        <v>675</v>
      </c>
      <c r="M217" s="1196">
        <v>80500000</v>
      </c>
      <c r="N217" s="1197" t="s">
        <v>730</v>
      </c>
      <c r="O217" s="1206" t="s">
        <v>1536</v>
      </c>
    </row>
    <row r="218" spans="1:17" s="1159" customFormat="1" ht="60" x14ac:dyDescent="0.3">
      <c r="A218" s="1172">
        <v>2022212</v>
      </c>
      <c r="B218" s="1172">
        <v>7655</v>
      </c>
      <c r="C218" s="1172" t="s">
        <v>668</v>
      </c>
      <c r="D218" s="1190" t="s">
        <v>671</v>
      </c>
      <c r="E218" s="1191">
        <v>80111600</v>
      </c>
      <c r="F218" s="1192" t="s">
        <v>890</v>
      </c>
      <c r="G218" s="1193" t="s">
        <v>1495</v>
      </c>
      <c r="H218" s="1212" t="s">
        <v>1495</v>
      </c>
      <c r="I218" s="1215" t="s">
        <v>1556</v>
      </c>
      <c r="J218" s="1195" t="s">
        <v>1535</v>
      </c>
      <c r="K218" s="1176" t="s">
        <v>674</v>
      </c>
      <c r="L218" s="1219" t="s">
        <v>780</v>
      </c>
      <c r="M218" s="1196">
        <v>92000000</v>
      </c>
      <c r="N218" s="1197" t="s">
        <v>730</v>
      </c>
      <c r="O218" s="1206" t="s">
        <v>1536</v>
      </c>
    </row>
    <row r="219" spans="1:17" s="1159" customFormat="1" ht="60" x14ac:dyDescent="0.3">
      <c r="A219" s="1172">
        <v>2022213</v>
      </c>
      <c r="B219" s="1172">
        <v>7655</v>
      </c>
      <c r="C219" s="1172" t="s">
        <v>668</v>
      </c>
      <c r="D219" s="1190" t="s">
        <v>671</v>
      </c>
      <c r="E219" s="1191">
        <v>80111600</v>
      </c>
      <c r="F219" s="1192" t="s">
        <v>891</v>
      </c>
      <c r="G219" s="1193" t="s">
        <v>1495</v>
      </c>
      <c r="H219" s="1212" t="s">
        <v>1495</v>
      </c>
      <c r="I219" s="1215" t="s">
        <v>1556</v>
      </c>
      <c r="J219" s="1195" t="s">
        <v>1535</v>
      </c>
      <c r="K219" s="1176" t="s">
        <v>674</v>
      </c>
      <c r="L219" s="1219" t="s">
        <v>780</v>
      </c>
      <c r="M219" s="1196">
        <v>51750000</v>
      </c>
      <c r="N219" s="1197" t="s">
        <v>730</v>
      </c>
      <c r="O219" s="1206" t="s">
        <v>1536</v>
      </c>
    </row>
    <row r="220" spans="1:17" s="1159" customFormat="1" ht="60" x14ac:dyDescent="0.3">
      <c r="A220" s="1172">
        <v>2022214</v>
      </c>
      <c r="B220" s="1172">
        <v>7655</v>
      </c>
      <c r="C220" s="1172" t="s">
        <v>668</v>
      </c>
      <c r="D220" s="1190" t="s">
        <v>671</v>
      </c>
      <c r="E220" s="1191">
        <v>80111600</v>
      </c>
      <c r="F220" s="1192" t="s">
        <v>892</v>
      </c>
      <c r="G220" s="1193" t="s">
        <v>1495</v>
      </c>
      <c r="H220" s="1212" t="s">
        <v>1495</v>
      </c>
      <c r="I220" s="1215" t="s">
        <v>1557</v>
      </c>
      <c r="J220" s="1195" t="s">
        <v>1535</v>
      </c>
      <c r="K220" s="1176" t="s">
        <v>674</v>
      </c>
      <c r="L220" s="1219" t="s">
        <v>675</v>
      </c>
      <c r="M220" s="1196">
        <f>4500000*10.6666666</f>
        <v>47999999.699999996</v>
      </c>
      <c r="N220" s="1197" t="s">
        <v>730</v>
      </c>
      <c r="O220" s="1206" t="s">
        <v>1536</v>
      </c>
      <c r="Q220" s="1220">
        <f>80500000-M220</f>
        <v>32500000.300000004</v>
      </c>
    </row>
    <row r="221" spans="1:17" s="1159" customFormat="1" ht="60" x14ac:dyDescent="0.3">
      <c r="A221" s="1172">
        <v>2022215</v>
      </c>
      <c r="B221" s="1172">
        <v>7655</v>
      </c>
      <c r="C221" s="1172" t="s">
        <v>668</v>
      </c>
      <c r="D221" s="1190" t="s">
        <v>671</v>
      </c>
      <c r="E221" s="1191">
        <v>80111600</v>
      </c>
      <c r="F221" s="1192" t="s">
        <v>893</v>
      </c>
      <c r="G221" s="1193" t="s">
        <v>1495</v>
      </c>
      <c r="H221" s="1212" t="s">
        <v>1495</v>
      </c>
      <c r="I221" s="1215" t="s">
        <v>1556</v>
      </c>
      <c r="J221" s="1195" t="s">
        <v>1535</v>
      </c>
      <c r="K221" s="1176" t="s">
        <v>674</v>
      </c>
      <c r="L221" s="1219" t="s">
        <v>675</v>
      </c>
      <c r="M221" s="1196">
        <v>57500000</v>
      </c>
      <c r="N221" s="1197" t="s">
        <v>730</v>
      </c>
      <c r="O221" s="1206" t="s">
        <v>1536</v>
      </c>
      <c r="Q221" s="1168"/>
    </row>
    <row r="222" spans="1:17" s="1159" customFormat="1" ht="60" x14ac:dyDescent="0.3">
      <c r="A222" s="1172">
        <v>2022216</v>
      </c>
      <c r="B222" s="1172">
        <v>7655</v>
      </c>
      <c r="C222" s="1172" t="s">
        <v>668</v>
      </c>
      <c r="D222" s="1190" t="s">
        <v>671</v>
      </c>
      <c r="E222" s="1191">
        <v>80111600</v>
      </c>
      <c r="F222" s="1192" t="s">
        <v>894</v>
      </c>
      <c r="G222" s="1193" t="s">
        <v>1495</v>
      </c>
      <c r="H222" s="1212" t="s">
        <v>1495</v>
      </c>
      <c r="I222" s="1215" t="s">
        <v>1556</v>
      </c>
      <c r="J222" s="1195" t="s">
        <v>1535</v>
      </c>
      <c r="K222" s="1176" t="s">
        <v>674</v>
      </c>
      <c r="L222" s="1219" t="s">
        <v>675</v>
      </c>
      <c r="M222" s="1196">
        <v>80500000</v>
      </c>
      <c r="N222" s="1197" t="s">
        <v>730</v>
      </c>
      <c r="O222" s="1206" t="s">
        <v>1536</v>
      </c>
    </row>
    <row r="223" spans="1:17" s="1159" customFormat="1" ht="60" x14ac:dyDescent="0.3">
      <c r="A223" s="1172">
        <v>2022217</v>
      </c>
      <c r="B223" s="1172">
        <v>7655</v>
      </c>
      <c r="C223" s="1172" t="s">
        <v>668</v>
      </c>
      <c r="D223" s="1190" t="s">
        <v>671</v>
      </c>
      <c r="E223" s="1191">
        <v>80111600</v>
      </c>
      <c r="F223" s="1192" t="s">
        <v>895</v>
      </c>
      <c r="G223" s="1193" t="s">
        <v>1495</v>
      </c>
      <c r="H223" s="1212" t="s">
        <v>1495</v>
      </c>
      <c r="I223" s="1215" t="s">
        <v>1556</v>
      </c>
      <c r="J223" s="1195" t="s">
        <v>1535</v>
      </c>
      <c r="K223" s="1176" t="s">
        <v>674</v>
      </c>
      <c r="L223" s="1219" t="s">
        <v>675</v>
      </c>
      <c r="M223" s="1196">
        <v>57500000</v>
      </c>
      <c r="N223" s="1197" t="s">
        <v>730</v>
      </c>
      <c r="O223" s="1206" t="s">
        <v>1536</v>
      </c>
    </row>
    <row r="224" spans="1:17" s="1159" customFormat="1" ht="75" x14ac:dyDescent="0.3">
      <c r="A224" s="1172">
        <v>2022218</v>
      </c>
      <c r="B224" s="1172">
        <v>7655</v>
      </c>
      <c r="C224" s="1172" t="s">
        <v>668</v>
      </c>
      <c r="D224" s="1190" t="s">
        <v>671</v>
      </c>
      <c r="E224" s="1191">
        <v>80111600</v>
      </c>
      <c r="F224" s="1192" t="s">
        <v>896</v>
      </c>
      <c r="G224" s="1193" t="s">
        <v>1495</v>
      </c>
      <c r="H224" s="1212" t="s">
        <v>1495</v>
      </c>
      <c r="I224" s="1215" t="s">
        <v>1556</v>
      </c>
      <c r="J224" s="1195" t="s">
        <v>1535</v>
      </c>
      <c r="K224" s="1176" t="s">
        <v>674</v>
      </c>
      <c r="L224" s="1219" t="s">
        <v>675</v>
      </c>
      <c r="M224" s="1196">
        <v>57500000</v>
      </c>
      <c r="N224" s="1197" t="s">
        <v>730</v>
      </c>
      <c r="O224" s="1206" t="s">
        <v>1536</v>
      </c>
    </row>
    <row r="225" spans="1:17" s="1159" customFormat="1" ht="60" x14ac:dyDescent="0.3">
      <c r="A225" s="1172">
        <v>2022219</v>
      </c>
      <c r="B225" s="1172">
        <v>7655</v>
      </c>
      <c r="C225" s="1172" t="s">
        <v>668</v>
      </c>
      <c r="D225" s="1190" t="s">
        <v>671</v>
      </c>
      <c r="E225" s="1191">
        <v>80111600</v>
      </c>
      <c r="F225" s="1192" t="s">
        <v>897</v>
      </c>
      <c r="G225" s="1193" t="s">
        <v>1495</v>
      </c>
      <c r="H225" s="1212" t="s">
        <v>1495</v>
      </c>
      <c r="I225" s="1215" t="s">
        <v>1556</v>
      </c>
      <c r="J225" s="1195" t="s">
        <v>1535</v>
      </c>
      <c r="K225" s="1176" t="s">
        <v>674</v>
      </c>
      <c r="L225" s="1219" t="s">
        <v>675</v>
      </c>
      <c r="M225" s="1196">
        <v>57500000</v>
      </c>
      <c r="N225" s="1197" t="s">
        <v>730</v>
      </c>
      <c r="O225" s="1206" t="s">
        <v>1536</v>
      </c>
    </row>
    <row r="226" spans="1:17" s="1159" customFormat="1" ht="60" x14ac:dyDescent="0.3">
      <c r="A226" s="1172">
        <v>2022220</v>
      </c>
      <c r="B226" s="1172">
        <v>7655</v>
      </c>
      <c r="C226" s="1172" t="s">
        <v>668</v>
      </c>
      <c r="D226" s="1190" t="s">
        <v>671</v>
      </c>
      <c r="E226" s="1191">
        <v>80111600</v>
      </c>
      <c r="F226" s="1192" t="s">
        <v>898</v>
      </c>
      <c r="G226" s="1193" t="s">
        <v>1495</v>
      </c>
      <c r="H226" s="1212" t="s">
        <v>1495</v>
      </c>
      <c r="I226" s="1215" t="s">
        <v>1541</v>
      </c>
      <c r="J226" s="1195" t="s">
        <v>1535</v>
      </c>
      <c r="K226" s="1176" t="s">
        <v>674</v>
      </c>
      <c r="L226" s="1219" t="s">
        <v>675</v>
      </c>
      <c r="M226" s="1196">
        <f>10*4500000</f>
        <v>45000000</v>
      </c>
      <c r="N226" s="1197" t="s">
        <v>730</v>
      </c>
      <c r="O226" s="1206" t="s">
        <v>1536</v>
      </c>
      <c r="Q226" s="1168">
        <f>57500000-M226</f>
        <v>12500000</v>
      </c>
    </row>
    <row r="227" spans="1:17" s="1159" customFormat="1" ht="60" x14ac:dyDescent="0.3">
      <c r="A227" s="1172">
        <v>2022221</v>
      </c>
      <c r="B227" s="1172">
        <v>7655</v>
      </c>
      <c r="C227" s="1172" t="s">
        <v>668</v>
      </c>
      <c r="D227" s="1190" t="s">
        <v>671</v>
      </c>
      <c r="E227" s="1191">
        <v>80111600</v>
      </c>
      <c r="F227" s="1192" t="s">
        <v>899</v>
      </c>
      <c r="G227" s="1193" t="s">
        <v>1495</v>
      </c>
      <c r="H227" s="1212" t="s">
        <v>1495</v>
      </c>
      <c r="I227" s="1215" t="s">
        <v>1556</v>
      </c>
      <c r="J227" s="1195" t="s">
        <v>1535</v>
      </c>
      <c r="K227" s="1176" t="s">
        <v>674</v>
      </c>
      <c r="L227" s="1219" t="s">
        <v>675</v>
      </c>
      <c r="M227" s="1196">
        <v>57500000</v>
      </c>
      <c r="N227" s="1197" t="s">
        <v>730</v>
      </c>
      <c r="O227" s="1206" t="s">
        <v>1536</v>
      </c>
    </row>
    <row r="228" spans="1:17" s="1159" customFormat="1" ht="60" x14ac:dyDescent="0.3">
      <c r="A228" s="1172">
        <v>2022222</v>
      </c>
      <c r="B228" s="1172">
        <v>7655</v>
      </c>
      <c r="C228" s="1172" t="s">
        <v>668</v>
      </c>
      <c r="D228" s="1190" t="s">
        <v>671</v>
      </c>
      <c r="E228" s="1191">
        <v>80111600</v>
      </c>
      <c r="F228" s="1192" t="s">
        <v>900</v>
      </c>
      <c r="G228" s="1193" t="s">
        <v>1495</v>
      </c>
      <c r="H228" s="1212" t="s">
        <v>1495</v>
      </c>
      <c r="I228" s="1215" t="s">
        <v>1556</v>
      </c>
      <c r="J228" s="1195" t="s">
        <v>1535</v>
      </c>
      <c r="K228" s="1176" t="s">
        <v>674</v>
      </c>
      <c r="L228" s="1219" t="s">
        <v>675</v>
      </c>
      <c r="M228" s="1196">
        <v>57500000</v>
      </c>
      <c r="N228" s="1197" t="s">
        <v>730</v>
      </c>
      <c r="O228" s="1206" t="s">
        <v>1536</v>
      </c>
    </row>
    <row r="229" spans="1:17" s="1159" customFormat="1" ht="60" x14ac:dyDescent="0.3">
      <c r="A229" s="1172">
        <v>2022223</v>
      </c>
      <c r="B229" s="1172">
        <v>7655</v>
      </c>
      <c r="C229" s="1172" t="s">
        <v>668</v>
      </c>
      <c r="D229" s="1190" t="s">
        <v>671</v>
      </c>
      <c r="E229" s="1191">
        <v>80111600</v>
      </c>
      <c r="F229" s="1192" t="s">
        <v>901</v>
      </c>
      <c r="G229" s="1193" t="s">
        <v>1495</v>
      </c>
      <c r="H229" s="1212" t="s">
        <v>1495</v>
      </c>
      <c r="I229" s="1215" t="s">
        <v>1556</v>
      </c>
      <c r="J229" s="1195" t="s">
        <v>1535</v>
      </c>
      <c r="K229" s="1176" t="s">
        <v>674</v>
      </c>
      <c r="L229" s="1219" t="s">
        <v>675</v>
      </c>
      <c r="M229" s="1196">
        <v>72450000</v>
      </c>
      <c r="N229" s="1197" t="s">
        <v>730</v>
      </c>
      <c r="O229" s="1206" t="s">
        <v>1536</v>
      </c>
    </row>
    <row r="230" spans="1:17" s="1159" customFormat="1" ht="60" x14ac:dyDescent="0.3">
      <c r="A230" s="1172">
        <v>2022224</v>
      </c>
      <c r="B230" s="1172">
        <v>7655</v>
      </c>
      <c r="C230" s="1172" t="s">
        <v>668</v>
      </c>
      <c r="D230" s="1190" t="s">
        <v>671</v>
      </c>
      <c r="E230" s="1191">
        <v>80111600</v>
      </c>
      <c r="F230" s="1192" t="s">
        <v>902</v>
      </c>
      <c r="G230" s="1193" t="s">
        <v>1495</v>
      </c>
      <c r="H230" s="1212" t="s">
        <v>1495</v>
      </c>
      <c r="I230" s="1215" t="s">
        <v>1556</v>
      </c>
      <c r="J230" s="1195" t="s">
        <v>1535</v>
      </c>
      <c r="K230" s="1176" t="s">
        <v>674</v>
      </c>
      <c r="L230" s="1219" t="s">
        <v>675</v>
      </c>
      <c r="M230" s="1179">
        <v>59800000</v>
      </c>
      <c r="N230" s="1197" t="s">
        <v>730</v>
      </c>
      <c r="O230" s="1206" t="s">
        <v>1536</v>
      </c>
    </row>
    <row r="231" spans="1:17" s="1159" customFormat="1" ht="60" x14ac:dyDescent="0.3">
      <c r="A231" s="1172">
        <v>2022225</v>
      </c>
      <c r="B231" s="1172">
        <v>7655</v>
      </c>
      <c r="C231" s="1172" t="s">
        <v>668</v>
      </c>
      <c r="D231" s="1190" t="s">
        <v>671</v>
      </c>
      <c r="E231" s="1191">
        <v>80111600</v>
      </c>
      <c r="F231" s="1192" t="s">
        <v>903</v>
      </c>
      <c r="G231" s="1193" t="s">
        <v>1495</v>
      </c>
      <c r="H231" s="1212" t="s">
        <v>1495</v>
      </c>
      <c r="I231" s="1215" t="s">
        <v>1558</v>
      </c>
      <c r="J231" s="1195" t="s">
        <v>1535</v>
      </c>
      <c r="K231" s="1176" t="s">
        <v>674</v>
      </c>
      <c r="L231" s="1219" t="s">
        <v>675</v>
      </c>
      <c r="M231" s="1179">
        <v>57000000</v>
      </c>
      <c r="N231" s="1197" t="s">
        <v>730</v>
      </c>
      <c r="O231" s="1206" t="s">
        <v>1536</v>
      </c>
    </row>
    <row r="232" spans="1:17" s="1159" customFormat="1" ht="60" x14ac:dyDescent="0.3">
      <c r="A232" s="1172">
        <v>2022226</v>
      </c>
      <c r="B232" s="1172">
        <v>7655</v>
      </c>
      <c r="C232" s="1172" t="s">
        <v>668</v>
      </c>
      <c r="D232" s="1190" t="s">
        <v>671</v>
      </c>
      <c r="E232" s="1191">
        <v>80111600</v>
      </c>
      <c r="F232" s="1197" t="s">
        <v>904</v>
      </c>
      <c r="G232" s="1221"/>
      <c r="H232" s="1221"/>
      <c r="I232" s="1178"/>
      <c r="J232" s="1195" t="s">
        <v>1535</v>
      </c>
      <c r="K232" s="1176" t="s">
        <v>674</v>
      </c>
      <c r="L232" s="1219" t="s">
        <v>675</v>
      </c>
      <c r="M232" s="1222">
        <v>13800000</v>
      </c>
      <c r="N232" s="1197" t="s">
        <v>730</v>
      </c>
      <c r="O232" s="1206" t="s">
        <v>1536</v>
      </c>
    </row>
    <row r="233" spans="1:17" s="1159" customFormat="1" ht="60" x14ac:dyDescent="0.3">
      <c r="A233" s="1172">
        <v>2022227</v>
      </c>
      <c r="B233" s="1172">
        <v>7655</v>
      </c>
      <c r="C233" s="1172" t="s">
        <v>668</v>
      </c>
      <c r="D233" s="1190" t="s">
        <v>669</v>
      </c>
      <c r="E233" s="1191">
        <v>80111600</v>
      </c>
      <c r="F233" s="1223" t="s">
        <v>905</v>
      </c>
      <c r="G233" s="1224" t="s">
        <v>1495</v>
      </c>
      <c r="H233" s="1204" t="s">
        <v>1495</v>
      </c>
      <c r="I233" s="1225" t="s">
        <v>1559</v>
      </c>
      <c r="J233" s="1195" t="s">
        <v>1535</v>
      </c>
      <c r="K233" s="1176" t="s">
        <v>674</v>
      </c>
      <c r="L233" s="1219" t="s">
        <v>675</v>
      </c>
      <c r="M233" s="1196">
        <v>29920000</v>
      </c>
      <c r="N233" s="1197" t="s">
        <v>730</v>
      </c>
      <c r="O233" s="1206" t="s">
        <v>1536</v>
      </c>
    </row>
    <row r="234" spans="1:17" s="1159" customFormat="1" ht="60" x14ac:dyDescent="0.3">
      <c r="A234" s="1172">
        <v>2022228</v>
      </c>
      <c r="B234" s="1172">
        <v>7655</v>
      </c>
      <c r="C234" s="1172" t="s">
        <v>668</v>
      </c>
      <c r="D234" s="1190" t="s">
        <v>669</v>
      </c>
      <c r="E234" s="1191">
        <v>80111600</v>
      </c>
      <c r="F234" s="1223" t="s">
        <v>906</v>
      </c>
      <c r="G234" s="1224" t="s">
        <v>1495</v>
      </c>
      <c r="H234" s="1204" t="s">
        <v>1495</v>
      </c>
      <c r="I234" s="1225" t="s">
        <v>1559</v>
      </c>
      <c r="J234" s="1195" t="s">
        <v>1535</v>
      </c>
      <c r="K234" s="1176" t="s">
        <v>674</v>
      </c>
      <c r="L234" s="1219" t="s">
        <v>675</v>
      </c>
      <c r="M234" s="1196">
        <v>30800000</v>
      </c>
      <c r="N234" s="1197" t="s">
        <v>730</v>
      </c>
      <c r="O234" s="1206" t="s">
        <v>1536</v>
      </c>
    </row>
    <row r="235" spans="1:17" s="1159" customFormat="1" ht="60" x14ac:dyDescent="0.3">
      <c r="A235" s="1172">
        <v>2022229</v>
      </c>
      <c r="B235" s="1172">
        <v>7655</v>
      </c>
      <c r="C235" s="1172" t="s">
        <v>668</v>
      </c>
      <c r="D235" s="1190" t="s">
        <v>669</v>
      </c>
      <c r="E235" s="1191">
        <v>80111600</v>
      </c>
      <c r="F235" s="1223" t="s">
        <v>907</v>
      </c>
      <c r="G235" s="1224" t="s">
        <v>1495</v>
      </c>
      <c r="H235" s="1204" t="s">
        <v>1495</v>
      </c>
      <c r="I235" s="1225" t="s">
        <v>1559</v>
      </c>
      <c r="J235" s="1195" t="s">
        <v>1535</v>
      </c>
      <c r="K235" s="1176" t="s">
        <v>674</v>
      </c>
      <c r="L235" s="1219" t="s">
        <v>675</v>
      </c>
      <c r="M235" s="1196">
        <v>78320000</v>
      </c>
      <c r="N235" s="1197" t="s">
        <v>730</v>
      </c>
      <c r="O235" s="1206" t="s">
        <v>1536</v>
      </c>
    </row>
    <row r="236" spans="1:17" s="1159" customFormat="1" ht="60" x14ac:dyDescent="0.3">
      <c r="A236" s="1172">
        <v>2022230</v>
      </c>
      <c r="B236" s="1172">
        <v>7655</v>
      </c>
      <c r="C236" s="1172" t="s">
        <v>668</v>
      </c>
      <c r="D236" s="1190" t="s">
        <v>669</v>
      </c>
      <c r="E236" s="1191">
        <v>80111600</v>
      </c>
      <c r="F236" s="1223" t="s">
        <v>908</v>
      </c>
      <c r="G236" s="1224" t="s">
        <v>1495</v>
      </c>
      <c r="H236" s="1204" t="s">
        <v>1495</v>
      </c>
      <c r="I236" s="1225" t="s">
        <v>1559</v>
      </c>
      <c r="J236" s="1195" t="s">
        <v>1535</v>
      </c>
      <c r="K236" s="1176" t="s">
        <v>674</v>
      </c>
      <c r="L236" s="1219" t="s">
        <v>675</v>
      </c>
      <c r="M236" s="1196">
        <v>102520000</v>
      </c>
      <c r="N236" s="1197" t="s">
        <v>730</v>
      </c>
      <c r="O236" s="1206" t="s">
        <v>1536</v>
      </c>
    </row>
    <row r="237" spans="1:17" s="1159" customFormat="1" ht="75" x14ac:dyDescent="0.3">
      <c r="A237" s="1172">
        <v>2022231</v>
      </c>
      <c r="B237" s="1172">
        <v>7655</v>
      </c>
      <c r="C237" s="1172" t="s">
        <v>668</v>
      </c>
      <c r="D237" s="1190" t="s">
        <v>669</v>
      </c>
      <c r="E237" s="1191">
        <v>80111600</v>
      </c>
      <c r="F237" s="1223" t="s">
        <v>909</v>
      </c>
      <c r="G237" s="1224" t="s">
        <v>1495</v>
      </c>
      <c r="H237" s="1204" t="s">
        <v>1495</v>
      </c>
      <c r="I237" s="1225" t="s">
        <v>1559</v>
      </c>
      <c r="J237" s="1195" t="s">
        <v>1535</v>
      </c>
      <c r="K237" s="1176" t="s">
        <v>674</v>
      </c>
      <c r="L237" s="1219" t="s">
        <v>675</v>
      </c>
      <c r="M237" s="1196">
        <f>101200000-8800000-19200000</f>
        <v>73200000</v>
      </c>
      <c r="N237" s="1197" t="s">
        <v>730</v>
      </c>
      <c r="O237" s="1206" t="s">
        <v>1536</v>
      </c>
    </row>
    <row r="238" spans="1:17" s="1159" customFormat="1" ht="60" x14ac:dyDescent="0.3">
      <c r="A238" s="1172">
        <v>2022232</v>
      </c>
      <c r="B238" s="1172">
        <v>7655</v>
      </c>
      <c r="C238" s="1172" t="s">
        <v>668</v>
      </c>
      <c r="D238" s="1190" t="s">
        <v>669</v>
      </c>
      <c r="E238" s="1191">
        <v>80111600</v>
      </c>
      <c r="F238" s="1216" t="s">
        <v>910</v>
      </c>
      <c r="G238" s="1224" t="s">
        <v>1495</v>
      </c>
      <c r="H238" s="1204" t="s">
        <v>1495</v>
      </c>
      <c r="I238" s="1225" t="s">
        <v>1559</v>
      </c>
      <c r="J238" s="1195" t="s">
        <v>1535</v>
      </c>
      <c r="K238" s="1176" t="s">
        <v>674</v>
      </c>
      <c r="L238" s="1219" t="s">
        <v>675</v>
      </c>
      <c r="M238" s="1179">
        <v>58080000</v>
      </c>
      <c r="N238" s="1197" t="s">
        <v>730</v>
      </c>
      <c r="O238" s="1206" t="s">
        <v>1536</v>
      </c>
    </row>
    <row r="239" spans="1:17" s="1159" customFormat="1" ht="90" x14ac:dyDescent="0.3">
      <c r="A239" s="1172">
        <v>2022233</v>
      </c>
      <c r="B239" s="1172">
        <v>7655</v>
      </c>
      <c r="C239" s="1172" t="s">
        <v>668</v>
      </c>
      <c r="D239" s="1190" t="s">
        <v>669</v>
      </c>
      <c r="E239" s="1191">
        <v>80111600</v>
      </c>
      <c r="F239" s="1192" t="s">
        <v>911</v>
      </c>
      <c r="G239" s="1224" t="s">
        <v>1495</v>
      </c>
      <c r="H239" s="1204" t="s">
        <v>1495</v>
      </c>
      <c r="I239" s="1225" t="s">
        <v>1559</v>
      </c>
      <c r="J239" s="1195" t="s">
        <v>1535</v>
      </c>
      <c r="K239" s="1176" t="s">
        <v>674</v>
      </c>
      <c r="L239" s="1219" t="s">
        <v>675</v>
      </c>
      <c r="M239" s="1179">
        <v>42350000</v>
      </c>
      <c r="N239" s="1197" t="s">
        <v>730</v>
      </c>
      <c r="O239" s="1206" t="s">
        <v>1536</v>
      </c>
    </row>
    <row r="240" spans="1:17" s="1159" customFormat="1" ht="60" x14ac:dyDescent="0.3">
      <c r="A240" s="1172">
        <v>2022234</v>
      </c>
      <c r="B240" s="1172">
        <v>7655</v>
      </c>
      <c r="C240" s="1172" t="s">
        <v>668</v>
      </c>
      <c r="D240" s="1190" t="s">
        <v>669</v>
      </c>
      <c r="E240" s="1191">
        <v>80111600</v>
      </c>
      <c r="F240" s="1216" t="s">
        <v>912</v>
      </c>
      <c r="G240" s="1224" t="s">
        <v>1495</v>
      </c>
      <c r="H240" s="1204" t="s">
        <v>1495</v>
      </c>
      <c r="I240" s="1225" t="s">
        <v>1498</v>
      </c>
      <c r="J240" s="1195" t="s">
        <v>1535</v>
      </c>
      <c r="K240" s="1176" t="s">
        <v>674</v>
      </c>
      <c r="L240" s="1226" t="s">
        <v>675</v>
      </c>
      <c r="M240" s="1179">
        <v>39600000</v>
      </c>
      <c r="N240" s="1197" t="s">
        <v>730</v>
      </c>
      <c r="O240" s="1206" t="s">
        <v>1536</v>
      </c>
    </row>
    <row r="241" spans="1:15" s="1159" customFormat="1" ht="60" x14ac:dyDescent="0.3">
      <c r="A241" s="1172">
        <v>2022235</v>
      </c>
      <c r="B241" s="1172">
        <v>7655</v>
      </c>
      <c r="C241" s="1172" t="s">
        <v>668</v>
      </c>
      <c r="D241" s="1190" t="s">
        <v>669</v>
      </c>
      <c r="E241" s="1191">
        <v>80111600</v>
      </c>
      <c r="F241" s="1192" t="s">
        <v>913</v>
      </c>
      <c r="G241" s="1224" t="s">
        <v>1495</v>
      </c>
      <c r="H241" s="1204" t="s">
        <v>1495</v>
      </c>
      <c r="I241" s="1225" t="s">
        <v>1559</v>
      </c>
      <c r="J241" s="1195" t="s">
        <v>1535</v>
      </c>
      <c r="K241" s="1176" t="s">
        <v>674</v>
      </c>
      <c r="L241" s="1219" t="s">
        <v>675</v>
      </c>
      <c r="M241" s="1179">
        <v>39600000</v>
      </c>
      <c r="N241" s="1197" t="s">
        <v>730</v>
      </c>
      <c r="O241" s="1206" t="s">
        <v>1536</v>
      </c>
    </row>
    <row r="242" spans="1:15" s="1159" customFormat="1" ht="75" x14ac:dyDescent="0.3">
      <c r="A242" s="1182">
        <v>2022236</v>
      </c>
      <c r="B242" s="1182">
        <v>7658</v>
      </c>
      <c r="C242" s="1182" t="s">
        <v>679</v>
      </c>
      <c r="D242" s="1227" t="s">
        <v>698</v>
      </c>
      <c r="E242" s="1228">
        <v>80111600</v>
      </c>
      <c r="F242" s="1185" t="s">
        <v>914</v>
      </c>
      <c r="G242" s="1184" t="s">
        <v>1495</v>
      </c>
      <c r="H242" s="1184" t="s">
        <v>1495</v>
      </c>
      <c r="I242" s="1184" t="s">
        <v>1556</v>
      </c>
      <c r="J242" s="1184" t="s">
        <v>1535</v>
      </c>
      <c r="K242" s="1184" t="s">
        <v>674</v>
      </c>
      <c r="L242" s="1183" t="s">
        <v>675</v>
      </c>
      <c r="M242" s="1229">
        <f>39100000-1700000</f>
        <v>37400000</v>
      </c>
      <c r="N242" s="1185" t="s">
        <v>724</v>
      </c>
      <c r="O242" s="1185" t="s">
        <v>1562</v>
      </c>
    </row>
    <row r="243" spans="1:15" s="1159" customFormat="1" ht="60" x14ac:dyDescent="0.3">
      <c r="A243" s="1172">
        <v>2022237</v>
      </c>
      <c r="B243" s="1172">
        <v>7655</v>
      </c>
      <c r="C243" s="1172" t="s">
        <v>668</v>
      </c>
      <c r="D243" s="1190" t="s">
        <v>669</v>
      </c>
      <c r="E243" s="1191">
        <v>80111600</v>
      </c>
      <c r="F243" s="1192" t="s">
        <v>1560</v>
      </c>
      <c r="G243" s="1224" t="s">
        <v>1495</v>
      </c>
      <c r="H243" s="1204" t="s">
        <v>1495</v>
      </c>
      <c r="I243" s="1225" t="s">
        <v>1559</v>
      </c>
      <c r="J243" s="1195" t="s">
        <v>1535</v>
      </c>
      <c r="K243" s="1176" t="s">
        <v>674</v>
      </c>
      <c r="L243" s="1219" t="s">
        <v>675</v>
      </c>
      <c r="M243" s="1179">
        <v>48735000</v>
      </c>
      <c r="N243" s="1197" t="s">
        <v>730</v>
      </c>
      <c r="O243" s="1206" t="s">
        <v>1536</v>
      </c>
    </row>
    <row r="244" spans="1:15" s="1159" customFormat="1" ht="60" x14ac:dyDescent="0.3">
      <c r="A244" s="1172">
        <v>2022238</v>
      </c>
      <c r="B244" s="1172">
        <v>7655</v>
      </c>
      <c r="C244" s="1172" t="s">
        <v>668</v>
      </c>
      <c r="D244" s="1190" t="s">
        <v>669</v>
      </c>
      <c r="E244" s="1191">
        <v>80111600</v>
      </c>
      <c r="F244" s="1216" t="s">
        <v>917</v>
      </c>
      <c r="G244" s="1224" t="s">
        <v>1495</v>
      </c>
      <c r="H244" s="1204" t="s">
        <v>1495</v>
      </c>
      <c r="I244" s="1225" t="s">
        <v>1559</v>
      </c>
      <c r="J244" s="1195" t="s">
        <v>1535</v>
      </c>
      <c r="K244" s="1176" t="s">
        <v>674</v>
      </c>
      <c r="L244" s="1219" t="s">
        <v>675</v>
      </c>
      <c r="M244" s="1179">
        <f>44000000+8800000</f>
        <v>52800000</v>
      </c>
      <c r="N244" s="1197" t="s">
        <v>730</v>
      </c>
      <c r="O244" s="1206" t="s">
        <v>1536</v>
      </c>
    </row>
    <row r="245" spans="1:15" s="1159" customFormat="1" ht="60" x14ac:dyDescent="0.3">
      <c r="A245" s="1172">
        <v>2022239</v>
      </c>
      <c r="B245" s="1172">
        <v>7655</v>
      </c>
      <c r="C245" s="1172" t="s">
        <v>668</v>
      </c>
      <c r="D245" s="1190" t="s">
        <v>1561</v>
      </c>
      <c r="E245" s="1191">
        <v>80111600</v>
      </c>
      <c r="F245" s="1216" t="s">
        <v>918</v>
      </c>
      <c r="G245" s="1224" t="s">
        <v>1495</v>
      </c>
      <c r="H245" s="1224" t="s">
        <v>1495</v>
      </c>
      <c r="I245" s="1225" t="s">
        <v>1559</v>
      </c>
      <c r="J245" s="1195" t="s">
        <v>1535</v>
      </c>
      <c r="K245" s="1176" t="s">
        <v>674</v>
      </c>
      <c r="L245" s="1219" t="s">
        <v>675</v>
      </c>
      <c r="M245" s="1179">
        <v>102520000</v>
      </c>
      <c r="N245" s="1197" t="s">
        <v>730</v>
      </c>
      <c r="O245" s="1206" t="s">
        <v>1536</v>
      </c>
    </row>
    <row r="246" spans="1:15" s="1159" customFormat="1" ht="75" x14ac:dyDescent="0.3">
      <c r="A246" s="1172">
        <v>2022240</v>
      </c>
      <c r="B246" s="1172">
        <v>7655</v>
      </c>
      <c r="C246" s="1172" t="s">
        <v>668</v>
      </c>
      <c r="D246" s="1190" t="s">
        <v>1561</v>
      </c>
      <c r="E246" s="1191">
        <v>80111600</v>
      </c>
      <c r="F246" s="1216" t="s">
        <v>919</v>
      </c>
      <c r="G246" s="1224" t="s">
        <v>1495</v>
      </c>
      <c r="H246" s="1224" t="s">
        <v>1495</v>
      </c>
      <c r="I246" s="1225" t="s">
        <v>1559</v>
      </c>
      <c r="J246" s="1195" t="s">
        <v>1535</v>
      </c>
      <c r="K246" s="1176" t="s">
        <v>674</v>
      </c>
      <c r="L246" s="1219" t="s">
        <v>675</v>
      </c>
      <c r="M246" s="1179">
        <v>90200000</v>
      </c>
      <c r="N246" s="1197" t="s">
        <v>730</v>
      </c>
      <c r="O246" s="1206" t="s">
        <v>1536</v>
      </c>
    </row>
    <row r="247" spans="1:15" s="1159" customFormat="1" ht="60" x14ac:dyDescent="0.3">
      <c r="A247" s="1172">
        <v>2022241</v>
      </c>
      <c r="B247" s="1172">
        <v>7655</v>
      </c>
      <c r="C247" s="1172" t="s">
        <v>668</v>
      </c>
      <c r="D247" s="1190" t="s">
        <v>1561</v>
      </c>
      <c r="E247" s="1191">
        <v>80111600</v>
      </c>
      <c r="F247" s="1216" t="s">
        <v>920</v>
      </c>
      <c r="G247" s="1224" t="s">
        <v>1495</v>
      </c>
      <c r="H247" s="1224" t="s">
        <v>1495</v>
      </c>
      <c r="I247" s="1225" t="s">
        <v>1559</v>
      </c>
      <c r="J247" s="1195" t="s">
        <v>1535</v>
      </c>
      <c r="K247" s="1176" t="s">
        <v>674</v>
      </c>
      <c r="L247" s="1219" t="s">
        <v>675</v>
      </c>
      <c r="M247" s="1179">
        <v>82500000</v>
      </c>
      <c r="N247" s="1197" t="s">
        <v>730</v>
      </c>
      <c r="O247" s="1206" t="s">
        <v>1536</v>
      </c>
    </row>
    <row r="248" spans="1:15" s="1159" customFormat="1" ht="60" x14ac:dyDescent="0.3">
      <c r="A248" s="1172">
        <v>2022242</v>
      </c>
      <c r="B248" s="1172">
        <v>7655</v>
      </c>
      <c r="C248" s="1172" t="s">
        <v>668</v>
      </c>
      <c r="D248" s="1190" t="s">
        <v>1561</v>
      </c>
      <c r="E248" s="1191">
        <v>80111600</v>
      </c>
      <c r="F248" s="1216" t="s">
        <v>921</v>
      </c>
      <c r="G248" s="1224" t="s">
        <v>1495</v>
      </c>
      <c r="H248" s="1224" t="s">
        <v>1495</v>
      </c>
      <c r="I248" s="1225" t="s">
        <v>1559</v>
      </c>
      <c r="J248" s="1195" t="s">
        <v>1535</v>
      </c>
      <c r="K248" s="1176" t="s">
        <v>674</v>
      </c>
      <c r="L248" s="1219" t="s">
        <v>675</v>
      </c>
      <c r="M248" s="1179">
        <v>50600000</v>
      </c>
      <c r="N248" s="1197" t="s">
        <v>730</v>
      </c>
      <c r="O248" s="1206" t="s">
        <v>1536</v>
      </c>
    </row>
    <row r="249" spans="1:15" s="1159" customFormat="1" ht="60" x14ac:dyDescent="0.3">
      <c r="A249" s="1172">
        <v>2022243</v>
      </c>
      <c r="B249" s="1172">
        <v>7655</v>
      </c>
      <c r="C249" s="1172" t="s">
        <v>668</v>
      </c>
      <c r="D249" s="1190" t="s">
        <v>1561</v>
      </c>
      <c r="E249" s="1191">
        <v>80111600</v>
      </c>
      <c r="F249" s="1216" t="s">
        <v>922</v>
      </c>
      <c r="G249" s="1224" t="s">
        <v>1495</v>
      </c>
      <c r="H249" s="1224" t="s">
        <v>1495</v>
      </c>
      <c r="I249" s="1225" t="s">
        <v>1559</v>
      </c>
      <c r="J249" s="1195" t="s">
        <v>1535</v>
      </c>
      <c r="K249" s="1176" t="s">
        <v>674</v>
      </c>
      <c r="L249" s="1219" t="s">
        <v>675</v>
      </c>
      <c r="M249" s="1179">
        <v>35200000</v>
      </c>
      <c r="N249" s="1197" t="s">
        <v>730</v>
      </c>
      <c r="O249" s="1206" t="s">
        <v>1536</v>
      </c>
    </row>
    <row r="250" spans="1:15" s="1159" customFormat="1" ht="60" x14ac:dyDescent="0.3">
      <c r="A250" s="1172">
        <v>2022244</v>
      </c>
      <c r="B250" s="1172">
        <v>7655</v>
      </c>
      <c r="C250" s="1172" t="s">
        <v>668</v>
      </c>
      <c r="D250" s="1190" t="s">
        <v>1561</v>
      </c>
      <c r="E250" s="1191">
        <v>80111600</v>
      </c>
      <c r="F250" s="1216" t="s">
        <v>923</v>
      </c>
      <c r="G250" s="1224" t="s">
        <v>1495</v>
      </c>
      <c r="H250" s="1224" t="s">
        <v>1495</v>
      </c>
      <c r="I250" s="1225" t="s">
        <v>1559</v>
      </c>
      <c r="J250" s="1195" t="s">
        <v>1535</v>
      </c>
      <c r="K250" s="1176" t="s">
        <v>674</v>
      </c>
      <c r="L250" s="1219" t="s">
        <v>675</v>
      </c>
      <c r="M250" s="1179">
        <v>39050000</v>
      </c>
      <c r="N250" s="1197" t="s">
        <v>730</v>
      </c>
      <c r="O250" s="1206" t="s">
        <v>1536</v>
      </c>
    </row>
    <row r="251" spans="1:15" s="1159" customFormat="1" ht="60" x14ac:dyDescent="0.3">
      <c r="A251" s="1172">
        <v>2022245</v>
      </c>
      <c r="B251" s="1172">
        <v>7655</v>
      </c>
      <c r="C251" s="1172" t="s">
        <v>668</v>
      </c>
      <c r="D251" s="1190" t="s">
        <v>1561</v>
      </c>
      <c r="E251" s="1191">
        <v>80111600</v>
      </c>
      <c r="F251" s="1216" t="s">
        <v>924</v>
      </c>
      <c r="G251" s="1224" t="s">
        <v>1495</v>
      </c>
      <c r="H251" s="1224" t="s">
        <v>1495</v>
      </c>
      <c r="I251" s="1225" t="s">
        <v>1559</v>
      </c>
      <c r="J251" s="1195" t="s">
        <v>1535</v>
      </c>
      <c r="K251" s="1176" t="s">
        <v>674</v>
      </c>
      <c r="L251" s="1219" t="s">
        <v>675</v>
      </c>
      <c r="M251" s="1179">
        <v>39050000</v>
      </c>
      <c r="N251" s="1197" t="s">
        <v>730</v>
      </c>
      <c r="O251" s="1206" t="s">
        <v>1536</v>
      </c>
    </row>
    <row r="252" spans="1:15" s="1159" customFormat="1" ht="60" x14ac:dyDescent="0.3">
      <c r="A252" s="1172">
        <v>2022246</v>
      </c>
      <c r="B252" s="1172">
        <v>7655</v>
      </c>
      <c r="C252" s="1172" t="s">
        <v>668</v>
      </c>
      <c r="D252" s="1190" t="s">
        <v>1561</v>
      </c>
      <c r="E252" s="1191">
        <v>80111600</v>
      </c>
      <c r="F252" s="1216" t="s">
        <v>925</v>
      </c>
      <c r="G252" s="1224" t="s">
        <v>1495</v>
      </c>
      <c r="H252" s="1224" t="s">
        <v>1495</v>
      </c>
      <c r="I252" s="1225" t="s">
        <v>1559</v>
      </c>
      <c r="J252" s="1195" t="s">
        <v>1535</v>
      </c>
      <c r="K252" s="1176" t="s">
        <v>674</v>
      </c>
      <c r="L252" s="1219" t="s">
        <v>675</v>
      </c>
      <c r="M252" s="1179">
        <v>39050000</v>
      </c>
      <c r="N252" s="1197" t="s">
        <v>730</v>
      </c>
      <c r="O252" s="1206" t="s">
        <v>1536</v>
      </c>
    </row>
    <row r="253" spans="1:15" s="1159" customFormat="1" ht="75" x14ac:dyDescent="0.3">
      <c r="A253" s="1172">
        <v>2022247</v>
      </c>
      <c r="B253" s="1172">
        <v>7655</v>
      </c>
      <c r="C253" s="1172" t="s">
        <v>668</v>
      </c>
      <c r="D253" s="1190" t="s">
        <v>1561</v>
      </c>
      <c r="E253" s="1191">
        <v>80111600</v>
      </c>
      <c r="F253" s="1216" t="s">
        <v>926</v>
      </c>
      <c r="G253" s="1224" t="s">
        <v>1495</v>
      </c>
      <c r="H253" s="1224" t="s">
        <v>1495</v>
      </c>
      <c r="I253" s="1225" t="s">
        <v>1559</v>
      </c>
      <c r="J253" s="1195" t="s">
        <v>1535</v>
      </c>
      <c r="K253" s="1176" t="s">
        <v>674</v>
      </c>
      <c r="L253" s="1219" t="s">
        <v>675</v>
      </c>
      <c r="M253" s="1179">
        <v>30250000</v>
      </c>
      <c r="N253" s="1197" t="s">
        <v>730</v>
      </c>
      <c r="O253" s="1206" t="s">
        <v>1536</v>
      </c>
    </row>
    <row r="254" spans="1:15" s="1159" customFormat="1" ht="60" x14ac:dyDescent="0.3">
      <c r="A254" s="1172">
        <v>2022248</v>
      </c>
      <c r="B254" s="1172">
        <v>7655</v>
      </c>
      <c r="C254" s="1172" t="s">
        <v>668</v>
      </c>
      <c r="D254" s="1190" t="s">
        <v>1561</v>
      </c>
      <c r="E254" s="1191">
        <v>80111600</v>
      </c>
      <c r="F254" s="1216" t="s">
        <v>927</v>
      </c>
      <c r="G254" s="1224" t="s">
        <v>1495</v>
      </c>
      <c r="H254" s="1224" t="s">
        <v>1495</v>
      </c>
      <c r="I254" s="1225" t="s">
        <v>1559</v>
      </c>
      <c r="J254" s="1195" t="s">
        <v>1535</v>
      </c>
      <c r="K254" s="1176" t="s">
        <v>674</v>
      </c>
      <c r="L254" s="1219" t="s">
        <v>675</v>
      </c>
      <c r="M254" s="1179">
        <v>36850000</v>
      </c>
      <c r="N254" s="1197" t="s">
        <v>730</v>
      </c>
      <c r="O254" s="1206" t="s">
        <v>1536</v>
      </c>
    </row>
    <row r="255" spans="1:15" s="1159" customFormat="1" ht="60" x14ac:dyDescent="0.3">
      <c r="A255" s="1172">
        <v>2022249</v>
      </c>
      <c r="B255" s="1172">
        <v>7655</v>
      </c>
      <c r="C255" s="1172" t="s">
        <v>668</v>
      </c>
      <c r="D255" s="1190" t="s">
        <v>1561</v>
      </c>
      <c r="E255" s="1172">
        <v>80111600</v>
      </c>
      <c r="F255" s="1192" t="s">
        <v>928</v>
      </c>
      <c r="G255" s="1224" t="s">
        <v>1495</v>
      </c>
      <c r="H255" s="1204" t="s">
        <v>1495</v>
      </c>
      <c r="I255" s="1225" t="s">
        <v>1559</v>
      </c>
      <c r="J255" s="1195" t="s">
        <v>1535</v>
      </c>
      <c r="K255" s="1176" t="s">
        <v>674</v>
      </c>
      <c r="L255" s="1219" t="s">
        <v>675</v>
      </c>
      <c r="M255" s="1179">
        <v>38500000</v>
      </c>
      <c r="N255" s="1197" t="s">
        <v>730</v>
      </c>
      <c r="O255" s="1206" t="s">
        <v>1536</v>
      </c>
    </row>
    <row r="256" spans="1:15" s="1159" customFormat="1" ht="60" x14ac:dyDescent="0.3">
      <c r="A256" s="1172">
        <v>2022250</v>
      </c>
      <c r="B256" s="1172">
        <v>7655</v>
      </c>
      <c r="C256" s="1172" t="s">
        <v>668</v>
      </c>
      <c r="D256" s="1190" t="s">
        <v>1561</v>
      </c>
      <c r="E256" s="1191">
        <v>80111600</v>
      </c>
      <c r="F256" s="1223" t="s">
        <v>929</v>
      </c>
      <c r="G256" s="1224" t="s">
        <v>1495</v>
      </c>
      <c r="H256" s="1224" t="s">
        <v>1495</v>
      </c>
      <c r="I256" s="1225" t="s">
        <v>1559</v>
      </c>
      <c r="J256" s="1195" t="s">
        <v>1535</v>
      </c>
      <c r="K256" s="1176" t="s">
        <v>674</v>
      </c>
      <c r="L256" s="1219" t="s">
        <v>675</v>
      </c>
      <c r="M256" s="1196">
        <v>95700000</v>
      </c>
      <c r="N256" s="1197" t="s">
        <v>730</v>
      </c>
      <c r="O256" s="1206" t="s">
        <v>1536</v>
      </c>
    </row>
    <row r="257" spans="1:15" s="1159" customFormat="1" ht="75" x14ac:dyDescent="0.3">
      <c r="A257" s="1172">
        <v>2022251</v>
      </c>
      <c r="B257" s="1172">
        <v>7658</v>
      </c>
      <c r="C257" s="1172" t="s">
        <v>679</v>
      </c>
      <c r="D257" s="1190" t="s">
        <v>689</v>
      </c>
      <c r="E257" s="1230">
        <v>80111600</v>
      </c>
      <c r="F257" s="1199" t="s">
        <v>930</v>
      </c>
      <c r="G257" s="1231">
        <v>44575</v>
      </c>
      <c r="H257" s="1231">
        <v>44575</v>
      </c>
      <c r="I257" s="1194" t="s">
        <v>1534</v>
      </c>
      <c r="J257" s="1195" t="s">
        <v>1535</v>
      </c>
      <c r="K257" s="1176" t="s">
        <v>674</v>
      </c>
      <c r="L257" s="1178" t="s">
        <v>675</v>
      </c>
      <c r="M257" s="1196">
        <v>103500000</v>
      </c>
      <c r="N257" s="1175" t="s">
        <v>744</v>
      </c>
      <c r="O257" s="1175" t="s">
        <v>1562</v>
      </c>
    </row>
    <row r="258" spans="1:15" s="1159" customFormat="1" ht="75" x14ac:dyDescent="0.3">
      <c r="A258" s="1172">
        <v>2022252</v>
      </c>
      <c r="B258" s="1172">
        <v>7658</v>
      </c>
      <c r="C258" s="1172" t="s">
        <v>679</v>
      </c>
      <c r="D258" s="1190" t="s">
        <v>689</v>
      </c>
      <c r="E258" s="1230">
        <v>80111600</v>
      </c>
      <c r="F258" s="1199" t="s">
        <v>932</v>
      </c>
      <c r="G258" s="1231">
        <v>44575</v>
      </c>
      <c r="H258" s="1231">
        <v>44575</v>
      </c>
      <c r="I258" s="1194" t="s">
        <v>1534</v>
      </c>
      <c r="J258" s="1195" t="s">
        <v>1535</v>
      </c>
      <c r="K258" s="1176" t="s">
        <v>674</v>
      </c>
      <c r="L258" s="1178" t="s">
        <v>780</v>
      </c>
      <c r="M258" s="1196">
        <v>103500000</v>
      </c>
      <c r="N258" s="1175" t="s">
        <v>744</v>
      </c>
      <c r="O258" s="1175" t="s">
        <v>1562</v>
      </c>
    </row>
    <row r="259" spans="1:15" s="1159" customFormat="1" ht="75" x14ac:dyDescent="0.3">
      <c r="A259" s="1172">
        <v>2022253</v>
      </c>
      <c r="B259" s="1172">
        <v>7658</v>
      </c>
      <c r="C259" s="1172" t="s">
        <v>679</v>
      </c>
      <c r="D259" s="1190" t="s">
        <v>689</v>
      </c>
      <c r="E259" s="1230">
        <v>80111600</v>
      </c>
      <c r="F259" s="1199" t="s">
        <v>933</v>
      </c>
      <c r="G259" s="1231">
        <v>44575</v>
      </c>
      <c r="H259" s="1231">
        <v>44575</v>
      </c>
      <c r="I259" s="1194" t="s">
        <v>1534</v>
      </c>
      <c r="J259" s="1195" t="s">
        <v>1535</v>
      </c>
      <c r="K259" s="1176" t="s">
        <v>674</v>
      </c>
      <c r="L259" s="1178" t="s">
        <v>675</v>
      </c>
      <c r="M259" s="1196">
        <v>32775000</v>
      </c>
      <c r="N259" s="1175" t="s">
        <v>744</v>
      </c>
      <c r="O259" s="1175" t="s">
        <v>1562</v>
      </c>
    </row>
    <row r="260" spans="1:15" s="1159" customFormat="1" ht="75" x14ac:dyDescent="0.3">
      <c r="A260" s="1172">
        <v>2022254</v>
      </c>
      <c r="B260" s="1172">
        <v>7658</v>
      </c>
      <c r="C260" s="1172" t="s">
        <v>679</v>
      </c>
      <c r="D260" s="1190" t="s">
        <v>689</v>
      </c>
      <c r="E260" s="1230">
        <v>80111600</v>
      </c>
      <c r="F260" s="1175" t="s">
        <v>1565</v>
      </c>
      <c r="G260" s="1231">
        <v>44575</v>
      </c>
      <c r="H260" s="1231">
        <v>44575</v>
      </c>
      <c r="I260" s="1194" t="s">
        <v>1534</v>
      </c>
      <c r="J260" s="1195" t="s">
        <v>1535</v>
      </c>
      <c r="K260" s="1176" t="s">
        <v>674</v>
      </c>
      <c r="L260" s="1178" t="s">
        <v>675</v>
      </c>
      <c r="M260" s="1196">
        <v>63250000</v>
      </c>
      <c r="N260" s="1175" t="s">
        <v>744</v>
      </c>
      <c r="O260" s="1175" t="s">
        <v>1562</v>
      </c>
    </row>
    <row r="261" spans="1:15" s="1159" customFormat="1" ht="75" x14ac:dyDescent="0.3">
      <c r="A261" s="1172">
        <v>2022255</v>
      </c>
      <c r="B261" s="1172">
        <v>7658</v>
      </c>
      <c r="C261" s="1172" t="s">
        <v>679</v>
      </c>
      <c r="D261" s="1190" t="s">
        <v>689</v>
      </c>
      <c r="E261" s="1230">
        <v>80111600</v>
      </c>
      <c r="F261" s="1199" t="s">
        <v>934</v>
      </c>
      <c r="G261" s="1231">
        <v>44575</v>
      </c>
      <c r="H261" s="1231">
        <v>44575</v>
      </c>
      <c r="I261" s="1194" t="s">
        <v>1534</v>
      </c>
      <c r="J261" s="1195" t="s">
        <v>1535</v>
      </c>
      <c r="K261" s="1176" t="s">
        <v>674</v>
      </c>
      <c r="L261" s="1178" t="s">
        <v>675</v>
      </c>
      <c r="M261" s="1196">
        <v>83950000</v>
      </c>
      <c r="N261" s="1175" t="s">
        <v>744</v>
      </c>
      <c r="O261" s="1175" t="s">
        <v>1562</v>
      </c>
    </row>
    <row r="262" spans="1:15" s="1159" customFormat="1" ht="75" x14ac:dyDescent="0.3">
      <c r="A262" s="1172">
        <v>2022256</v>
      </c>
      <c r="B262" s="1172">
        <v>7658</v>
      </c>
      <c r="C262" s="1172" t="s">
        <v>679</v>
      </c>
      <c r="D262" s="1190" t="s">
        <v>689</v>
      </c>
      <c r="E262" s="1230">
        <v>80111600</v>
      </c>
      <c r="F262" s="1199" t="s">
        <v>1566</v>
      </c>
      <c r="G262" s="1231">
        <v>44575</v>
      </c>
      <c r="H262" s="1231">
        <v>44575</v>
      </c>
      <c r="I262" s="1194" t="s">
        <v>1534</v>
      </c>
      <c r="J262" s="1195" t="s">
        <v>1535</v>
      </c>
      <c r="K262" s="1176" t="s">
        <v>674</v>
      </c>
      <c r="L262" s="1178" t="s">
        <v>675</v>
      </c>
      <c r="M262" s="1196">
        <v>51750000</v>
      </c>
      <c r="N262" s="1175" t="s">
        <v>744</v>
      </c>
      <c r="O262" s="1175" t="s">
        <v>1562</v>
      </c>
    </row>
    <row r="263" spans="1:15" s="1159" customFormat="1" ht="75" x14ac:dyDescent="0.3">
      <c r="A263" s="1172">
        <v>2022257</v>
      </c>
      <c r="B263" s="1172">
        <v>7658</v>
      </c>
      <c r="C263" s="1172" t="s">
        <v>679</v>
      </c>
      <c r="D263" s="1190" t="s">
        <v>689</v>
      </c>
      <c r="E263" s="1230">
        <v>80111600</v>
      </c>
      <c r="F263" s="1175" t="s">
        <v>935</v>
      </c>
      <c r="G263" s="1231">
        <v>44575</v>
      </c>
      <c r="H263" s="1231">
        <v>44575</v>
      </c>
      <c r="I263" s="1194" t="s">
        <v>1534</v>
      </c>
      <c r="J263" s="1195" t="s">
        <v>1535</v>
      </c>
      <c r="K263" s="1176" t="s">
        <v>674</v>
      </c>
      <c r="L263" s="1178" t="s">
        <v>675</v>
      </c>
      <c r="M263" s="1196">
        <v>83950000</v>
      </c>
      <c r="N263" s="1175" t="s">
        <v>744</v>
      </c>
      <c r="O263" s="1175" t="s">
        <v>1562</v>
      </c>
    </row>
    <row r="264" spans="1:15" s="1159" customFormat="1" ht="75" x14ac:dyDescent="0.3">
      <c r="A264" s="1172">
        <v>2022258</v>
      </c>
      <c r="B264" s="1172">
        <v>7658</v>
      </c>
      <c r="C264" s="1172" t="s">
        <v>679</v>
      </c>
      <c r="D264" s="1190" t="s">
        <v>689</v>
      </c>
      <c r="E264" s="1230">
        <v>80111600</v>
      </c>
      <c r="F264" s="1199" t="s">
        <v>936</v>
      </c>
      <c r="G264" s="1231">
        <v>44575</v>
      </c>
      <c r="H264" s="1231">
        <v>44575</v>
      </c>
      <c r="I264" s="1194" t="s">
        <v>1534</v>
      </c>
      <c r="J264" s="1195" t="s">
        <v>1535</v>
      </c>
      <c r="K264" s="1176" t="s">
        <v>674</v>
      </c>
      <c r="L264" s="1178" t="s">
        <v>675</v>
      </c>
      <c r="M264" s="1196">
        <v>83950000</v>
      </c>
      <c r="N264" s="1175" t="s">
        <v>744</v>
      </c>
      <c r="O264" s="1175" t="s">
        <v>1562</v>
      </c>
    </row>
    <row r="265" spans="1:15" s="1159" customFormat="1" ht="75" x14ac:dyDescent="0.3">
      <c r="A265" s="1172">
        <v>2022259</v>
      </c>
      <c r="B265" s="1172">
        <v>7658</v>
      </c>
      <c r="C265" s="1172" t="s">
        <v>679</v>
      </c>
      <c r="D265" s="1190" t="s">
        <v>689</v>
      </c>
      <c r="E265" s="1230">
        <v>80111600</v>
      </c>
      <c r="F265" s="1175" t="s">
        <v>1567</v>
      </c>
      <c r="G265" s="1231">
        <v>44575</v>
      </c>
      <c r="H265" s="1231">
        <v>44575</v>
      </c>
      <c r="I265" s="1194" t="s">
        <v>1534</v>
      </c>
      <c r="J265" s="1195" t="s">
        <v>1535</v>
      </c>
      <c r="K265" s="1176" t="s">
        <v>674</v>
      </c>
      <c r="L265" s="1178" t="s">
        <v>675</v>
      </c>
      <c r="M265" s="1196">
        <v>94300000</v>
      </c>
      <c r="N265" s="1175" t="s">
        <v>744</v>
      </c>
      <c r="O265" s="1175" t="s">
        <v>1562</v>
      </c>
    </row>
    <row r="266" spans="1:15" s="1159" customFormat="1" ht="75" x14ac:dyDescent="0.3">
      <c r="A266" s="1172">
        <v>2022260</v>
      </c>
      <c r="B266" s="1172">
        <v>7658</v>
      </c>
      <c r="C266" s="1172" t="s">
        <v>679</v>
      </c>
      <c r="D266" s="1190" t="s">
        <v>689</v>
      </c>
      <c r="E266" s="1230">
        <v>80111600</v>
      </c>
      <c r="F266" s="1175" t="s">
        <v>936</v>
      </c>
      <c r="G266" s="1231">
        <v>44575</v>
      </c>
      <c r="H266" s="1231">
        <v>44575</v>
      </c>
      <c r="I266" s="1194" t="s">
        <v>1534</v>
      </c>
      <c r="J266" s="1195" t="s">
        <v>1535</v>
      </c>
      <c r="K266" s="1176" t="s">
        <v>674</v>
      </c>
      <c r="L266" s="1178" t="s">
        <v>675</v>
      </c>
      <c r="M266" s="1196">
        <v>83950000</v>
      </c>
      <c r="N266" s="1175" t="s">
        <v>744</v>
      </c>
      <c r="O266" s="1175" t="s">
        <v>1562</v>
      </c>
    </row>
    <row r="267" spans="1:15" s="1159" customFormat="1" ht="75" x14ac:dyDescent="0.3">
      <c r="A267" s="1172">
        <v>2022261</v>
      </c>
      <c r="B267" s="1172">
        <v>7658</v>
      </c>
      <c r="C267" s="1172" t="s">
        <v>679</v>
      </c>
      <c r="D267" s="1190" t="s">
        <v>689</v>
      </c>
      <c r="E267" s="1230">
        <v>80111600</v>
      </c>
      <c r="F267" s="1175" t="s">
        <v>936</v>
      </c>
      <c r="G267" s="1231">
        <v>44575</v>
      </c>
      <c r="H267" s="1231">
        <v>44575</v>
      </c>
      <c r="I267" s="1194" t="s">
        <v>1534</v>
      </c>
      <c r="J267" s="1195" t="s">
        <v>1535</v>
      </c>
      <c r="K267" s="1176" t="s">
        <v>674</v>
      </c>
      <c r="L267" s="1178" t="s">
        <v>675</v>
      </c>
      <c r="M267" s="1196">
        <v>83950000</v>
      </c>
      <c r="N267" s="1175" t="s">
        <v>744</v>
      </c>
      <c r="O267" s="1175" t="s">
        <v>1562</v>
      </c>
    </row>
    <row r="268" spans="1:15" s="1159" customFormat="1" ht="75" x14ac:dyDescent="0.3">
      <c r="A268" s="1172">
        <v>2022262</v>
      </c>
      <c r="B268" s="1172">
        <v>7658</v>
      </c>
      <c r="C268" s="1172" t="s">
        <v>679</v>
      </c>
      <c r="D268" s="1190" t="s">
        <v>689</v>
      </c>
      <c r="E268" s="1230">
        <v>80111600</v>
      </c>
      <c r="F268" s="1199" t="s">
        <v>936</v>
      </c>
      <c r="G268" s="1231">
        <v>44575</v>
      </c>
      <c r="H268" s="1231">
        <v>44575</v>
      </c>
      <c r="I268" s="1194" t="s">
        <v>1534</v>
      </c>
      <c r="J268" s="1195" t="s">
        <v>1535</v>
      </c>
      <c r="K268" s="1176" t="s">
        <v>674</v>
      </c>
      <c r="L268" s="1178" t="s">
        <v>675</v>
      </c>
      <c r="M268" s="1196">
        <v>83950000</v>
      </c>
      <c r="N268" s="1175" t="s">
        <v>744</v>
      </c>
      <c r="O268" s="1175" t="s">
        <v>1562</v>
      </c>
    </row>
    <row r="269" spans="1:15" s="1159" customFormat="1" ht="75" x14ac:dyDescent="0.3">
      <c r="A269" s="1172">
        <v>2022263</v>
      </c>
      <c r="B269" s="1172">
        <v>7658</v>
      </c>
      <c r="C269" s="1172" t="s">
        <v>679</v>
      </c>
      <c r="D269" s="1190" t="s">
        <v>689</v>
      </c>
      <c r="E269" s="1230">
        <v>80111600</v>
      </c>
      <c r="F269" s="1199" t="s">
        <v>935</v>
      </c>
      <c r="G269" s="1231">
        <v>44575</v>
      </c>
      <c r="H269" s="1231">
        <v>44575</v>
      </c>
      <c r="I269" s="1194" t="s">
        <v>1534</v>
      </c>
      <c r="J269" s="1195" t="s">
        <v>1535</v>
      </c>
      <c r="K269" s="1176" t="s">
        <v>674</v>
      </c>
      <c r="L269" s="1178" t="s">
        <v>675</v>
      </c>
      <c r="M269" s="1196">
        <v>78200000</v>
      </c>
      <c r="N269" s="1175" t="s">
        <v>744</v>
      </c>
      <c r="O269" s="1175" t="s">
        <v>1562</v>
      </c>
    </row>
    <row r="270" spans="1:15" s="1159" customFormat="1" ht="75" x14ac:dyDescent="0.3">
      <c r="A270" s="1172">
        <v>2022264</v>
      </c>
      <c r="B270" s="1172">
        <v>7658</v>
      </c>
      <c r="C270" s="1172" t="s">
        <v>679</v>
      </c>
      <c r="D270" s="1190" t="s">
        <v>689</v>
      </c>
      <c r="E270" s="1230">
        <v>80111600</v>
      </c>
      <c r="F270" s="1199" t="s">
        <v>937</v>
      </c>
      <c r="G270" s="1231">
        <v>44575</v>
      </c>
      <c r="H270" s="1231">
        <v>44575</v>
      </c>
      <c r="I270" s="1194" t="s">
        <v>1534</v>
      </c>
      <c r="J270" s="1195" t="s">
        <v>1535</v>
      </c>
      <c r="K270" s="1176" t="s">
        <v>674</v>
      </c>
      <c r="L270" s="1178" t="s">
        <v>675</v>
      </c>
      <c r="M270" s="1196">
        <v>44275000</v>
      </c>
      <c r="N270" s="1175" t="s">
        <v>744</v>
      </c>
      <c r="O270" s="1175" t="s">
        <v>1562</v>
      </c>
    </row>
    <row r="271" spans="1:15" s="1159" customFormat="1" ht="75" x14ac:dyDescent="0.3">
      <c r="A271" s="1172">
        <v>2022265</v>
      </c>
      <c r="B271" s="1172">
        <v>7658</v>
      </c>
      <c r="C271" s="1172" t="s">
        <v>679</v>
      </c>
      <c r="D271" s="1190" t="s">
        <v>689</v>
      </c>
      <c r="E271" s="1230">
        <v>80111600</v>
      </c>
      <c r="F271" s="1199" t="s">
        <v>938</v>
      </c>
      <c r="G271" s="1231">
        <v>44575</v>
      </c>
      <c r="H271" s="1231">
        <v>44575</v>
      </c>
      <c r="I271" s="1194" t="s">
        <v>1534</v>
      </c>
      <c r="J271" s="1195" t="s">
        <v>1535</v>
      </c>
      <c r="K271" s="1176" t="s">
        <v>674</v>
      </c>
      <c r="L271" s="1178" t="s">
        <v>675</v>
      </c>
      <c r="M271" s="1196">
        <v>28175000</v>
      </c>
      <c r="N271" s="1175" t="s">
        <v>744</v>
      </c>
      <c r="O271" s="1175" t="s">
        <v>1562</v>
      </c>
    </row>
    <row r="272" spans="1:15" s="1159" customFormat="1" ht="75" x14ac:dyDescent="0.3">
      <c r="A272" s="1172">
        <v>2022266</v>
      </c>
      <c r="B272" s="1172">
        <v>7658</v>
      </c>
      <c r="C272" s="1172" t="s">
        <v>679</v>
      </c>
      <c r="D272" s="1190" t="s">
        <v>689</v>
      </c>
      <c r="E272" s="1230">
        <v>80111600</v>
      </c>
      <c r="F272" s="1199" t="s">
        <v>939</v>
      </c>
      <c r="G272" s="1231">
        <v>44575</v>
      </c>
      <c r="H272" s="1231">
        <v>44575</v>
      </c>
      <c r="I272" s="1194" t="s">
        <v>1534</v>
      </c>
      <c r="J272" s="1195" t="s">
        <v>1535</v>
      </c>
      <c r="K272" s="1176" t="s">
        <v>674</v>
      </c>
      <c r="L272" s="1178" t="s">
        <v>675</v>
      </c>
      <c r="M272" s="1196">
        <v>63250000</v>
      </c>
      <c r="N272" s="1175" t="s">
        <v>744</v>
      </c>
      <c r="O272" s="1175" t="s">
        <v>1562</v>
      </c>
    </row>
    <row r="273" spans="1:15" s="1159" customFormat="1" ht="75" x14ac:dyDescent="0.3">
      <c r="A273" s="1172">
        <v>2022267</v>
      </c>
      <c r="B273" s="1172">
        <v>7658</v>
      </c>
      <c r="C273" s="1172" t="s">
        <v>679</v>
      </c>
      <c r="D273" s="1190" t="s">
        <v>689</v>
      </c>
      <c r="E273" s="1230">
        <v>80111600</v>
      </c>
      <c r="F273" s="1199" t="s">
        <v>940</v>
      </c>
      <c r="G273" s="1231">
        <v>44575</v>
      </c>
      <c r="H273" s="1231">
        <v>44575</v>
      </c>
      <c r="I273" s="1194" t="s">
        <v>1534</v>
      </c>
      <c r="J273" s="1195" t="s">
        <v>1535</v>
      </c>
      <c r="K273" s="1176" t="s">
        <v>674</v>
      </c>
      <c r="L273" s="1178" t="s">
        <v>675</v>
      </c>
      <c r="M273" s="1196">
        <v>28175000</v>
      </c>
      <c r="N273" s="1175" t="s">
        <v>744</v>
      </c>
      <c r="O273" s="1175" t="s">
        <v>1562</v>
      </c>
    </row>
    <row r="274" spans="1:15" s="1159" customFormat="1" ht="75" x14ac:dyDescent="0.3">
      <c r="A274" s="1172">
        <v>2022268</v>
      </c>
      <c r="B274" s="1172">
        <v>7658</v>
      </c>
      <c r="C274" s="1172" t="s">
        <v>679</v>
      </c>
      <c r="D274" s="1190" t="s">
        <v>689</v>
      </c>
      <c r="E274" s="1230">
        <v>80111600</v>
      </c>
      <c r="F274" s="1199" t="s">
        <v>940</v>
      </c>
      <c r="G274" s="1231">
        <v>44575</v>
      </c>
      <c r="H274" s="1231">
        <v>44575</v>
      </c>
      <c r="I274" s="1194" t="s">
        <v>1534</v>
      </c>
      <c r="J274" s="1195" t="s">
        <v>1535</v>
      </c>
      <c r="K274" s="1176" t="s">
        <v>674</v>
      </c>
      <c r="L274" s="1178" t="s">
        <v>675</v>
      </c>
      <c r="M274" s="1196">
        <v>28175000</v>
      </c>
      <c r="N274" s="1175" t="s">
        <v>744</v>
      </c>
      <c r="O274" s="1175" t="s">
        <v>1562</v>
      </c>
    </row>
    <row r="275" spans="1:15" s="1159" customFormat="1" ht="75" x14ac:dyDescent="0.3">
      <c r="A275" s="1172">
        <v>2022269</v>
      </c>
      <c r="B275" s="1172">
        <v>7658</v>
      </c>
      <c r="C275" s="1172" t="s">
        <v>679</v>
      </c>
      <c r="D275" s="1190" t="s">
        <v>689</v>
      </c>
      <c r="E275" s="1230">
        <v>80111600</v>
      </c>
      <c r="F275" s="1199" t="s">
        <v>940</v>
      </c>
      <c r="G275" s="1231">
        <v>44575</v>
      </c>
      <c r="H275" s="1231">
        <v>44575</v>
      </c>
      <c r="I275" s="1194" t="s">
        <v>1534</v>
      </c>
      <c r="J275" s="1195" t="s">
        <v>1535</v>
      </c>
      <c r="K275" s="1176" t="s">
        <v>674</v>
      </c>
      <c r="L275" s="1178" t="s">
        <v>675</v>
      </c>
      <c r="M275" s="1196">
        <v>28175000</v>
      </c>
      <c r="N275" s="1175" t="s">
        <v>744</v>
      </c>
      <c r="O275" s="1175" t="s">
        <v>1562</v>
      </c>
    </row>
    <row r="276" spans="1:15" s="1159" customFormat="1" ht="75" x14ac:dyDescent="0.3">
      <c r="A276" s="1172">
        <v>2022270</v>
      </c>
      <c r="B276" s="1172">
        <v>7658</v>
      </c>
      <c r="C276" s="1172" t="s">
        <v>679</v>
      </c>
      <c r="D276" s="1190" t="s">
        <v>689</v>
      </c>
      <c r="E276" s="1230">
        <v>80111600</v>
      </c>
      <c r="F276" s="1199" t="s">
        <v>940</v>
      </c>
      <c r="G276" s="1231">
        <v>44575</v>
      </c>
      <c r="H276" s="1231">
        <v>44575</v>
      </c>
      <c r="I276" s="1194" t="s">
        <v>1534</v>
      </c>
      <c r="J276" s="1195" t="s">
        <v>1535</v>
      </c>
      <c r="K276" s="1176" t="s">
        <v>674</v>
      </c>
      <c r="L276" s="1178" t="s">
        <v>675</v>
      </c>
      <c r="M276" s="1196">
        <v>28175000</v>
      </c>
      <c r="N276" s="1175" t="s">
        <v>744</v>
      </c>
      <c r="O276" s="1175" t="s">
        <v>1562</v>
      </c>
    </row>
    <row r="277" spans="1:15" s="1159" customFormat="1" ht="75" x14ac:dyDescent="0.3">
      <c r="A277" s="1172">
        <v>2022271</v>
      </c>
      <c r="B277" s="1172">
        <v>7658</v>
      </c>
      <c r="C277" s="1172" t="s">
        <v>679</v>
      </c>
      <c r="D277" s="1190" t="s">
        <v>689</v>
      </c>
      <c r="E277" s="1230">
        <v>80111600</v>
      </c>
      <c r="F277" s="1199" t="s">
        <v>940</v>
      </c>
      <c r="G277" s="1231">
        <v>44575</v>
      </c>
      <c r="H277" s="1231">
        <v>44575</v>
      </c>
      <c r="I277" s="1194" t="s">
        <v>1534</v>
      </c>
      <c r="J277" s="1195" t="s">
        <v>1535</v>
      </c>
      <c r="K277" s="1176" t="s">
        <v>674</v>
      </c>
      <c r="L277" s="1178" t="s">
        <v>675</v>
      </c>
      <c r="M277" s="1196">
        <v>28175000</v>
      </c>
      <c r="N277" s="1175" t="s">
        <v>744</v>
      </c>
      <c r="O277" s="1175" t="s">
        <v>1562</v>
      </c>
    </row>
    <row r="278" spans="1:15" s="1159" customFormat="1" ht="75" x14ac:dyDescent="0.3">
      <c r="A278" s="1172">
        <v>2022272</v>
      </c>
      <c r="B278" s="1172">
        <v>7658</v>
      </c>
      <c r="C278" s="1172" t="s">
        <v>679</v>
      </c>
      <c r="D278" s="1190" t="s">
        <v>689</v>
      </c>
      <c r="E278" s="1230">
        <v>80111600</v>
      </c>
      <c r="F278" s="1199" t="s">
        <v>940</v>
      </c>
      <c r="G278" s="1231">
        <v>44575</v>
      </c>
      <c r="H278" s="1231">
        <v>44575</v>
      </c>
      <c r="I278" s="1194" t="s">
        <v>1534</v>
      </c>
      <c r="J278" s="1195" t="s">
        <v>1535</v>
      </c>
      <c r="K278" s="1176" t="s">
        <v>674</v>
      </c>
      <c r="L278" s="1178" t="s">
        <v>675</v>
      </c>
      <c r="M278" s="1196">
        <v>28175000</v>
      </c>
      <c r="N278" s="1175" t="s">
        <v>744</v>
      </c>
      <c r="O278" s="1175" t="s">
        <v>1562</v>
      </c>
    </row>
    <row r="279" spans="1:15" s="1159" customFormat="1" ht="75" x14ac:dyDescent="0.3">
      <c r="A279" s="1172">
        <v>2022273</v>
      </c>
      <c r="B279" s="1172">
        <v>7658</v>
      </c>
      <c r="C279" s="1172" t="s">
        <v>679</v>
      </c>
      <c r="D279" s="1190" t="s">
        <v>689</v>
      </c>
      <c r="E279" s="1230">
        <v>80111600</v>
      </c>
      <c r="F279" s="1199" t="s">
        <v>940</v>
      </c>
      <c r="G279" s="1231">
        <v>44575</v>
      </c>
      <c r="H279" s="1231">
        <v>44575</v>
      </c>
      <c r="I279" s="1194" t="s">
        <v>1534</v>
      </c>
      <c r="J279" s="1195" t="s">
        <v>1535</v>
      </c>
      <c r="K279" s="1176" t="s">
        <v>674</v>
      </c>
      <c r="L279" s="1178" t="s">
        <v>675</v>
      </c>
      <c r="M279" s="1196">
        <v>28175000</v>
      </c>
      <c r="N279" s="1175" t="s">
        <v>744</v>
      </c>
      <c r="O279" s="1175" t="s">
        <v>1562</v>
      </c>
    </row>
    <row r="280" spans="1:15" s="1159" customFormat="1" ht="75" x14ac:dyDescent="0.3">
      <c r="A280" s="1172">
        <v>2022274</v>
      </c>
      <c r="B280" s="1172">
        <v>7658</v>
      </c>
      <c r="C280" s="1172" t="s">
        <v>679</v>
      </c>
      <c r="D280" s="1190" t="s">
        <v>689</v>
      </c>
      <c r="E280" s="1230">
        <v>80111600</v>
      </c>
      <c r="F280" s="1199" t="s">
        <v>940</v>
      </c>
      <c r="G280" s="1231">
        <v>44575</v>
      </c>
      <c r="H280" s="1231">
        <v>44575</v>
      </c>
      <c r="I280" s="1194" t="s">
        <v>1534</v>
      </c>
      <c r="J280" s="1195" t="s">
        <v>1535</v>
      </c>
      <c r="K280" s="1176" t="s">
        <v>674</v>
      </c>
      <c r="L280" s="1178" t="s">
        <v>675</v>
      </c>
      <c r="M280" s="1196">
        <v>28175000</v>
      </c>
      <c r="N280" s="1175" t="s">
        <v>744</v>
      </c>
      <c r="O280" s="1175" t="s">
        <v>1562</v>
      </c>
    </row>
    <row r="281" spans="1:15" s="1159" customFormat="1" ht="75" x14ac:dyDescent="0.3">
      <c r="A281" s="1172">
        <v>2022275</v>
      </c>
      <c r="B281" s="1172">
        <v>7658</v>
      </c>
      <c r="C281" s="1172" t="s">
        <v>679</v>
      </c>
      <c r="D281" s="1190" t="s">
        <v>689</v>
      </c>
      <c r="E281" s="1230">
        <v>80111600</v>
      </c>
      <c r="F281" s="1199" t="s">
        <v>940</v>
      </c>
      <c r="G281" s="1231">
        <v>44575</v>
      </c>
      <c r="H281" s="1231">
        <v>44575</v>
      </c>
      <c r="I281" s="1194" t="s">
        <v>1534</v>
      </c>
      <c r="J281" s="1195" t="s">
        <v>1535</v>
      </c>
      <c r="K281" s="1176" t="s">
        <v>674</v>
      </c>
      <c r="L281" s="1178" t="s">
        <v>675</v>
      </c>
      <c r="M281" s="1196">
        <v>28175000</v>
      </c>
      <c r="N281" s="1175" t="s">
        <v>744</v>
      </c>
      <c r="O281" s="1175" t="s">
        <v>1562</v>
      </c>
    </row>
    <row r="282" spans="1:15" s="1159" customFormat="1" ht="75" x14ac:dyDescent="0.3">
      <c r="A282" s="1172">
        <v>2022276</v>
      </c>
      <c r="B282" s="1172">
        <v>7658</v>
      </c>
      <c r="C282" s="1172" t="s">
        <v>679</v>
      </c>
      <c r="D282" s="1190" t="s">
        <v>689</v>
      </c>
      <c r="E282" s="1230">
        <v>80111600</v>
      </c>
      <c r="F282" s="1199" t="s">
        <v>940</v>
      </c>
      <c r="G282" s="1231">
        <v>44575</v>
      </c>
      <c r="H282" s="1231">
        <v>44575</v>
      </c>
      <c r="I282" s="1194" t="s">
        <v>1534</v>
      </c>
      <c r="J282" s="1195" t="s">
        <v>1535</v>
      </c>
      <c r="K282" s="1176" t="s">
        <v>674</v>
      </c>
      <c r="L282" s="1178" t="s">
        <v>675</v>
      </c>
      <c r="M282" s="1196">
        <v>24150000</v>
      </c>
      <c r="N282" s="1175" t="s">
        <v>744</v>
      </c>
      <c r="O282" s="1175" t="s">
        <v>1562</v>
      </c>
    </row>
    <row r="283" spans="1:15" s="1159" customFormat="1" ht="75" x14ac:dyDescent="0.3">
      <c r="A283" s="1172">
        <v>2022277</v>
      </c>
      <c r="B283" s="1172">
        <v>7658</v>
      </c>
      <c r="C283" s="1172" t="s">
        <v>679</v>
      </c>
      <c r="D283" s="1190" t="s">
        <v>689</v>
      </c>
      <c r="E283" s="1230">
        <v>80111600</v>
      </c>
      <c r="F283" s="1199" t="s">
        <v>940</v>
      </c>
      <c r="G283" s="1231">
        <v>44575</v>
      </c>
      <c r="H283" s="1231">
        <v>44575</v>
      </c>
      <c r="I283" s="1194" t="s">
        <v>1534</v>
      </c>
      <c r="J283" s="1195" t="s">
        <v>1535</v>
      </c>
      <c r="K283" s="1176" t="s">
        <v>674</v>
      </c>
      <c r="L283" s="1178" t="s">
        <v>675</v>
      </c>
      <c r="M283" s="1196">
        <v>28175000</v>
      </c>
      <c r="N283" s="1175" t="s">
        <v>744</v>
      </c>
      <c r="O283" s="1175" t="s">
        <v>1562</v>
      </c>
    </row>
    <row r="284" spans="1:15" s="1159" customFormat="1" ht="75" x14ac:dyDescent="0.3">
      <c r="A284" s="1172">
        <v>2022278</v>
      </c>
      <c r="B284" s="1172">
        <v>7658</v>
      </c>
      <c r="C284" s="1172" t="s">
        <v>679</v>
      </c>
      <c r="D284" s="1190" t="s">
        <v>689</v>
      </c>
      <c r="E284" s="1230">
        <v>80111600</v>
      </c>
      <c r="F284" s="1199" t="s">
        <v>940</v>
      </c>
      <c r="G284" s="1231">
        <v>44575</v>
      </c>
      <c r="H284" s="1231">
        <v>44575</v>
      </c>
      <c r="I284" s="1194" t="s">
        <v>1534</v>
      </c>
      <c r="J284" s="1195" t="s">
        <v>1535</v>
      </c>
      <c r="K284" s="1176" t="s">
        <v>674</v>
      </c>
      <c r="L284" s="1178" t="s">
        <v>675</v>
      </c>
      <c r="M284" s="1196">
        <v>28175000</v>
      </c>
      <c r="N284" s="1175" t="s">
        <v>744</v>
      </c>
      <c r="O284" s="1175" t="s">
        <v>1562</v>
      </c>
    </row>
    <row r="285" spans="1:15" s="1159" customFormat="1" ht="75" x14ac:dyDescent="0.3">
      <c r="A285" s="1172">
        <v>2022279</v>
      </c>
      <c r="B285" s="1172">
        <v>7658</v>
      </c>
      <c r="C285" s="1172" t="s">
        <v>679</v>
      </c>
      <c r="D285" s="1190" t="s">
        <v>689</v>
      </c>
      <c r="E285" s="1230">
        <v>80111600</v>
      </c>
      <c r="F285" s="1199" t="s">
        <v>940</v>
      </c>
      <c r="G285" s="1231">
        <v>44575</v>
      </c>
      <c r="H285" s="1231">
        <v>44575</v>
      </c>
      <c r="I285" s="1194" t="s">
        <v>1534</v>
      </c>
      <c r="J285" s="1195" t="s">
        <v>1535</v>
      </c>
      <c r="K285" s="1176" t="s">
        <v>674</v>
      </c>
      <c r="L285" s="1178" t="s">
        <v>675</v>
      </c>
      <c r="M285" s="1196">
        <v>28175000</v>
      </c>
      <c r="N285" s="1175" t="s">
        <v>744</v>
      </c>
      <c r="O285" s="1175" t="s">
        <v>1562</v>
      </c>
    </row>
    <row r="286" spans="1:15" s="1159" customFormat="1" ht="75" x14ac:dyDescent="0.3">
      <c r="A286" s="1172">
        <v>2022280</v>
      </c>
      <c r="B286" s="1172">
        <v>7658</v>
      </c>
      <c r="C286" s="1172" t="s">
        <v>679</v>
      </c>
      <c r="D286" s="1190" t="s">
        <v>689</v>
      </c>
      <c r="E286" s="1230">
        <v>80111600</v>
      </c>
      <c r="F286" s="1199" t="s">
        <v>940</v>
      </c>
      <c r="G286" s="1231">
        <v>44575</v>
      </c>
      <c r="H286" s="1231">
        <v>44575</v>
      </c>
      <c r="I286" s="1194" t="s">
        <v>1534</v>
      </c>
      <c r="J286" s="1195" t="s">
        <v>1535</v>
      </c>
      <c r="K286" s="1176" t="s">
        <v>674</v>
      </c>
      <c r="L286" s="1178" t="s">
        <v>675</v>
      </c>
      <c r="M286" s="1196">
        <v>28175000</v>
      </c>
      <c r="N286" s="1175" t="s">
        <v>744</v>
      </c>
      <c r="O286" s="1175" t="s">
        <v>1562</v>
      </c>
    </row>
    <row r="287" spans="1:15" s="1159" customFormat="1" ht="75" x14ac:dyDescent="0.3">
      <c r="A287" s="1172">
        <v>2022281</v>
      </c>
      <c r="B287" s="1172">
        <v>7658</v>
      </c>
      <c r="C287" s="1172" t="s">
        <v>679</v>
      </c>
      <c r="D287" s="1190" t="s">
        <v>689</v>
      </c>
      <c r="E287" s="1230">
        <v>80111600</v>
      </c>
      <c r="F287" s="1199" t="s">
        <v>940</v>
      </c>
      <c r="G287" s="1231">
        <v>44575</v>
      </c>
      <c r="H287" s="1231">
        <v>44575</v>
      </c>
      <c r="I287" s="1194" t="s">
        <v>1534</v>
      </c>
      <c r="J287" s="1195" t="s">
        <v>1535</v>
      </c>
      <c r="K287" s="1176" t="s">
        <v>674</v>
      </c>
      <c r="L287" s="1178" t="s">
        <v>675</v>
      </c>
      <c r="M287" s="1196">
        <v>28175000</v>
      </c>
      <c r="N287" s="1175" t="s">
        <v>744</v>
      </c>
      <c r="O287" s="1175" t="s">
        <v>1562</v>
      </c>
    </row>
    <row r="288" spans="1:15" s="1159" customFormat="1" ht="75" x14ac:dyDescent="0.3">
      <c r="A288" s="1172">
        <v>2022282</v>
      </c>
      <c r="B288" s="1172">
        <v>7658</v>
      </c>
      <c r="C288" s="1172" t="s">
        <v>679</v>
      </c>
      <c r="D288" s="1190" t="s">
        <v>689</v>
      </c>
      <c r="E288" s="1230">
        <v>80111600</v>
      </c>
      <c r="F288" s="1199" t="s">
        <v>1568</v>
      </c>
      <c r="G288" s="1231">
        <v>44575</v>
      </c>
      <c r="H288" s="1231">
        <v>44575</v>
      </c>
      <c r="I288" s="1194" t="s">
        <v>1534</v>
      </c>
      <c r="J288" s="1195" t="s">
        <v>1535</v>
      </c>
      <c r="K288" s="1176" t="s">
        <v>674</v>
      </c>
      <c r="L288" s="1178" t="s">
        <v>675</v>
      </c>
      <c r="M288" s="1196">
        <v>92000000</v>
      </c>
      <c r="N288" s="1175" t="s">
        <v>744</v>
      </c>
      <c r="O288" s="1175" t="s">
        <v>1562</v>
      </c>
    </row>
    <row r="289" spans="1:15" s="1159" customFormat="1" ht="75" x14ac:dyDescent="0.3">
      <c r="A289" s="1172">
        <v>2022283</v>
      </c>
      <c r="B289" s="1172">
        <v>7658</v>
      </c>
      <c r="C289" s="1172" t="s">
        <v>679</v>
      </c>
      <c r="D289" s="1190" t="s">
        <v>689</v>
      </c>
      <c r="E289" s="1230">
        <v>80111600</v>
      </c>
      <c r="F289" s="1199" t="s">
        <v>941</v>
      </c>
      <c r="G289" s="1231">
        <v>44575</v>
      </c>
      <c r="H289" s="1231">
        <v>44575</v>
      </c>
      <c r="I289" s="1194" t="s">
        <v>1534</v>
      </c>
      <c r="J289" s="1195" t="s">
        <v>1535</v>
      </c>
      <c r="K289" s="1176" t="s">
        <v>674</v>
      </c>
      <c r="L289" s="1178" t="s">
        <v>675</v>
      </c>
      <c r="M289" s="1196">
        <v>47150000</v>
      </c>
      <c r="N289" s="1175" t="s">
        <v>744</v>
      </c>
      <c r="O289" s="1175" t="s">
        <v>1562</v>
      </c>
    </row>
    <row r="290" spans="1:15" s="1159" customFormat="1" ht="75" x14ac:dyDescent="0.3">
      <c r="A290" s="1172">
        <v>2022284</v>
      </c>
      <c r="B290" s="1172">
        <v>7658</v>
      </c>
      <c r="C290" s="1172" t="s">
        <v>679</v>
      </c>
      <c r="D290" s="1190" t="s">
        <v>689</v>
      </c>
      <c r="E290" s="1230">
        <v>80111600</v>
      </c>
      <c r="F290" s="1199" t="s">
        <v>930</v>
      </c>
      <c r="G290" s="1231">
        <v>44575</v>
      </c>
      <c r="H290" s="1231">
        <v>44575</v>
      </c>
      <c r="I290" s="1194" t="s">
        <v>1534</v>
      </c>
      <c r="J290" s="1195" t="s">
        <v>1535</v>
      </c>
      <c r="K290" s="1176" t="s">
        <v>674</v>
      </c>
      <c r="L290" s="1178" t="s">
        <v>675</v>
      </c>
      <c r="M290" s="1196">
        <v>51750000</v>
      </c>
      <c r="N290" s="1175" t="s">
        <v>744</v>
      </c>
      <c r="O290" s="1175" t="s">
        <v>1562</v>
      </c>
    </row>
    <row r="291" spans="1:15" s="1159" customFormat="1" ht="75" x14ac:dyDescent="0.3">
      <c r="A291" s="1172">
        <v>2022285</v>
      </c>
      <c r="B291" s="1172">
        <v>7658</v>
      </c>
      <c r="C291" s="1172" t="s">
        <v>679</v>
      </c>
      <c r="D291" s="1190" t="s">
        <v>689</v>
      </c>
      <c r="E291" s="1230" t="s">
        <v>942</v>
      </c>
      <c r="F291" s="1199" t="s">
        <v>1569</v>
      </c>
      <c r="G291" s="1231">
        <v>44774</v>
      </c>
      <c r="H291" s="1231">
        <v>44774</v>
      </c>
      <c r="I291" s="1194" t="s">
        <v>1538</v>
      </c>
      <c r="J291" s="1195" t="s">
        <v>1503</v>
      </c>
      <c r="K291" s="1176" t="s">
        <v>674</v>
      </c>
      <c r="L291" s="1178" t="s">
        <v>944</v>
      </c>
      <c r="M291" s="1179">
        <v>100000000</v>
      </c>
      <c r="N291" s="1175" t="s">
        <v>744</v>
      </c>
      <c r="O291" s="1175" t="s">
        <v>1562</v>
      </c>
    </row>
    <row r="292" spans="1:15" s="1159" customFormat="1" ht="75" x14ac:dyDescent="0.3">
      <c r="A292" s="1172">
        <v>2022286</v>
      </c>
      <c r="B292" s="1172">
        <v>7658</v>
      </c>
      <c r="C292" s="1172" t="s">
        <v>679</v>
      </c>
      <c r="D292" s="1190" t="s">
        <v>689</v>
      </c>
      <c r="E292" s="1230" t="s">
        <v>946</v>
      </c>
      <c r="F292" s="1232" t="s">
        <v>1570</v>
      </c>
      <c r="G292" s="1231">
        <v>44774</v>
      </c>
      <c r="H292" s="1231">
        <v>44774</v>
      </c>
      <c r="I292" s="1194" t="s">
        <v>1538</v>
      </c>
      <c r="J292" s="1195" t="s">
        <v>1503</v>
      </c>
      <c r="K292" s="1176" t="s">
        <v>674</v>
      </c>
      <c r="L292" s="1233" t="s">
        <v>948</v>
      </c>
      <c r="M292" s="1179">
        <v>150000000</v>
      </c>
      <c r="N292" s="1175" t="s">
        <v>744</v>
      </c>
      <c r="O292" s="1175" t="s">
        <v>1562</v>
      </c>
    </row>
    <row r="293" spans="1:15" s="1159" customFormat="1" ht="75" x14ac:dyDescent="0.3">
      <c r="A293" s="1172">
        <v>2022287</v>
      </c>
      <c r="B293" s="1172">
        <v>7658</v>
      </c>
      <c r="C293" s="1172" t="s">
        <v>679</v>
      </c>
      <c r="D293" s="1190" t="s">
        <v>689</v>
      </c>
      <c r="E293" s="1230" t="s">
        <v>1571</v>
      </c>
      <c r="F293" s="1232" t="s">
        <v>950</v>
      </c>
      <c r="G293" s="1231">
        <v>44713</v>
      </c>
      <c r="H293" s="1231">
        <v>44713</v>
      </c>
      <c r="I293" s="1194" t="s">
        <v>1537</v>
      </c>
      <c r="J293" s="1195" t="s">
        <v>1503</v>
      </c>
      <c r="K293" s="1176" t="s">
        <v>674</v>
      </c>
      <c r="L293" s="1233" t="s">
        <v>948</v>
      </c>
      <c r="M293" s="1179">
        <v>100000000</v>
      </c>
      <c r="N293" s="1175" t="s">
        <v>744</v>
      </c>
      <c r="O293" s="1175" t="s">
        <v>1562</v>
      </c>
    </row>
    <row r="294" spans="1:15" s="1159" customFormat="1" ht="75" x14ac:dyDescent="0.3">
      <c r="A294" s="1172">
        <v>2022288</v>
      </c>
      <c r="B294" s="1172">
        <v>7658</v>
      </c>
      <c r="C294" s="1172" t="s">
        <v>679</v>
      </c>
      <c r="D294" s="1190" t="s">
        <v>689</v>
      </c>
      <c r="E294" s="1230" t="s">
        <v>1572</v>
      </c>
      <c r="F294" s="1232" t="s">
        <v>1573</v>
      </c>
      <c r="G294" s="1231">
        <v>44743</v>
      </c>
      <c r="H294" s="1231">
        <v>44743</v>
      </c>
      <c r="I294" s="1194" t="s">
        <v>1537</v>
      </c>
      <c r="J294" s="1195" t="s">
        <v>1503</v>
      </c>
      <c r="K294" s="1176" t="s">
        <v>674</v>
      </c>
      <c r="L294" s="1233" t="s">
        <v>948</v>
      </c>
      <c r="M294" s="1179">
        <v>80000000</v>
      </c>
      <c r="N294" s="1175" t="s">
        <v>744</v>
      </c>
      <c r="O294" s="1175" t="s">
        <v>1562</v>
      </c>
    </row>
    <row r="295" spans="1:15" s="1159" customFormat="1" ht="105" x14ac:dyDescent="0.3">
      <c r="A295" s="1172">
        <v>2022289</v>
      </c>
      <c r="B295" s="1172">
        <v>7658</v>
      </c>
      <c r="C295" s="1172" t="s">
        <v>679</v>
      </c>
      <c r="D295" s="1190" t="s">
        <v>689</v>
      </c>
      <c r="E295" s="1230" t="s">
        <v>1574</v>
      </c>
      <c r="F295" s="1232" t="s">
        <v>1575</v>
      </c>
      <c r="G295" s="1231">
        <v>44621</v>
      </c>
      <c r="H295" s="1231">
        <v>44621</v>
      </c>
      <c r="I295" s="1194" t="s">
        <v>1541</v>
      </c>
      <c r="J295" s="1195" t="s">
        <v>1503</v>
      </c>
      <c r="K295" s="1176" t="s">
        <v>674</v>
      </c>
      <c r="L295" s="1233" t="s">
        <v>948</v>
      </c>
      <c r="M295" s="1179">
        <v>70000000</v>
      </c>
      <c r="N295" s="1175" t="s">
        <v>744</v>
      </c>
      <c r="O295" s="1175" t="s">
        <v>1562</v>
      </c>
    </row>
    <row r="296" spans="1:15" s="1159" customFormat="1" ht="75" x14ac:dyDescent="0.3">
      <c r="A296" s="1172">
        <v>2022290</v>
      </c>
      <c r="B296" s="1172">
        <v>7658</v>
      </c>
      <c r="C296" s="1172" t="s">
        <v>679</v>
      </c>
      <c r="D296" s="1190" t="s">
        <v>689</v>
      </c>
      <c r="E296" s="1230" t="s">
        <v>951</v>
      </c>
      <c r="F296" s="1232" t="s">
        <v>952</v>
      </c>
      <c r="G296" s="1231">
        <v>44593</v>
      </c>
      <c r="H296" s="1231">
        <v>44593</v>
      </c>
      <c r="I296" s="1194" t="s">
        <v>1498</v>
      </c>
      <c r="J296" s="1195" t="s">
        <v>1503</v>
      </c>
      <c r="K296" s="1176" t="s">
        <v>674</v>
      </c>
      <c r="L296" s="1233" t="s">
        <v>948</v>
      </c>
      <c r="M296" s="1179">
        <v>20000000</v>
      </c>
      <c r="N296" s="1175" t="s">
        <v>744</v>
      </c>
      <c r="O296" s="1175" t="s">
        <v>1562</v>
      </c>
    </row>
    <row r="297" spans="1:15" s="1159" customFormat="1" ht="60" x14ac:dyDescent="0.3">
      <c r="A297" s="1172">
        <v>2022291</v>
      </c>
      <c r="B297" s="1172">
        <v>7658</v>
      </c>
      <c r="C297" s="1172" t="s">
        <v>679</v>
      </c>
      <c r="D297" s="1190" t="s">
        <v>689</v>
      </c>
      <c r="E297" s="1230" t="s">
        <v>953</v>
      </c>
      <c r="F297" s="1232" t="s">
        <v>1576</v>
      </c>
      <c r="G297" s="1231">
        <v>44593</v>
      </c>
      <c r="H297" s="1231">
        <v>44593</v>
      </c>
      <c r="I297" s="1194" t="s">
        <v>1541</v>
      </c>
      <c r="J297" s="1195" t="s">
        <v>1577</v>
      </c>
      <c r="K297" s="1176" t="s">
        <v>770</v>
      </c>
      <c r="L297" s="1178" t="s">
        <v>955</v>
      </c>
      <c r="M297" s="1179">
        <v>900000000</v>
      </c>
      <c r="N297" s="1175" t="s">
        <v>722</v>
      </c>
      <c r="O297" s="1175" t="s">
        <v>1578</v>
      </c>
    </row>
    <row r="298" spans="1:15" s="1159" customFormat="1" ht="75" x14ac:dyDescent="0.3">
      <c r="A298" s="1172">
        <v>2022292</v>
      </c>
      <c r="B298" s="1172">
        <v>7658</v>
      </c>
      <c r="C298" s="1172" t="s">
        <v>679</v>
      </c>
      <c r="D298" s="1190" t="s">
        <v>689</v>
      </c>
      <c r="E298" s="1230" t="s">
        <v>956</v>
      </c>
      <c r="F298" s="1232" t="s">
        <v>1579</v>
      </c>
      <c r="G298" s="1231">
        <v>44593</v>
      </c>
      <c r="H298" s="1231">
        <v>44593</v>
      </c>
      <c r="I298" s="1194" t="s">
        <v>1498</v>
      </c>
      <c r="J298" s="1195" t="s">
        <v>1577</v>
      </c>
      <c r="K298" s="1176" t="s">
        <v>770</v>
      </c>
      <c r="L298" s="1178" t="s">
        <v>955</v>
      </c>
      <c r="M298" s="1179">
        <v>180000000</v>
      </c>
      <c r="N298" s="1175" t="s">
        <v>722</v>
      </c>
      <c r="O298" s="1175" t="s">
        <v>1578</v>
      </c>
    </row>
    <row r="299" spans="1:15" s="1159" customFormat="1" ht="60" x14ac:dyDescent="0.3">
      <c r="A299" s="1172">
        <v>2022293</v>
      </c>
      <c r="B299" s="1172">
        <v>7658</v>
      </c>
      <c r="C299" s="1172" t="s">
        <v>679</v>
      </c>
      <c r="D299" s="1190" t="s">
        <v>689</v>
      </c>
      <c r="E299" s="1230" t="s">
        <v>953</v>
      </c>
      <c r="F299" s="1232" t="s">
        <v>1580</v>
      </c>
      <c r="G299" s="1231">
        <v>44593</v>
      </c>
      <c r="H299" s="1231">
        <v>44593</v>
      </c>
      <c r="I299" s="1194" t="s">
        <v>1541</v>
      </c>
      <c r="J299" s="1195" t="s">
        <v>1577</v>
      </c>
      <c r="K299" s="1176" t="s">
        <v>770</v>
      </c>
      <c r="L299" s="1178" t="s">
        <v>955</v>
      </c>
      <c r="M299" s="1179">
        <v>450000000</v>
      </c>
      <c r="N299" s="1175" t="s">
        <v>722</v>
      </c>
      <c r="O299" s="1175" t="s">
        <v>1578</v>
      </c>
    </row>
    <row r="300" spans="1:15" s="1159" customFormat="1" ht="60" x14ac:dyDescent="0.3">
      <c r="A300" s="1172">
        <v>2022294</v>
      </c>
      <c r="B300" s="1172">
        <v>7658</v>
      </c>
      <c r="C300" s="1172" t="s">
        <v>679</v>
      </c>
      <c r="D300" s="1190" t="s">
        <v>689</v>
      </c>
      <c r="E300" s="1234" t="s">
        <v>956</v>
      </c>
      <c r="F300" s="1232" t="s">
        <v>1581</v>
      </c>
      <c r="G300" s="1231">
        <v>44593</v>
      </c>
      <c r="H300" s="1231">
        <v>44593</v>
      </c>
      <c r="I300" s="1194" t="s">
        <v>1498</v>
      </c>
      <c r="J300" s="1195" t="s">
        <v>1577</v>
      </c>
      <c r="K300" s="1176" t="s">
        <v>770</v>
      </c>
      <c r="L300" s="1178" t="s">
        <v>955</v>
      </c>
      <c r="M300" s="1179">
        <v>90000000</v>
      </c>
      <c r="N300" s="1175" t="s">
        <v>722</v>
      </c>
      <c r="O300" s="1175" t="s">
        <v>1578</v>
      </c>
    </row>
    <row r="301" spans="1:15" s="1159" customFormat="1" ht="75" x14ac:dyDescent="0.3">
      <c r="A301" s="1172">
        <v>2022295</v>
      </c>
      <c r="B301" s="1172">
        <v>7658</v>
      </c>
      <c r="C301" s="1172" t="s">
        <v>679</v>
      </c>
      <c r="D301" s="1190" t="s">
        <v>689</v>
      </c>
      <c r="E301" s="1230" t="s">
        <v>958</v>
      </c>
      <c r="F301" s="1232" t="s">
        <v>959</v>
      </c>
      <c r="G301" s="1231">
        <v>44593</v>
      </c>
      <c r="H301" s="1231">
        <v>44593</v>
      </c>
      <c r="I301" s="1194" t="s">
        <v>1537</v>
      </c>
      <c r="J301" s="1195" t="s">
        <v>1503</v>
      </c>
      <c r="K301" s="1176" t="s">
        <v>674</v>
      </c>
      <c r="L301" s="1233" t="s">
        <v>948</v>
      </c>
      <c r="M301" s="1179">
        <v>70000000</v>
      </c>
      <c r="N301" s="1175" t="s">
        <v>744</v>
      </c>
      <c r="O301" s="1175" t="s">
        <v>1562</v>
      </c>
    </row>
    <row r="302" spans="1:15" s="1159" customFormat="1" ht="75" x14ac:dyDescent="0.3">
      <c r="A302" s="1172">
        <v>2022296</v>
      </c>
      <c r="B302" s="1172">
        <v>7658</v>
      </c>
      <c r="C302" s="1172" t="s">
        <v>679</v>
      </c>
      <c r="D302" s="1190" t="s">
        <v>689</v>
      </c>
      <c r="E302" s="1230" t="s">
        <v>1582</v>
      </c>
      <c r="F302" s="1232" t="s">
        <v>1583</v>
      </c>
      <c r="G302" s="1231">
        <v>44652</v>
      </c>
      <c r="H302" s="1231">
        <v>44652</v>
      </c>
      <c r="I302" s="1194" t="s">
        <v>1549</v>
      </c>
      <c r="J302" s="1195" t="s">
        <v>1518</v>
      </c>
      <c r="K302" s="1176" t="s">
        <v>674</v>
      </c>
      <c r="L302" s="1178" t="s">
        <v>1584</v>
      </c>
      <c r="M302" s="1179">
        <v>300000000</v>
      </c>
      <c r="N302" s="1175" t="s">
        <v>744</v>
      </c>
      <c r="O302" s="1175" t="s">
        <v>1562</v>
      </c>
    </row>
    <row r="303" spans="1:15" s="1159" customFormat="1" ht="75" x14ac:dyDescent="0.3">
      <c r="A303" s="1172">
        <v>2022297</v>
      </c>
      <c r="B303" s="1172">
        <v>7658</v>
      </c>
      <c r="C303" s="1172" t="s">
        <v>679</v>
      </c>
      <c r="D303" s="1190" t="s">
        <v>689</v>
      </c>
      <c r="E303" s="1191" t="s">
        <v>960</v>
      </c>
      <c r="F303" s="1232" t="s">
        <v>1585</v>
      </c>
      <c r="G303" s="1231">
        <v>44593</v>
      </c>
      <c r="H303" s="1231">
        <v>44593</v>
      </c>
      <c r="I303" s="1194" t="s">
        <v>1498</v>
      </c>
      <c r="J303" s="1195" t="s">
        <v>1586</v>
      </c>
      <c r="K303" s="1176" t="s">
        <v>674</v>
      </c>
      <c r="L303" s="1178" t="s">
        <v>955</v>
      </c>
      <c r="M303" s="1179">
        <v>1119870000</v>
      </c>
      <c r="N303" s="1175" t="s">
        <v>744</v>
      </c>
      <c r="O303" s="1175" t="s">
        <v>1562</v>
      </c>
    </row>
    <row r="304" spans="1:15" s="1159" customFormat="1" ht="75" x14ac:dyDescent="0.3">
      <c r="A304" s="1172">
        <v>2022298</v>
      </c>
      <c r="B304" s="1172">
        <v>7658</v>
      </c>
      <c r="C304" s="1172" t="s">
        <v>679</v>
      </c>
      <c r="D304" s="1190" t="s">
        <v>689</v>
      </c>
      <c r="E304" s="1191" t="s">
        <v>956</v>
      </c>
      <c r="F304" s="1232" t="s">
        <v>962</v>
      </c>
      <c r="G304" s="1231">
        <v>44593</v>
      </c>
      <c r="H304" s="1231">
        <v>44593</v>
      </c>
      <c r="I304" s="1194" t="s">
        <v>1498</v>
      </c>
      <c r="J304" s="1195" t="s">
        <v>1577</v>
      </c>
      <c r="K304" s="1176" t="s">
        <v>674</v>
      </c>
      <c r="L304" s="1178" t="s">
        <v>955</v>
      </c>
      <c r="M304" s="1179">
        <v>420000000</v>
      </c>
      <c r="N304" s="1175" t="s">
        <v>744</v>
      </c>
      <c r="O304" s="1175" t="s">
        <v>1562</v>
      </c>
    </row>
    <row r="305" spans="1:15" s="1159" customFormat="1" ht="75" x14ac:dyDescent="0.3">
      <c r="A305" s="1172">
        <v>2022299</v>
      </c>
      <c r="B305" s="1172">
        <v>7658</v>
      </c>
      <c r="C305" s="1172" t="s">
        <v>679</v>
      </c>
      <c r="D305" s="1190" t="s">
        <v>689</v>
      </c>
      <c r="E305" s="1230" t="s">
        <v>1587</v>
      </c>
      <c r="F305" s="1232" t="s">
        <v>1588</v>
      </c>
      <c r="G305" s="1231">
        <v>44621</v>
      </c>
      <c r="H305" s="1231">
        <v>44621</v>
      </c>
      <c r="I305" s="1194" t="s">
        <v>1589</v>
      </c>
      <c r="J305" s="1195" t="s">
        <v>1590</v>
      </c>
      <c r="K305" s="1176" t="s">
        <v>770</v>
      </c>
      <c r="L305" s="1178" t="s">
        <v>1584</v>
      </c>
      <c r="M305" s="1179">
        <v>500000000</v>
      </c>
      <c r="N305" s="1175" t="s">
        <v>744</v>
      </c>
      <c r="O305" s="1175" t="s">
        <v>1562</v>
      </c>
    </row>
    <row r="306" spans="1:15" s="1159" customFormat="1" ht="75" x14ac:dyDescent="0.3">
      <c r="A306" s="1172">
        <v>2022300</v>
      </c>
      <c r="B306" s="1172">
        <v>7658</v>
      </c>
      <c r="C306" s="1172" t="s">
        <v>679</v>
      </c>
      <c r="D306" s="1190" t="s">
        <v>689</v>
      </c>
      <c r="E306" s="1234" t="s">
        <v>963</v>
      </c>
      <c r="F306" s="1235" t="s">
        <v>1591</v>
      </c>
      <c r="G306" s="1231">
        <v>44621</v>
      </c>
      <c r="H306" s="1231">
        <v>44621</v>
      </c>
      <c r="I306" s="1194" t="s">
        <v>1540</v>
      </c>
      <c r="J306" s="1195" t="s">
        <v>1590</v>
      </c>
      <c r="K306" s="1176" t="s">
        <v>770</v>
      </c>
      <c r="L306" s="1178" t="s">
        <v>1584</v>
      </c>
      <c r="M306" s="1179">
        <v>300000000</v>
      </c>
      <c r="N306" s="1175" t="s">
        <v>744</v>
      </c>
      <c r="O306" s="1175" t="s">
        <v>1562</v>
      </c>
    </row>
    <row r="307" spans="1:15" s="1159" customFormat="1" ht="60" x14ac:dyDescent="0.3">
      <c r="A307" s="1172">
        <v>2022301</v>
      </c>
      <c r="B307" s="1172">
        <v>7658</v>
      </c>
      <c r="C307" s="1172" t="s">
        <v>679</v>
      </c>
      <c r="D307" s="1190" t="s">
        <v>689</v>
      </c>
      <c r="E307" s="1191" t="s">
        <v>97</v>
      </c>
      <c r="F307" s="1232" t="s">
        <v>1001</v>
      </c>
      <c r="G307" s="1231">
        <v>44621</v>
      </c>
      <c r="H307" s="1231">
        <v>44621</v>
      </c>
      <c r="I307" s="1212" t="s">
        <v>97</v>
      </c>
      <c r="J307" s="1195" t="s">
        <v>1546</v>
      </c>
      <c r="K307" s="1176" t="s">
        <v>674</v>
      </c>
      <c r="L307" s="1178" t="s">
        <v>955</v>
      </c>
      <c r="M307" s="1179">
        <v>170000000</v>
      </c>
      <c r="N307" s="1178" t="s">
        <v>722</v>
      </c>
      <c r="O307" s="1178" t="s">
        <v>1578</v>
      </c>
    </row>
    <row r="308" spans="1:15" s="1159" customFormat="1" ht="75" x14ac:dyDescent="0.3">
      <c r="A308" s="1182">
        <v>2022302</v>
      </c>
      <c r="B308" s="1182">
        <v>7658</v>
      </c>
      <c r="C308" s="1182" t="s">
        <v>679</v>
      </c>
      <c r="D308" s="1227" t="s">
        <v>689</v>
      </c>
      <c r="E308" s="1236" t="s">
        <v>965</v>
      </c>
      <c r="F308" s="1237" t="s">
        <v>966</v>
      </c>
      <c r="G308" s="1238">
        <v>44652</v>
      </c>
      <c r="H308" s="1238">
        <v>44652</v>
      </c>
      <c r="I308" s="1239" t="s">
        <v>1541</v>
      </c>
      <c r="J308" s="1240" t="s">
        <v>1586</v>
      </c>
      <c r="K308" s="1184" t="s">
        <v>674</v>
      </c>
      <c r="L308" s="1183" t="s">
        <v>967</v>
      </c>
      <c r="M308" s="1186">
        <v>308129000</v>
      </c>
      <c r="N308" s="1185" t="s">
        <v>744</v>
      </c>
      <c r="O308" s="1185" t="s">
        <v>1562</v>
      </c>
    </row>
    <row r="309" spans="1:15" s="1159" customFormat="1" ht="75" x14ac:dyDescent="0.3">
      <c r="A309" s="1172">
        <v>2022303</v>
      </c>
      <c r="B309" s="1172">
        <v>7658</v>
      </c>
      <c r="C309" s="1172" t="s">
        <v>679</v>
      </c>
      <c r="D309" s="1190" t="s">
        <v>689</v>
      </c>
      <c r="E309" s="1234" t="s">
        <v>968</v>
      </c>
      <c r="F309" s="1235" t="s">
        <v>1154</v>
      </c>
      <c r="G309" s="1231">
        <v>44575</v>
      </c>
      <c r="H309" s="1231">
        <v>44575</v>
      </c>
      <c r="I309" s="1194" t="s">
        <v>1593</v>
      </c>
      <c r="J309" s="1195" t="s">
        <v>1564</v>
      </c>
      <c r="K309" s="1176" t="s">
        <v>674</v>
      </c>
      <c r="L309" s="1178" t="s">
        <v>970</v>
      </c>
      <c r="M309" s="1179">
        <v>10600000</v>
      </c>
      <c r="N309" s="1175" t="s">
        <v>744</v>
      </c>
      <c r="O309" s="1175" t="s">
        <v>1562</v>
      </c>
    </row>
    <row r="310" spans="1:15" s="1159" customFormat="1" ht="75" x14ac:dyDescent="0.3">
      <c r="A310" s="1172">
        <v>2022304</v>
      </c>
      <c r="B310" s="1172">
        <v>7658</v>
      </c>
      <c r="C310" s="1172" t="s">
        <v>679</v>
      </c>
      <c r="D310" s="1190" t="s">
        <v>689</v>
      </c>
      <c r="E310" s="1234" t="s">
        <v>968</v>
      </c>
      <c r="F310" s="1235" t="s">
        <v>971</v>
      </c>
      <c r="G310" s="1231">
        <v>44606</v>
      </c>
      <c r="H310" s="1231">
        <v>44606</v>
      </c>
      <c r="I310" s="1194" t="s">
        <v>1563</v>
      </c>
      <c r="J310" s="1195" t="s">
        <v>1564</v>
      </c>
      <c r="K310" s="1176" t="s">
        <v>674</v>
      </c>
      <c r="L310" s="1178" t="s">
        <v>970</v>
      </c>
      <c r="M310" s="1179">
        <v>109400000</v>
      </c>
      <c r="N310" s="1175" t="s">
        <v>744</v>
      </c>
      <c r="O310" s="1175" t="s">
        <v>1562</v>
      </c>
    </row>
    <row r="311" spans="1:15" s="1159" customFormat="1" ht="60" x14ac:dyDescent="0.3">
      <c r="A311" s="1172">
        <v>2022305</v>
      </c>
      <c r="B311" s="1172">
        <v>7658</v>
      </c>
      <c r="C311" s="1172" t="s">
        <v>679</v>
      </c>
      <c r="D311" s="1190" t="s">
        <v>689</v>
      </c>
      <c r="E311" s="1234" t="s">
        <v>1594</v>
      </c>
      <c r="F311" s="1235" t="s">
        <v>1595</v>
      </c>
      <c r="G311" s="1231">
        <v>44606</v>
      </c>
      <c r="H311" s="1231">
        <v>44606</v>
      </c>
      <c r="I311" s="1194" t="s">
        <v>1538</v>
      </c>
      <c r="J311" s="1195" t="s">
        <v>1503</v>
      </c>
      <c r="K311" s="1176" t="s">
        <v>770</v>
      </c>
      <c r="L311" s="1178" t="s">
        <v>955</v>
      </c>
      <c r="M311" s="1179">
        <v>205000000</v>
      </c>
      <c r="N311" s="1175" t="s">
        <v>722</v>
      </c>
      <c r="O311" s="1175" t="s">
        <v>1578</v>
      </c>
    </row>
    <row r="312" spans="1:15" s="1159" customFormat="1" ht="90" x14ac:dyDescent="0.3">
      <c r="A312" s="1172">
        <v>2022306</v>
      </c>
      <c r="B312" s="1172">
        <v>7658</v>
      </c>
      <c r="C312" s="1172" t="s">
        <v>679</v>
      </c>
      <c r="D312" s="1190" t="s">
        <v>689</v>
      </c>
      <c r="E312" s="1234" t="s">
        <v>956</v>
      </c>
      <c r="F312" s="1235" t="s">
        <v>1596</v>
      </c>
      <c r="G312" s="1231">
        <v>44606</v>
      </c>
      <c r="H312" s="1231">
        <v>44606</v>
      </c>
      <c r="I312" s="1194" t="s">
        <v>1549</v>
      </c>
      <c r="J312" s="1195" t="s">
        <v>1577</v>
      </c>
      <c r="K312" s="1176" t="s">
        <v>770</v>
      </c>
      <c r="L312" s="1178" t="s">
        <v>955</v>
      </c>
      <c r="M312" s="1179">
        <v>21000000</v>
      </c>
      <c r="N312" s="1175" t="s">
        <v>722</v>
      </c>
      <c r="O312" s="1175" t="s">
        <v>1578</v>
      </c>
    </row>
    <row r="313" spans="1:15" s="1159" customFormat="1" ht="60" x14ac:dyDescent="0.3">
      <c r="A313" s="1172">
        <v>2022307</v>
      </c>
      <c r="B313" s="1172">
        <v>7658</v>
      </c>
      <c r="C313" s="1172" t="s">
        <v>679</v>
      </c>
      <c r="D313" s="1190" t="s">
        <v>689</v>
      </c>
      <c r="E313" s="1230" t="s">
        <v>958</v>
      </c>
      <c r="F313" s="1235" t="s">
        <v>1597</v>
      </c>
      <c r="G313" s="1231">
        <v>44634</v>
      </c>
      <c r="H313" s="1231">
        <v>44634</v>
      </c>
      <c r="I313" s="1194" t="s">
        <v>1550</v>
      </c>
      <c r="J313" s="1195" t="s">
        <v>1586</v>
      </c>
      <c r="K313" s="1176" t="s">
        <v>770</v>
      </c>
      <c r="L313" s="1178" t="s">
        <v>955</v>
      </c>
      <c r="M313" s="1179">
        <v>1000000000</v>
      </c>
      <c r="N313" s="1175" t="s">
        <v>722</v>
      </c>
      <c r="O313" s="1175" t="s">
        <v>1578</v>
      </c>
    </row>
    <row r="314" spans="1:15" s="1159" customFormat="1" ht="60" x14ac:dyDescent="0.3">
      <c r="A314" s="1172">
        <v>2022308</v>
      </c>
      <c r="B314" s="1172">
        <v>7658</v>
      </c>
      <c r="C314" s="1172" t="s">
        <v>679</v>
      </c>
      <c r="D314" s="1190" t="s">
        <v>689</v>
      </c>
      <c r="E314" s="1234" t="s">
        <v>956</v>
      </c>
      <c r="F314" s="1235" t="s">
        <v>1598</v>
      </c>
      <c r="G314" s="1231">
        <v>44634</v>
      </c>
      <c r="H314" s="1231">
        <v>44634</v>
      </c>
      <c r="I314" s="1194" t="s">
        <v>1599</v>
      </c>
      <c r="J314" s="1195" t="s">
        <v>1577</v>
      </c>
      <c r="K314" s="1176" t="s">
        <v>770</v>
      </c>
      <c r="L314" s="1178" t="s">
        <v>955</v>
      </c>
      <c r="M314" s="1179">
        <v>345000000</v>
      </c>
      <c r="N314" s="1175" t="s">
        <v>722</v>
      </c>
      <c r="O314" s="1175" t="s">
        <v>1578</v>
      </c>
    </row>
    <row r="315" spans="1:15" s="1159" customFormat="1" ht="60" x14ac:dyDescent="0.3">
      <c r="A315" s="1172">
        <v>2022309</v>
      </c>
      <c r="B315" s="1172">
        <v>7658</v>
      </c>
      <c r="C315" s="1172" t="s">
        <v>679</v>
      </c>
      <c r="D315" s="1190" t="s">
        <v>689</v>
      </c>
      <c r="E315" s="1230" t="s">
        <v>1600</v>
      </c>
      <c r="F315" s="1232" t="s">
        <v>1601</v>
      </c>
      <c r="G315" s="1231">
        <v>44695</v>
      </c>
      <c r="H315" s="1231">
        <v>44695</v>
      </c>
      <c r="I315" s="1194" t="s">
        <v>1537</v>
      </c>
      <c r="J315" s="1195" t="s">
        <v>1586</v>
      </c>
      <c r="K315" s="1176" t="s">
        <v>770</v>
      </c>
      <c r="L315" s="1178" t="s">
        <v>955</v>
      </c>
      <c r="M315" s="1196">
        <v>175000000</v>
      </c>
      <c r="N315" s="1175" t="s">
        <v>759</v>
      </c>
      <c r="O315" s="1175" t="s">
        <v>1602</v>
      </c>
    </row>
    <row r="316" spans="1:15" s="1159" customFormat="1" ht="75" x14ac:dyDescent="0.3">
      <c r="A316" s="1172">
        <v>2022310</v>
      </c>
      <c r="B316" s="1172">
        <v>7658</v>
      </c>
      <c r="C316" s="1172" t="s">
        <v>679</v>
      </c>
      <c r="D316" s="1190" t="s">
        <v>695</v>
      </c>
      <c r="E316" s="1230">
        <v>80111600</v>
      </c>
      <c r="F316" s="1199" t="s">
        <v>979</v>
      </c>
      <c r="G316" s="1193" t="s">
        <v>1495</v>
      </c>
      <c r="H316" s="1212" t="s">
        <v>1495</v>
      </c>
      <c r="I316" s="1194" t="s">
        <v>1538</v>
      </c>
      <c r="J316" s="1195" t="s">
        <v>1535</v>
      </c>
      <c r="K316" s="1176" t="s">
        <v>674</v>
      </c>
      <c r="L316" s="1241" t="s">
        <v>675</v>
      </c>
      <c r="M316" s="1196">
        <v>30429000</v>
      </c>
      <c r="N316" s="1175" t="s">
        <v>1603</v>
      </c>
      <c r="O316" s="1175" t="s">
        <v>1604</v>
      </c>
    </row>
    <row r="317" spans="1:15" s="1159" customFormat="1" ht="75" x14ac:dyDescent="0.3">
      <c r="A317" s="1172">
        <v>2022311</v>
      </c>
      <c r="B317" s="1172">
        <v>7658</v>
      </c>
      <c r="C317" s="1172" t="s">
        <v>679</v>
      </c>
      <c r="D317" s="1190" t="s">
        <v>695</v>
      </c>
      <c r="E317" s="1230">
        <v>80111600</v>
      </c>
      <c r="F317" s="1199" t="s">
        <v>980</v>
      </c>
      <c r="G317" s="1193" t="s">
        <v>1495</v>
      </c>
      <c r="H317" s="1212" t="s">
        <v>1495</v>
      </c>
      <c r="I317" s="1194" t="s">
        <v>1498</v>
      </c>
      <c r="J317" s="1195" t="s">
        <v>1535</v>
      </c>
      <c r="K317" s="1176" t="s">
        <v>674</v>
      </c>
      <c r="L317" s="1241" t="s">
        <v>675</v>
      </c>
      <c r="M317" s="1196">
        <v>26950000</v>
      </c>
      <c r="N317" s="1175" t="s">
        <v>1603</v>
      </c>
      <c r="O317" s="1175" t="s">
        <v>1604</v>
      </c>
    </row>
    <row r="318" spans="1:15" s="1159" customFormat="1" ht="75" x14ac:dyDescent="0.3">
      <c r="A318" s="1172">
        <v>2022312</v>
      </c>
      <c r="B318" s="1172">
        <v>7658</v>
      </c>
      <c r="C318" s="1172" t="s">
        <v>679</v>
      </c>
      <c r="D318" s="1190" t="s">
        <v>695</v>
      </c>
      <c r="E318" s="1230">
        <v>80111600</v>
      </c>
      <c r="F318" s="1199" t="s">
        <v>980</v>
      </c>
      <c r="G318" s="1193" t="s">
        <v>1495</v>
      </c>
      <c r="H318" s="1212" t="s">
        <v>1495</v>
      </c>
      <c r="I318" s="1194" t="s">
        <v>1498</v>
      </c>
      <c r="J318" s="1195" t="s">
        <v>1535</v>
      </c>
      <c r="K318" s="1176" t="s">
        <v>674</v>
      </c>
      <c r="L318" s="1241" t="s">
        <v>675</v>
      </c>
      <c r="M318" s="1196">
        <v>26950000</v>
      </c>
      <c r="N318" s="1175" t="s">
        <v>1603</v>
      </c>
      <c r="O318" s="1175" t="s">
        <v>1604</v>
      </c>
    </row>
    <row r="319" spans="1:15" s="1159" customFormat="1" ht="75" x14ac:dyDescent="0.3">
      <c r="A319" s="1172">
        <v>2022313</v>
      </c>
      <c r="B319" s="1172">
        <v>7658</v>
      </c>
      <c r="C319" s="1172" t="s">
        <v>679</v>
      </c>
      <c r="D319" s="1190" t="s">
        <v>695</v>
      </c>
      <c r="E319" s="1230">
        <v>80111600</v>
      </c>
      <c r="F319" s="1199" t="s">
        <v>981</v>
      </c>
      <c r="G319" s="1193" t="s">
        <v>1495</v>
      </c>
      <c r="H319" s="1212" t="s">
        <v>1495</v>
      </c>
      <c r="I319" s="1194" t="s">
        <v>1498</v>
      </c>
      <c r="J319" s="1195" t="s">
        <v>1535</v>
      </c>
      <c r="K319" s="1176" t="s">
        <v>674</v>
      </c>
      <c r="L319" s="1241" t="s">
        <v>675</v>
      </c>
      <c r="M319" s="1196">
        <v>59202000</v>
      </c>
      <c r="N319" s="1175" t="s">
        <v>1603</v>
      </c>
      <c r="O319" s="1175" t="s">
        <v>1604</v>
      </c>
    </row>
    <row r="320" spans="1:15" s="1159" customFormat="1" ht="75" x14ac:dyDescent="0.3">
      <c r="A320" s="1172">
        <v>2022314</v>
      </c>
      <c r="B320" s="1172">
        <v>7658</v>
      </c>
      <c r="C320" s="1172" t="s">
        <v>679</v>
      </c>
      <c r="D320" s="1190" t="s">
        <v>695</v>
      </c>
      <c r="E320" s="1230">
        <v>80111600</v>
      </c>
      <c r="F320" s="1199" t="s">
        <v>982</v>
      </c>
      <c r="G320" s="1193" t="s">
        <v>1495</v>
      </c>
      <c r="H320" s="1212" t="s">
        <v>1495</v>
      </c>
      <c r="I320" s="1194" t="s">
        <v>1498</v>
      </c>
      <c r="J320" s="1195" t="s">
        <v>1535</v>
      </c>
      <c r="K320" s="1176" t="s">
        <v>674</v>
      </c>
      <c r="L320" s="1241" t="s">
        <v>675</v>
      </c>
      <c r="M320" s="1196">
        <v>36850000</v>
      </c>
      <c r="N320" s="1175" t="s">
        <v>1603</v>
      </c>
      <c r="O320" s="1175" t="s">
        <v>1604</v>
      </c>
    </row>
    <row r="321" spans="1:18" s="1159" customFormat="1" ht="75" x14ac:dyDescent="0.3">
      <c r="A321" s="1172">
        <v>2022315</v>
      </c>
      <c r="B321" s="1172">
        <v>7658</v>
      </c>
      <c r="C321" s="1172" t="s">
        <v>679</v>
      </c>
      <c r="D321" s="1190" t="s">
        <v>695</v>
      </c>
      <c r="E321" s="1230">
        <v>80111600</v>
      </c>
      <c r="F321" s="1199" t="s">
        <v>983</v>
      </c>
      <c r="G321" s="1193" t="s">
        <v>1495</v>
      </c>
      <c r="H321" s="1212" t="s">
        <v>1495</v>
      </c>
      <c r="I321" s="1194" t="s">
        <v>1498</v>
      </c>
      <c r="J321" s="1195" t="s">
        <v>1535</v>
      </c>
      <c r="K321" s="1176" t="s">
        <v>674</v>
      </c>
      <c r="L321" s="1241" t="s">
        <v>675</v>
      </c>
      <c r="M321" s="1196">
        <v>47817000</v>
      </c>
      <c r="N321" s="1175" t="s">
        <v>1603</v>
      </c>
      <c r="O321" s="1175" t="s">
        <v>1604</v>
      </c>
    </row>
    <row r="322" spans="1:18" s="1159" customFormat="1" ht="75" x14ac:dyDescent="0.3">
      <c r="A322" s="1172">
        <v>2022316</v>
      </c>
      <c r="B322" s="1172">
        <v>7658</v>
      </c>
      <c r="C322" s="1172" t="s">
        <v>679</v>
      </c>
      <c r="D322" s="1190" t="s">
        <v>695</v>
      </c>
      <c r="E322" s="1230">
        <v>80111600</v>
      </c>
      <c r="F322" s="1199" t="s">
        <v>984</v>
      </c>
      <c r="G322" s="1193" t="s">
        <v>1495</v>
      </c>
      <c r="H322" s="1212" t="s">
        <v>1495</v>
      </c>
      <c r="I322" s="1194" t="s">
        <v>1498</v>
      </c>
      <c r="J322" s="1195" t="s">
        <v>1535</v>
      </c>
      <c r="K322" s="1176" t="s">
        <v>674</v>
      </c>
      <c r="L322" s="1241" t="s">
        <v>675</v>
      </c>
      <c r="M322" s="1196">
        <v>59202000</v>
      </c>
      <c r="N322" s="1175" t="s">
        <v>1603</v>
      </c>
      <c r="O322" s="1175" t="s">
        <v>1604</v>
      </c>
    </row>
    <row r="323" spans="1:18" s="1159" customFormat="1" ht="75" x14ac:dyDescent="0.3">
      <c r="A323" s="1172">
        <v>2022317</v>
      </c>
      <c r="B323" s="1172">
        <v>7658</v>
      </c>
      <c r="C323" s="1172" t="s">
        <v>679</v>
      </c>
      <c r="D323" s="1190" t="s">
        <v>695</v>
      </c>
      <c r="E323" s="1230">
        <v>80111600</v>
      </c>
      <c r="F323" s="1199" t="s">
        <v>985</v>
      </c>
      <c r="G323" s="1193" t="s">
        <v>1495</v>
      </c>
      <c r="H323" s="1212" t="s">
        <v>1495</v>
      </c>
      <c r="I323" s="1194" t="s">
        <v>1498</v>
      </c>
      <c r="J323" s="1195" t="s">
        <v>1535</v>
      </c>
      <c r="K323" s="1176" t="s">
        <v>674</v>
      </c>
      <c r="L323" s="1241" t="s">
        <v>675</v>
      </c>
      <c r="M323" s="1196">
        <v>31880000</v>
      </c>
      <c r="N323" s="1175" t="s">
        <v>1603</v>
      </c>
      <c r="O323" s="1175" t="s">
        <v>1604</v>
      </c>
    </row>
    <row r="324" spans="1:18" s="1159" customFormat="1" ht="75" x14ac:dyDescent="0.3">
      <c r="A324" s="1172">
        <v>2022318</v>
      </c>
      <c r="B324" s="1172">
        <v>7658</v>
      </c>
      <c r="C324" s="1172" t="s">
        <v>679</v>
      </c>
      <c r="D324" s="1190" t="s">
        <v>695</v>
      </c>
      <c r="E324" s="1230">
        <v>80111600</v>
      </c>
      <c r="F324" s="1199" t="s">
        <v>986</v>
      </c>
      <c r="G324" s="1193" t="s">
        <v>1495</v>
      </c>
      <c r="H324" s="1212" t="s">
        <v>1495</v>
      </c>
      <c r="I324" s="1194" t="s">
        <v>1498</v>
      </c>
      <c r="J324" s="1195" t="s">
        <v>1535</v>
      </c>
      <c r="K324" s="1176" t="s">
        <v>674</v>
      </c>
      <c r="L324" s="1241" t="s">
        <v>675</v>
      </c>
      <c r="M324" s="1196">
        <v>16146000</v>
      </c>
      <c r="N324" s="1175" t="s">
        <v>1603</v>
      </c>
      <c r="O324" s="1175" t="s">
        <v>1604</v>
      </c>
    </row>
    <row r="325" spans="1:18" s="1159" customFormat="1" ht="75" x14ac:dyDescent="0.3">
      <c r="A325" s="1172">
        <v>2022319</v>
      </c>
      <c r="B325" s="1172">
        <v>7658</v>
      </c>
      <c r="C325" s="1172" t="s">
        <v>679</v>
      </c>
      <c r="D325" s="1190" t="s">
        <v>695</v>
      </c>
      <c r="E325" s="1230">
        <v>80111600</v>
      </c>
      <c r="F325" s="1199" t="s">
        <v>987</v>
      </c>
      <c r="G325" s="1193" t="s">
        <v>1495</v>
      </c>
      <c r="H325" s="1212" t="s">
        <v>1495</v>
      </c>
      <c r="I325" s="1194" t="s">
        <v>1498</v>
      </c>
      <c r="J325" s="1195" t="s">
        <v>1535</v>
      </c>
      <c r="K325" s="1176" t="s">
        <v>674</v>
      </c>
      <c r="L325" s="1241" t="s">
        <v>675</v>
      </c>
      <c r="M325" s="1196">
        <v>80300000</v>
      </c>
      <c r="N325" s="1175" t="s">
        <v>1603</v>
      </c>
      <c r="O325" s="1175" t="s">
        <v>1604</v>
      </c>
    </row>
    <row r="326" spans="1:18" s="1159" customFormat="1" ht="75" x14ac:dyDescent="0.3">
      <c r="A326" s="1172">
        <v>2022320</v>
      </c>
      <c r="B326" s="1172">
        <v>7658</v>
      </c>
      <c r="C326" s="1172" t="s">
        <v>679</v>
      </c>
      <c r="D326" s="1190" t="s">
        <v>695</v>
      </c>
      <c r="E326" s="1230">
        <v>80111600</v>
      </c>
      <c r="F326" s="1199" t="s">
        <v>988</v>
      </c>
      <c r="G326" s="1193" t="s">
        <v>1495</v>
      </c>
      <c r="H326" s="1212" t="s">
        <v>1495</v>
      </c>
      <c r="I326" s="1194" t="s">
        <v>1498</v>
      </c>
      <c r="J326" s="1195" t="s">
        <v>1535</v>
      </c>
      <c r="K326" s="1176" t="s">
        <v>674</v>
      </c>
      <c r="L326" s="1241" t="s">
        <v>675</v>
      </c>
      <c r="M326" s="1196">
        <v>56925000</v>
      </c>
      <c r="N326" s="1175" t="s">
        <v>1603</v>
      </c>
      <c r="O326" s="1175" t="s">
        <v>1604</v>
      </c>
    </row>
    <row r="327" spans="1:18" s="1159" customFormat="1" ht="75" x14ac:dyDescent="0.3">
      <c r="A327" s="1172">
        <v>2022321</v>
      </c>
      <c r="B327" s="1172">
        <v>7658</v>
      </c>
      <c r="C327" s="1172" t="s">
        <v>679</v>
      </c>
      <c r="D327" s="1190" t="s">
        <v>695</v>
      </c>
      <c r="E327" s="1230">
        <v>80111600</v>
      </c>
      <c r="F327" s="1199" t="s">
        <v>989</v>
      </c>
      <c r="G327" s="1193" t="s">
        <v>1495</v>
      </c>
      <c r="H327" s="1212" t="s">
        <v>1495</v>
      </c>
      <c r="I327" s="1194" t="s">
        <v>1541</v>
      </c>
      <c r="J327" s="1195" t="s">
        <v>1535</v>
      </c>
      <c r="K327" s="1176" t="s">
        <v>674</v>
      </c>
      <c r="L327" s="1241" t="s">
        <v>675</v>
      </c>
      <c r="M327" s="1196">
        <v>23100000</v>
      </c>
      <c r="N327" s="1175" t="s">
        <v>1603</v>
      </c>
      <c r="O327" s="1175" t="s">
        <v>1604</v>
      </c>
    </row>
    <row r="328" spans="1:18" s="1159" customFormat="1" ht="75" x14ac:dyDescent="0.3">
      <c r="A328" s="1172">
        <v>2022322</v>
      </c>
      <c r="B328" s="1172">
        <v>7658</v>
      </c>
      <c r="C328" s="1172" t="s">
        <v>679</v>
      </c>
      <c r="D328" s="1190" t="s">
        <v>695</v>
      </c>
      <c r="E328" s="1230">
        <v>80111600</v>
      </c>
      <c r="F328" s="1199" t="s">
        <v>990</v>
      </c>
      <c r="G328" s="1193" t="s">
        <v>1495</v>
      </c>
      <c r="H328" s="1212" t="s">
        <v>1495</v>
      </c>
      <c r="I328" s="1194" t="s">
        <v>1540</v>
      </c>
      <c r="J328" s="1195" t="s">
        <v>1535</v>
      </c>
      <c r="K328" s="1176" t="s">
        <v>674</v>
      </c>
      <c r="L328" s="1241" t="s">
        <v>675</v>
      </c>
      <c r="M328" s="1196">
        <v>26950000</v>
      </c>
      <c r="N328" s="1175" t="s">
        <v>1603</v>
      </c>
      <c r="O328" s="1175" t="s">
        <v>1604</v>
      </c>
    </row>
    <row r="329" spans="1:18" s="1159" customFormat="1" ht="118.5" customHeight="1" x14ac:dyDescent="0.3">
      <c r="A329" s="1172">
        <v>2022323</v>
      </c>
      <c r="B329" s="1172">
        <v>7658</v>
      </c>
      <c r="C329" s="1172" t="s">
        <v>679</v>
      </c>
      <c r="D329" s="1190" t="s">
        <v>695</v>
      </c>
      <c r="E329" s="1234">
        <v>80111600</v>
      </c>
      <c r="F329" s="1175" t="s">
        <v>991</v>
      </c>
      <c r="G329" s="1193" t="s">
        <v>1495</v>
      </c>
      <c r="H329" s="1212" t="s">
        <v>1495</v>
      </c>
      <c r="I329" s="1194" t="s">
        <v>1498</v>
      </c>
      <c r="J329" s="1195" t="s">
        <v>1535</v>
      </c>
      <c r="K329" s="1176" t="s">
        <v>674</v>
      </c>
      <c r="L329" s="1241" t="s">
        <v>675</v>
      </c>
      <c r="M329" s="1179">
        <v>47817000</v>
      </c>
      <c r="N329" s="1175" t="s">
        <v>1603</v>
      </c>
      <c r="O329" s="1175" t="s">
        <v>1604</v>
      </c>
    </row>
    <row r="330" spans="1:18" s="1159" customFormat="1" ht="330" x14ac:dyDescent="0.3">
      <c r="A330" s="1172">
        <v>2022324</v>
      </c>
      <c r="B330" s="1172">
        <v>7658</v>
      </c>
      <c r="C330" s="1172" t="s">
        <v>679</v>
      </c>
      <c r="D330" s="1190" t="s">
        <v>695</v>
      </c>
      <c r="E330" s="1242" t="s">
        <v>992</v>
      </c>
      <c r="F330" s="1175" t="s">
        <v>993</v>
      </c>
      <c r="G330" s="1193" t="s">
        <v>1501</v>
      </c>
      <c r="H330" s="1212" t="s">
        <v>1509</v>
      </c>
      <c r="I330" s="1194" t="s">
        <v>1537</v>
      </c>
      <c r="J330" s="1195" t="s">
        <v>1605</v>
      </c>
      <c r="K330" s="1176" t="s">
        <v>770</v>
      </c>
      <c r="L330" s="1178" t="s">
        <v>1584</v>
      </c>
      <c r="M330" s="1196">
        <v>200000000</v>
      </c>
      <c r="N330" s="1175" t="s">
        <v>1603</v>
      </c>
      <c r="O330" s="1175" t="s">
        <v>1604</v>
      </c>
    </row>
    <row r="331" spans="1:18" s="1159" customFormat="1" ht="75" x14ac:dyDescent="0.3">
      <c r="A331" s="1172">
        <v>2022325</v>
      </c>
      <c r="B331" s="1172">
        <v>7658</v>
      </c>
      <c r="C331" s="1172" t="s">
        <v>679</v>
      </c>
      <c r="D331" s="1190" t="s">
        <v>695</v>
      </c>
      <c r="E331" s="1234" t="s">
        <v>995</v>
      </c>
      <c r="F331" s="1175" t="s">
        <v>1606</v>
      </c>
      <c r="G331" s="1193" t="s">
        <v>1495</v>
      </c>
      <c r="H331" s="1212" t="s">
        <v>1501</v>
      </c>
      <c r="I331" s="1194" t="s">
        <v>1537</v>
      </c>
      <c r="J331" s="1195" t="s">
        <v>1586</v>
      </c>
      <c r="K331" s="1176" t="s">
        <v>674</v>
      </c>
      <c r="L331" s="1241" t="s">
        <v>675</v>
      </c>
      <c r="M331" s="1179">
        <v>770904000</v>
      </c>
      <c r="N331" s="1175" t="s">
        <v>1603</v>
      </c>
      <c r="O331" s="1175" t="s">
        <v>1604</v>
      </c>
    </row>
    <row r="332" spans="1:18" s="1159" customFormat="1" ht="75" x14ac:dyDescent="0.3">
      <c r="A332" s="1172">
        <v>2022326</v>
      </c>
      <c r="B332" s="1172">
        <v>7658</v>
      </c>
      <c r="C332" s="1172" t="s">
        <v>679</v>
      </c>
      <c r="D332" s="1190" t="s">
        <v>695</v>
      </c>
      <c r="E332" s="1230">
        <v>46201002</v>
      </c>
      <c r="F332" s="1199" t="s">
        <v>1607</v>
      </c>
      <c r="G332" s="1193" t="s">
        <v>1495</v>
      </c>
      <c r="H332" s="1212" t="s">
        <v>1501</v>
      </c>
      <c r="I332" s="1194" t="s">
        <v>1537</v>
      </c>
      <c r="J332" s="1195" t="s">
        <v>1586</v>
      </c>
      <c r="K332" s="1176" t="s">
        <v>770</v>
      </c>
      <c r="L332" s="1178" t="s">
        <v>1584</v>
      </c>
      <c r="M332" s="1196">
        <v>1100000000</v>
      </c>
      <c r="N332" s="1175" t="s">
        <v>1603</v>
      </c>
      <c r="O332" s="1175" t="s">
        <v>1604</v>
      </c>
      <c r="P332" s="1243"/>
    </row>
    <row r="333" spans="1:18" s="1159" customFormat="1" ht="75" x14ac:dyDescent="0.3">
      <c r="A333" s="1182">
        <v>2022327</v>
      </c>
      <c r="B333" s="1182">
        <v>7658</v>
      </c>
      <c r="C333" s="1182" t="s">
        <v>679</v>
      </c>
      <c r="D333" s="1227" t="s">
        <v>695</v>
      </c>
      <c r="E333" s="1228">
        <v>90121800</v>
      </c>
      <c r="F333" s="1244" t="s">
        <v>999</v>
      </c>
      <c r="G333" s="1245" t="s">
        <v>1495</v>
      </c>
      <c r="H333" s="1246" t="s">
        <v>1495</v>
      </c>
      <c r="I333" s="1239" t="s">
        <v>1543</v>
      </c>
      <c r="J333" s="1240" t="s">
        <v>1546</v>
      </c>
      <c r="K333" s="1184" t="s">
        <v>674</v>
      </c>
      <c r="L333" s="1247" t="s">
        <v>675</v>
      </c>
      <c r="M333" s="1188">
        <f>40000000+10000000+10000000</f>
        <v>60000000</v>
      </c>
      <c r="N333" s="1185" t="s">
        <v>1603</v>
      </c>
      <c r="O333" s="1185" t="s">
        <v>1604</v>
      </c>
      <c r="P333" s="1248"/>
      <c r="R333" s="1180"/>
    </row>
    <row r="334" spans="1:18" s="1159" customFormat="1" ht="75" x14ac:dyDescent="0.3">
      <c r="A334" s="1172">
        <v>2022328</v>
      </c>
      <c r="B334" s="1172">
        <v>7658</v>
      </c>
      <c r="C334" s="1172" t="s">
        <v>679</v>
      </c>
      <c r="D334" s="1190" t="s">
        <v>695</v>
      </c>
      <c r="E334" s="1230">
        <v>90121800</v>
      </c>
      <c r="F334" s="1199" t="s">
        <v>1000</v>
      </c>
      <c r="G334" s="1193" t="s">
        <v>1495</v>
      </c>
      <c r="H334" s="1212" t="s">
        <v>1495</v>
      </c>
      <c r="I334" s="1194" t="s">
        <v>1543</v>
      </c>
      <c r="J334" s="1195" t="s">
        <v>1546</v>
      </c>
      <c r="K334" s="1176" t="s">
        <v>674</v>
      </c>
      <c r="L334" s="1241" t="s">
        <v>675</v>
      </c>
      <c r="M334" s="1249">
        <v>80000000</v>
      </c>
      <c r="N334" s="1175" t="s">
        <v>1603</v>
      </c>
      <c r="O334" s="1175" t="s">
        <v>1604</v>
      </c>
      <c r="P334" s="1248"/>
    </row>
    <row r="335" spans="1:18" s="1159" customFormat="1" ht="75" x14ac:dyDescent="0.3">
      <c r="A335" s="1172">
        <v>2022329</v>
      </c>
      <c r="B335" s="1172">
        <v>7658</v>
      </c>
      <c r="C335" s="1172" t="s">
        <v>679</v>
      </c>
      <c r="D335" s="1190" t="s">
        <v>695</v>
      </c>
      <c r="E335" s="1230">
        <v>80111600</v>
      </c>
      <c r="F335" s="1199" t="s">
        <v>1608</v>
      </c>
      <c r="G335" s="1193" t="s">
        <v>1495</v>
      </c>
      <c r="H335" s="1212" t="s">
        <v>1495</v>
      </c>
      <c r="I335" s="1194" t="s">
        <v>1541</v>
      </c>
      <c r="J335" s="1195" t="s">
        <v>1535</v>
      </c>
      <c r="K335" s="1176" t="s">
        <v>674</v>
      </c>
      <c r="L335" s="1241" t="s">
        <v>675</v>
      </c>
      <c r="M335" s="1250">
        <v>39357000</v>
      </c>
      <c r="N335" s="1175" t="s">
        <v>1603</v>
      </c>
      <c r="O335" s="1175" t="s">
        <v>1604</v>
      </c>
      <c r="P335" s="1251"/>
    </row>
    <row r="336" spans="1:18" s="1159" customFormat="1" ht="75" x14ac:dyDescent="0.3">
      <c r="A336" s="1172">
        <v>2022330</v>
      </c>
      <c r="B336" s="1172">
        <v>7658</v>
      </c>
      <c r="C336" s="1172" t="s">
        <v>679</v>
      </c>
      <c r="D336" s="1190" t="s">
        <v>701</v>
      </c>
      <c r="E336" s="1230" t="s">
        <v>1002</v>
      </c>
      <c r="F336" s="1199" t="s">
        <v>1003</v>
      </c>
      <c r="G336" s="1193" t="s">
        <v>1495</v>
      </c>
      <c r="H336" s="1212" t="s">
        <v>1501</v>
      </c>
      <c r="I336" s="1194" t="s">
        <v>1543</v>
      </c>
      <c r="J336" s="1195" t="s">
        <v>1586</v>
      </c>
      <c r="K336" s="1176" t="s">
        <v>770</v>
      </c>
      <c r="L336" s="1178" t="s">
        <v>994</v>
      </c>
      <c r="M336" s="1196">
        <v>5600000000</v>
      </c>
      <c r="N336" s="1175" t="s">
        <v>752</v>
      </c>
      <c r="O336" s="1175" t="s">
        <v>1562</v>
      </c>
    </row>
    <row r="337" spans="1:15" s="1313" customFormat="1" ht="75" x14ac:dyDescent="0.3">
      <c r="A337" s="1301">
        <v>2022331</v>
      </c>
      <c r="B337" s="1301">
        <v>7658</v>
      </c>
      <c r="C337" s="1301" t="s">
        <v>679</v>
      </c>
      <c r="D337" s="1302" t="s">
        <v>701</v>
      </c>
      <c r="E337" s="1303" t="s">
        <v>1004</v>
      </c>
      <c r="F337" s="1304" t="s">
        <v>1005</v>
      </c>
      <c r="G337" s="1305" t="s">
        <v>1495</v>
      </c>
      <c r="H337" s="1306" t="s">
        <v>1501</v>
      </c>
      <c r="I337" s="1307" t="s">
        <v>1609</v>
      </c>
      <c r="J337" s="1308" t="s">
        <v>1586</v>
      </c>
      <c r="K337" s="1309" t="s">
        <v>770</v>
      </c>
      <c r="L337" s="1310" t="s">
        <v>994</v>
      </c>
      <c r="M337" s="1311">
        <v>1325000000</v>
      </c>
      <c r="N337" s="1312" t="s">
        <v>749</v>
      </c>
      <c r="O337" s="1312" t="s">
        <v>1562</v>
      </c>
    </row>
    <row r="338" spans="1:15" s="1159" customFormat="1" ht="75" x14ac:dyDescent="0.3">
      <c r="A338" s="1172">
        <v>2022332</v>
      </c>
      <c r="B338" s="1172">
        <v>7658</v>
      </c>
      <c r="C338" s="1172" t="s">
        <v>679</v>
      </c>
      <c r="D338" s="1190" t="s">
        <v>701</v>
      </c>
      <c r="E338" s="1230" t="s">
        <v>1004</v>
      </c>
      <c r="F338" s="1199" t="s">
        <v>1005</v>
      </c>
      <c r="G338" s="1193" t="s">
        <v>1495</v>
      </c>
      <c r="H338" s="1212" t="s">
        <v>1501</v>
      </c>
      <c r="I338" s="1194" t="s">
        <v>1609</v>
      </c>
      <c r="J338" s="1195" t="s">
        <v>1586</v>
      </c>
      <c r="K338" s="1176" t="s">
        <v>674</v>
      </c>
      <c r="L338" s="1178" t="s">
        <v>994</v>
      </c>
      <c r="M338" s="1196">
        <v>548720000</v>
      </c>
      <c r="N338" s="1175" t="s">
        <v>749</v>
      </c>
      <c r="O338" s="1175" t="s">
        <v>1562</v>
      </c>
    </row>
    <row r="339" spans="1:15" s="1159" customFormat="1" ht="75" x14ac:dyDescent="0.3">
      <c r="A339" s="1172">
        <v>2022333</v>
      </c>
      <c r="B339" s="1172">
        <v>7658</v>
      </c>
      <c r="C339" s="1172" t="s">
        <v>679</v>
      </c>
      <c r="D339" s="1190" t="s">
        <v>701</v>
      </c>
      <c r="E339" s="1230" t="s">
        <v>1610</v>
      </c>
      <c r="F339" s="1199" t="s">
        <v>1008</v>
      </c>
      <c r="G339" s="1193" t="s">
        <v>1495</v>
      </c>
      <c r="H339" s="1212" t="s">
        <v>1611</v>
      </c>
      <c r="I339" s="1194" t="s">
        <v>1609</v>
      </c>
      <c r="J339" s="1195" t="s">
        <v>1586</v>
      </c>
      <c r="K339" s="1176" t="s">
        <v>770</v>
      </c>
      <c r="L339" s="1178" t="s">
        <v>994</v>
      </c>
      <c r="M339" s="1196">
        <v>1078000000</v>
      </c>
      <c r="N339" s="1175" t="s">
        <v>749</v>
      </c>
      <c r="O339" s="1175" t="s">
        <v>1562</v>
      </c>
    </row>
    <row r="340" spans="1:15" s="1159" customFormat="1" ht="75" x14ac:dyDescent="0.3">
      <c r="A340" s="1172">
        <v>2022334</v>
      </c>
      <c r="B340" s="1172">
        <v>7658</v>
      </c>
      <c r="C340" s="1172" t="s">
        <v>679</v>
      </c>
      <c r="D340" s="1190" t="s">
        <v>701</v>
      </c>
      <c r="E340" s="1230" t="s">
        <v>1610</v>
      </c>
      <c r="F340" s="1199" t="s">
        <v>1008</v>
      </c>
      <c r="G340" s="1193" t="s">
        <v>1495</v>
      </c>
      <c r="H340" s="1212" t="s">
        <v>1611</v>
      </c>
      <c r="I340" s="1194" t="s">
        <v>1609</v>
      </c>
      <c r="J340" s="1195" t="s">
        <v>1586</v>
      </c>
      <c r="K340" s="1176" t="s">
        <v>674</v>
      </c>
      <c r="L340" s="1178" t="s">
        <v>994</v>
      </c>
      <c r="M340" s="1196">
        <v>204051000</v>
      </c>
      <c r="N340" s="1175" t="s">
        <v>749</v>
      </c>
      <c r="O340" s="1175" t="s">
        <v>1562</v>
      </c>
    </row>
    <row r="341" spans="1:15" s="1159" customFormat="1" ht="75" x14ac:dyDescent="0.3">
      <c r="A341" s="1172">
        <v>2022335</v>
      </c>
      <c r="B341" s="1172">
        <v>7658</v>
      </c>
      <c r="C341" s="1172" t="s">
        <v>679</v>
      </c>
      <c r="D341" s="1190" t="s">
        <v>701</v>
      </c>
      <c r="E341" s="1230" t="s">
        <v>1612</v>
      </c>
      <c r="F341" s="1199" t="s">
        <v>1613</v>
      </c>
      <c r="G341" s="1193" t="s">
        <v>1495</v>
      </c>
      <c r="H341" s="1212" t="s">
        <v>1611</v>
      </c>
      <c r="I341" s="1194" t="s">
        <v>1614</v>
      </c>
      <c r="J341" s="1195" t="s">
        <v>1503</v>
      </c>
      <c r="K341" s="1176" t="s">
        <v>674</v>
      </c>
      <c r="L341" s="1178" t="s">
        <v>994</v>
      </c>
      <c r="M341" s="1196">
        <v>40000000</v>
      </c>
      <c r="N341" s="1175" t="s">
        <v>749</v>
      </c>
      <c r="O341" s="1175" t="s">
        <v>1562</v>
      </c>
    </row>
    <row r="342" spans="1:15" s="1159" customFormat="1" ht="75" x14ac:dyDescent="0.3">
      <c r="A342" s="1172">
        <v>2022336</v>
      </c>
      <c r="B342" s="1172">
        <v>7658</v>
      </c>
      <c r="C342" s="1172" t="s">
        <v>679</v>
      </c>
      <c r="D342" s="1190" t="s">
        <v>701</v>
      </c>
      <c r="E342" s="1230" t="s">
        <v>1009</v>
      </c>
      <c r="F342" s="1199" t="s">
        <v>1010</v>
      </c>
      <c r="G342" s="1193" t="s">
        <v>1495</v>
      </c>
      <c r="H342" s="1193" t="s">
        <v>1505</v>
      </c>
      <c r="I342" s="1194" t="s">
        <v>1614</v>
      </c>
      <c r="J342" s="1195" t="s">
        <v>1503</v>
      </c>
      <c r="K342" s="1176" t="s">
        <v>674</v>
      </c>
      <c r="L342" s="1178" t="s">
        <v>994</v>
      </c>
      <c r="M342" s="1196">
        <v>125000000</v>
      </c>
      <c r="N342" s="1175" t="s">
        <v>749</v>
      </c>
      <c r="O342" s="1175" t="s">
        <v>1562</v>
      </c>
    </row>
    <row r="343" spans="1:15" s="1159" customFormat="1" ht="75" x14ac:dyDescent="0.3">
      <c r="A343" s="1172">
        <v>2022337</v>
      </c>
      <c r="B343" s="1172">
        <v>7658</v>
      </c>
      <c r="C343" s="1172" t="s">
        <v>679</v>
      </c>
      <c r="D343" s="1190" t="s">
        <v>701</v>
      </c>
      <c r="E343" s="1230">
        <v>80111600</v>
      </c>
      <c r="F343" s="1199" t="s">
        <v>1011</v>
      </c>
      <c r="G343" s="1193" t="s">
        <v>1495</v>
      </c>
      <c r="H343" s="1212" t="s">
        <v>1495</v>
      </c>
      <c r="I343" s="1194" t="s">
        <v>1543</v>
      </c>
      <c r="J343" s="1195" t="s">
        <v>1535</v>
      </c>
      <c r="K343" s="1176" t="s">
        <v>674</v>
      </c>
      <c r="L343" s="1241" t="s">
        <v>675</v>
      </c>
      <c r="M343" s="1196">
        <v>25980000</v>
      </c>
      <c r="N343" s="1175" t="s">
        <v>749</v>
      </c>
      <c r="O343" s="1175" t="s">
        <v>1562</v>
      </c>
    </row>
    <row r="344" spans="1:15" s="1159" customFormat="1" ht="75" x14ac:dyDescent="0.3">
      <c r="A344" s="1172">
        <v>2022338</v>
      </c>
      <c r="B344" s="1172">
        <v>7658</v>
      </c>
      <c r="C344" s="1172" t="s">
        <v>679</v>
      </c>
      <c r="D344" s="1190" t="s">
        <v>701</v>
      </c>
      <c r="E344" s="1230">
        <v>80111600</v>
      </c>
      <c r="F344" s="1199" t="s">
        <v>1011</v>
      </c>
      <c r="G344" s="1193" t="s">
        <v>1495</v>
      </c>
      <c r="H344" s="1212" t="s">
        <v>1495</v>
      </c>
      <c r="I344" s="1194" t="s">
        <v>1543</v>
      </c>
      <c r="J344" s="1195" t="s">
        <v>1535</v>
      </c>
      <c r="K344" s="1176" t="s">
        <v>674</v>
      </c>
      <c r="L344" s="1241" t="s">
        <v>675</v>
      </c>
      <c r="M344" s="1196">
        <v>25980000</v>
      </c>
      <c r="N344" s="1175" t="s">
        <v>749</v>
      </c>
      <c r="O344" s="1175" t="s">
        <v>1562</v>
      </c>
    </row>
    <row r="345" spans="1:15" s="1159" customFormat="1" ht="75" x14ac:dyDescent="0.3">
      <c r="A345" s="1172">
        <v>2022339</v>
      </c>
      <c r="B345" s="1172">
        <v>7658</v>
      </c>
      <c r="C345" s="1172" t="s">
        <v>679</v>
      </c>
      <c r="D345" s="1190" t="s">
        <v>701</v>
      </c>
      <c r="E345" s="1230">
        <v>80111600</v>
      </c>
      <c r="F345" s="1199" t="s">
        <v>1011</v>
      </c>
      <c r="G345" s="1193" t="s">
        <v>1495</v>
      </c>
      <c r="H345" s="1212" t="s">
        <v>1495</v>
      </c>
      <c r="I345" s="1194" t="s">
        <v>1543</v>
      </c>
      <c r="J345" s="1195" t="s">
        <v>1535</v>
      </c>
      <c r="K345" s="1176" t="s">
        <v>674</v>
      </c>
      <c r="L345" s="1241" t="s">
        <v>675</v>
      </c>
      <c r="M345" s="1196">
        <v>25980000</v>
      </c>
      <c r="N345" s="1175" t="s">
        <v>749</v>
      </c>
      <c r="O345" s="1175" t="s">
        <v>1562</v>
      </c>
    </row>
    <row r="346" spans="1:15" s="1159" customFormat="1" ht="75" x14ac:dyDescent="0.3">
      <c r="A346" s="1172">
        <v>2022340</v>
      </c>
      <c r="B346" s="1172">
        <v>7658</v>
      </c>
      <c r="C346" s="1172" t="s">
        <v>679</v>
      </c>
      <c r="D346" s="1190" t="s">
        <v>701</v>
      </c>
      <c r="E346" s="1230">
        <v>80111600</v>
      </c>
      <c r="F346" s="1199" t="s">
        <v>1011</v>
      </c>
      <c r="G346" s="1193" t="s">
        <v>1495</v>
      </c>
      <c r="H346" s="1212" t="s">
        <v>1495</v>
      </c>
      <c r="I346" s="1194" t="s">
        <v>1543</v>
      </c>
      <c r="J346" s="1195" t="s">
        <v>1535</v>
      </c>
      <c r="K346" s="1176" t="s">
        <v>674</v>
      </c>
      <c r="L346" s="1241" t="s">
        <v>675</v>
      </c>
      <c r="M346" s="1196">
        <v>25980000</v>
      </c>
      <c r="N346" s="1175" t="s">
        <v>749</v>
      </c>
      <c r="O346" s="1175" t="s">
        <v>1562</v>
      </c>
    </row>
    <row r="347" spans="1:15" s="1159" customFormat="1" ht="75" x14ac:dyDescent="0.3">
      <c r="A347" s="1172">
        <v>2022341</v>
      </c>
      <c r="B347" s="1172">
        <v>7658</v>
      </c>
      <c r="C347" s="1172" t="s">
        <v>679</v>
      </c>
      <c r="D347" s="1190" t="s">
        <v>701</v>
      </c>
      <c r="E347" s="1230">
        <v>80111600</v>
      </c>
      <c r="F347" s="1199" t="s">
        <v>1011</v>
      </c>
      <c r="G347" s="1193" t="s">
        <v>1495</v>
      </c>
      <c r="H347" s="1212" t="s">
        <v>1495</v>
      </c>
      <c r="I347" s="1194" t="s">
        <v>1543</v>
      </c>
      <c r="J347" s="1195" t="s">
        <v>1535</v>
      </c>
      <c r="K347" s="1176" t="s">
        <v>674</v>
      </c>
      <c r="L347" s="1241" t="s">
        <v>675</v>
      </c>
      <c r="M347" s="1196">
        <v>25980000</v>
      </c>
      <c r="N347" s="1175" t="s">
        <v>749</v>
      </c>
      <c r="O347" s="1175" t="s">
        <v>1562</v>
      </c>
    </row>
    <row r="348" spans="1:15" s="1159" customFormat="1" ht="75" x14ac:dyDescent="0.3">
      <c r="A348" s="1172">
        <v>2022342</v>
      </c>
      <c r="B348" s="1172">
        <v>7658</v>
      </c>
      <c r="C348" s="1172" t="s">
        <v>679</v>
      </c>
      <c r="D348" s="1190" t="s">
        <v>701</v>
      </c>
      <c r="E348" s="1230">
        <v>80111600</v>
      </c>
      <c r="F348" s="1199" t="s">
        <v>1011</v>
      </c>
      <c r="G348" s="1193" t="s">
        <v>1495</v>
      </c>
      <c r="H348" s="1212" t="s">
        <v>1495</v>
      </c>
      <c r="I348" s="1194" t="s">
        <v>1543</v>
      </c>
      <c r="J348" s="1195" t="s">
        <v>1535</v>
      </c>
      <c r="K348" s="1176" t="s">
        <v>674</v>
      </c>
      <c r="L348" s="1241" t="s">
        <v>675</v>
      </c>
      <c r="M348" s="1196">
        <v>25980000</v>
      </c>
      <c r="N348" s="1175" t="s">
        <v>749</v>
      </c>
      <c r="O348" s="1175" t="s">
        <v>1562</v>
      </c>
    </row>
    <row r="349" spans="1:15" s="1159" customFormat="1" ht="75" x14ac:dyDescent="0.3">
      <c r="A349" s="1172">
        <v>2022343</v>
      </c>
      <c r="B349" s="1172">
        <v>7658</v>
      </c>
      <c r="C349" s="1172" t="s">
        <v>679</v>
      </c>
      <c r="D349" s="1190" t="s">
        <v>701</v>
      </c>
      <c r="E349" s="1230">
        <v>80111600</v>
      </c>
      <c r="F349" s="1199" t="s">
        <v>1011</v>
      </c>
      <c r="G349" s="1193" t="s">
        <v>1495</v>
      </c>
      <c r="H349" s="1212" t="s">
        <v>1495</v>
      </c>
      <c r="I349" s="1194" t="s">
        <v>1543</v>
      </c>
      <c r="J349" s="1195" t="s">
        <v>1535</v>
      </c>
      <c r="K349" s="1176" t="s">
        <v>674</v>
      </c>
      <c r="L349" s="1241" t="s">
        <v>675</v>
      </c>
      <c r="M349" s="1196">
        <v>25980000</v>
      </c>
      <c r="N349" s="1175" t="s">
        <v>749</v>
      </c>
      <c r="O349" s="1175" t="s">
        <v>1562</v>
      </c>
    </row>
    <row r="350" spans="1:15" s="1159" customFormat="1" ht="75" x14ac:dyDescent="0.3">
      <c r="A350" s="1172">
        <v>2022344</v>
      </c>
      <c r="B350" s="1172">
        <v>7658</v>
      </c>
      <c r="C350" s="1172" t="s">
        <v>679</v>
      </c>
      <c r="D350" s="1190" t="s">
        <v>701</v>
      </c>
      <c r="E350" s="1230">
        <v>80111600</v>
      </c>
      <c r="F350" s="1199" t="s">
        <v>1011</v>
      </c>
      <c r="G350" s="1193" t="s">
        <v>1495</v>
      </c>
      <c r="H350" s="1212" t="s">
        <v>1495</v>
      </c>
      <c r="I350" s="1194" t="s">
        <v>1543</v>
      </c>
      <c r="J350" s="1195" t="s">
        <v>1535</v>
      </c>
      <c r="K350" s="1176" t="s">
        <v>674</v>
      </c>
      <c r="L350" s="1241" t="s">
        <v>675</v>
      </c>
      <c r="M350" s="1196">
        <v>25980000</v>
      </c>
      <c r="N350" s="1175" t="s">
        <v>749</v>
      </c>
      <c r="O350" s="1175" t="s">
        <v>1562</v>
      </c>
    </row>
    <row r="351" spans="1:15" s="1159" customFormat="1" ht="75" x14ac:dyDescent="0.3">
      <c r="A351" s="1172">
        <v>2022345</v>
      </c>
      <c r="B351" s="1172">
        <v>7658</v>
      </c>
      <c r="C351" s="1172" t="s">
        <v>679</v>
      </c>
      <c r="D351" s="1190" t="s">
        <v>701</v>
      </c>
      <c r="E351" s="1230">
        <v>80111600</v>
      </c>
      <c r="F351" s="1199" t="s">
        <v>1011</v>
      </c>
      <c r="G351" s="1193" t="s">
        <v>1495</v>
      </c>
      <c r="H351" s="1212" t="s">
        <v>1495</v>
      </c>
      <c r="I351" s="1194" t="s">
        <v>1543</v>
      </c>
      <c r="J351" s="1195" t="s">
        <v>1535</v>
      </c>
      <c r="K351" s="1176" t="s">
        <v>674</v>
      </c>
      <c r="L351" s="1241" t="s">
        <v>675</v>
      </c>
      <c r="M351" s="1196">
        <v>25980000</v>
      </c>
      <c r="N351" s="1175" t="s">
        <v>749</v>
      </c>
      <c r="O351" s="1175" t="s">
        <v>1562</v>
      </c>
    </row>
    <row r="352" spans="1:15" s="1159" customFormat="1" ht="75" x14ac:dyDescent="0.3">
      <c r="A352" s="1172">
        <v>2022346</v>
      </c>
      <c r="B352" s="1172">
        <v>7658</v>
      </c>
      <c r="C352" s="1172" t="s">
        <v>679</v>
      </c>
      <c r="D352" s="1190" t="s">
        <v>701</v>
      </c>
      <c r="E352" s="1230">
        <v>80111600</v>
      </c>
      <c r="F352" s="1199" t="s">
        <v>1011</v>
      </c>
      <c r="G352" s="1193" t="s">
        <v>1495</v>
      </c>
      <c r="H352" s="1212" t="s">
        <v>1495</v>
      </c>
      <c r="I352" s="1194" t="s">
        <v>1543</v>
      </c>
      <c r="J352" s="1195" t="s">
        <v>1535</v>
      </c>
      <c r="K352" s="1176" t="s">
        <v>674</v>
      </c>
      <c r="L352" s="1241" t="s">
        <v>675</v>
      </c>
      <c r="M352" s="1196">
        <v>25980000</v>
      </c>
      <c r="N352" s="1175" t="s">
        <v>749</v>
      </c>
      <c r="O352" s="1175" t="s">
        <v>1562</v>
      </c>
    </row>
    <row r="353" spans="1:15" s="1159" customFormat="1" ht="75" x14ac:dyDescent="0.3">
      <c r="A353" s="1172">
        <v>2022347</v>
      </c>
      <c r="B353" s="1172">
        <v>7658</v>
      </c>
      <c r="C353" s="1172" t="s">
        <v>679</v>
      </c>
      <c r="D353" s="1190" t="s">
        <v>701</v>
      </c>
      <c r="E353" s="1230">
        <v>80111600</v>
      </c>
      <c r="F353" s="1199" t="s">
        <v>1011</v>
      </c>
      <c r="G353" s="1193" t="s">
        <v>1495</v>
      </c>
      <c r="H353" s="1212" t="s">
        <v>1495</v>
      </c>
      <c r="I353" s="1194" t="s">
        <v>1543</v>
      </c>
      <c r="J353" s="1195" t="s">
        <v>1535</v>
      </c>
      <c r="K353" s="1176" t="s">
        <v>674</v>
      </c>
      <c r="L353" s="1241" t="s">
        <v>675</v>
      </c>
      <c r="M353" s="1196">
        <f>25980000-25980000</f>
        <v>0</v>
      </c>
      <c r="N353" s="1175" t="s">
        <v>749</v>
      </c>
      <c r="O353" s="1175" t="s">
        <v>1562</v>
      </c>
    </row>
    <row r="354" spans="1:15" s="1159" customFormat="1" ht="75" x14ac:dyDescent="0.3">
      <c r="A354" s="1172">
        <v>2022348</v>
      </c>
      <c r="B354" s="1172">
        <v>7658</v>
      </c>
      <c r="C354" s="1172" t="s">
        <v>679</v>
      </c>
      <c r="D354" s="1190" t="s">
        <v>701</v>
      </c>
      <c r="E354" s="1230">
        <v>80111600</v>
      </c>
      <c r="F354" s="1199" t="s">
        <v>1011</v>
      </c>
      <c r="G354" s="1193" t="s">
        <v>1495</v>
      </c>
      <c r="H354" s="1212" t="s">
        <v>1495</v>
      </c>
      <c r="I354" s="1194" t="s">
        <v>1543</v>
      </c>
      <c r="J354" s="1195" t="s">
        <v>1535</v>
      </c>
      <c r="K354" s="1176" t="s">
        <v>674</v>
      </c>
      <c r="L354" s="1241" t="s">
        <v>675</v>
      </c>
      <c r="M354" s="1196">
        <v>25980000</v>
      </c>
      <c r="N354" s="1175" t="s">
        <v>749</v>
      </c>
      <c r="O354" s="1175" t="s">
        <v>1562</v>
      </c>
    </row>
    <row r="355" spans="1:15" s="1159" customFormat="1" ht="75" x14ac:dyDescent="0.3">
      <c r="A355" s="1172">
        <v>2022349</v>
      </c>
      <c r="B355" s="1172">
        <v>7658</v>
      </c>
      <c r="C355" s="1172" t="s">
        <v>679</v>
      </c>
      <c r="D355" s="1190" t="s">
        <v>701</v>
      </c>
      <c r="E355" s="1230">
        <v>80111600</v>
      </c>
      <c r="F355" s="1199" t="s">
        <v>1011</v>
      </c>
      <c r="G355" s="1193" t="s">
        <v>1495</v>
      </c>
      <c r="H355" s="1212" t="s">
        <v>1495</v>
      </c>
      <c r="I355" s="1194" t="s">
        <v>1543</v>
      </c>
      <c r="J355" s="1195" t="s">
        <v>1535</v>
      </c>
      <c r="K355" s="1176" t="s">
        <v>674</v>
      </c>
      <c r="L355" s="1241" t="s">
        <v>675</v>
      </c>
      <c r="M355" s="1196">
        <v>25980000</v>
      </c>
      <c r="N355" s="1175" t="s">
        <v>749</v>
      </c>
      <c r="O355" s="1175" t="s">
        <v>1562</v>
      </c>
    </row>
    <row r="356" spans="1:15" s="1159" customFormat="1" ht="75" x14ac:dyDescent="0.3">
      <c r="A356" s="1172">
        <v>2022350</v>
      </c>
      <c r="B356" s="1172">
        <v>7658</v>
      </c>
      <c r="C356" s="1172" t="s">
        <v>679</v>
      </c>
      <c r="D356" s="1190" t="s">
        <v>701</v>
      </c>
      <c r="E356" s="1230">
        <v>80111600</v>
      </c>
      <c r="F356" s="1199" t="s">
        <v>1011</v>
      </c>
      <c r="G356" s="1193" t="s">
        <v>1495</v>
      </c>
      <c r="H356" s="1212" t="s">
        <v>1495</v>
      </c>
      <c r="I356" s="1194" t="s">
        <v>1543</v>
      </c>
      <c r="J356" s="1195" t="s">
        <v>1535</v>
      </c>
      <c r="K356" s="1176" t="s">
        <v>674</v>
      </c>
      <c r="L356" s="1241" t="s">
        <v>675</v>
      </c>
      <c r="M356" s="1196">
        <v>25980000</v>
      </c>
      <c r="N356" s="1175" t="s">
        <v>749</v>
      </c>
      <c r="O356" s="1175" t="s">
        <v>1562</v>
      </c>
    </row>
    <row r="357" spans="1:15" s="1159" customFormat="1" ht="75" x14ac:dyDescent="0.3">
      <c r="A357" s="1172">
        <v>2022351</v>
      </c>
      <c r="B357" s="1172">
        <v>7658</v>
      </c>
      <c r="C357" s="1172" t="s">
        <v>679</v>
      </c>
      <c r="D357" s="1190" t="s">
        <v>701</v>
      </c>
      <c r="E357" s="1230">
        <v>80111600</v>
      </c>
      <c r="F357" s="1199" t="s">
        <v>1011</v>
      </c>
      <c r="G357" s="1193" t="s">
        <v>1495</v>
      </c>
      <c r="H357" s="1212" t="s">
        <v>1495</v>
      </c>
      <c r="I357" s="1194" t="s">
        <v>1543</v>
      </c>
      <c r="J357" s="1195" t="s">
        <v>1535</v>
      </c>
      <c r="K357" s="1176" t="s">
        <v>674</v>
      </c>
      <c r="L357" s="1241" t="s">
        <v>675</v>
      </c>
      <c r="M357" s="1196">
        <v>25980000</v>
      </c>
      <c r="N357" s="1175" t="s">
        <v>749</v>
      </c>
      <c r="O357" s="1175" t="s">
        <v>1562</v>
      </c>
    </row>
    <row r="358" spans="1:15" s="1159" customFormat="1" ht="75" x14ac:dyDescent="0.3">
      <c r="A358" s="1172">
        <v>2022352</v>
      </c>
      <c r="B358" s="1172">
        <v>7658</v>
      </c>
      <c r="C358" s="1172" t="s">
        <v>679</v>
      </c>
      <c r="D358" s="1190" t="s">
        <v>701</v>
      </c>
      <c r="E358" s="1230">
        <v>80111600</v>
      </c>
      <c r="F358" s="1199" t="s">
        <v>1011</v>
      </c>
      <c r="G358" s="1193" t="s">
        <v>1495</v>
      </c>
      <c r="H358" s="1212" t="s">
        <v>1495</v>
      </c>
      <c r="I358" s="1194" t="s">
        <v>1543</v>
      </c>
      <c r="J358" s="1195" t="s">
        <v>1535</v>
      </c>
      <c r="K358" s="1176" t="s">
        <v>674</v>
      </c>
      <c r="L358" s="1241" t="s">
        <v>675</v>
      </c>
      <c r="M358" s="1196">
        <v>25980000</v>
      </c>
      <c r="N358" s="1175" t="s">
        <v>749</v>
      </c>
      <c r="O358" s="1175" t="s">
        <v>1562</v>
      </c>
    </row>
    <row r="359" spans="1:15" s="1159" customFormat="1" ht="75" x14ac:dyDescent="0.3">
      <c r="A359" s="1172">
        <v>2022353</v>
      </c>
      <c r="B359" s="1172">
        <v>7658</v>
      </c>
      <c r="C359" s="1172" t="s">
        <v>679</v>
      </c>
      <c r="D359" s="1190" t="s">
        <v>701</v>
      </c>
      <c r="E359" s="1230">
        <v>80111600</v>
      </c>
      <c r="F359" s="1199" t="s">
        <v>1011</v>
      </c>
      <c r="G359" s="1193" t="s">
        <v>1495</v>
      </c>
      <c r="H359" s="1212" t="s">
        <v>1495</v>
      </c>
      <c r="I359" s="1194" t="s">
        <v>1543</v>
      </c>
      <c r="J359" s="1195" t="s">
        <v>1535</v>
      </c>
      <c r="K359" s="1176" t="s">
        <v>674</v>
      </c>
      <c r="L359" s="1241" t="s">
        <v>675</v>
      </c>
      <c r="M359" s="1196">
        <f>25980000+25980000</f>
        <v>51960000</v>
      </c>
      <c r="N359" s="1175" t="s">
        <v>749</v>
      </c>
      <c r="O359" s="1175" t="s">
        <v>1562</v>
      </c>
    </row>
    <row r="360" spans="1:15" s="1159" customFormat="1" ht="75" x14ac:dyDescent="0.3">
      <c r="A360" s="1172">
        <v>2022354</v>
      </c>
      <c r="B360" s="1172">
        <v>7658</v>
      </c>
      <c r="C360" s="1172" t="s">
        <v>679</v>
      </c>
      <c r="D360" s="1190" t="s">
        <v>701</v>
      </c>
      <c r="E360" s="1230">
        <v>80111600</v>
      </c>
      <c r="F360" s="1199" t="s">
        <v>1012</v>
      </c>
      <c r="G360" s="1193" t="s">
        <v>1495</v>
      </c>
      <c r="H360" s="1212" t="s">
        <v>1495</v>
      </c>
      <c r="I360" s="1194" t="s">
        <v>1543</v>
      </c>
      <c r="J360" s="1195" t="s">
        <v>1535</v>
      </c>
      <c r="K360" s="1176" t="s">
        <v>674</v>
      </c>
      <c r="L360" s="1241" t="s">
        <v>675</v>
      </c>
      <c r="M360" s="1196">
        <v>30300000</v>
      </c>
      <c r="N360" s="1175" t="s">
        <v>749</v>
      </c>
      <c r="O360" s="1175" t="s">
        <v>1562</v>
      </c>
    </row>
    <row r="361" spans="1:15" s="1159" customFormat="1" ht="75" x14ac:dyDescent="0.3">
      <c r="A361" s="1172">
        <v>2022355</v>
      </c>
      <c r="B361" s="1172">
        <v>7658</v>
      </c>
      <c r="C361" s="1172" t="s">
        <v>679</v>
      </c>
      <c r="D361" s="1190" t="s">
        <v>701</v>
      </c>
      <c r="E361" s="1230">
        <v>80111600</v>
      </c>
      <c r="F361" s="1199" t="s">
        <v>1012</v>
      </c>
      <c r="G361" s="1193" t="s">
        <v>1495</v>
      </c>
      <c r="H361" s="1212" t="s">
        <v>1495</v>
      </c>
      <c r="I361" s="1194" t="s">
        <v>1543</v>
      </c>
      <c r="J361" s="1195" t="s">
        <v>1535</v>
      </c>
      <c r="K361" s="1176" t="s">
        <v>674</v>
      </c>
      <c r="L361" s="1241" t="s">
        <v>675</v>
      </c>
      <c r="M361" s="1196">
        <v>30300000</v>
      </c>
      <c r="N361" s="1175" t="s">
        <v>749</v>
      </c>
      <c r="O361" s="1175" t="s">
        <v>1562</v>
      </c>
    </row>
    <row r="362" spans="1:15" s="1159" customFormat="1" ht="75" x14ac:dyDescent="0.3">
      <c r="A362" s="1172">
        <v>2022356</v>
      </c>
      <c r="B362" s="1172">
        <v>7658</v>
      </c>
      <c r="C362" s="1172" t="s">
        <v>679</v>
      </c>
      <c r="D362" s="1190" t="s">
        <v>701</v>
      </c>
      <c r="E362" s="1230">
        <v>80111600</v>
      </c>
      <c r="F362" s="1199" t="s">
        <v>1012</v>
      </c>
      <c r="G362" s="1193" t="s">
        <v>1495</v>
      </c>
      <c r="H362" s="1212" t="s">
        <v>1495</v>
      </c>
      <c r="I362" s="1194" t="s">
        <v>1543</v>
      </c>
      <c r="J362" s="1195" t="s">
        <v>1535</v>
      </c>
      <c r="K362" s="1176" t="s">
        <v>674</v>
      </c>
      <c r="L362" s="1241" t="s">
        <v>675</v>
      </c>
      <c r="M362" s="1196">
        <v>30300000</v>
      </c>
      <c r="N362" s="1175" t="s">
        <v>749</v>
      </c>
      <c r="O362" s="1175" t="s">
        <v>1562</v>
      </c>
    </row>
    <row r="363" spans="1:15" s="1159" customFormat="1" ht="75" x14ac:dyDescent="0.3">
      <c r="A363" s="1172">
        <v>2022357</v>
      </c>
      <c r="B363" s="1172">
        <v>7658</v>
      </c>
      <c r="C363" s="1172" t="s">
        <v>679</v>
      </c>
      <c r="D363" s="1190" t="s">
        <v>701</v>
      </c>
      <c r="E363" s="1230">
        <v>80111600</v>
      </c>
      <c r="F363" s="1199" t="s">
        <v>1012</v>
      </c>
      <c r="G363" s="1193" t="s">
        <v>1495</v>
      </c>
      <c r="H363" s="1212" t="s">
        <v>1495</v>
      </c>
      <c r="I363" s="1194" t="s">
        <v>1543</v>
      </c>
      <c r="J363" s="1195" t="s">
        <v>1535</v>
      </c>
      <c r="K363" s="1176" t="s">
        <v>674</v>
      </c>
      <c r="L363" s="1241" t="s">
        <v>675</v>
      </c>
      <c r="M363" s="1196">
        <v>30300000</v>
      </c>
      <c r="N363" s="1175" t="s">
        <v>749</v>
      </c>
      <c r="O363" s="1175" t="s">
        <v>1562</v>
      </c>
    </row>
    <row r="364" spans="1:15" s="1159" customFormat="1" ht="75" x14ac:dyDescent="0.3">
      <c r="A364" s="1172">
        <v>2022358</v>
      </c>
      <c r="B364" s="1172">
        <v>7658</v>
      </c>
      <c r="C364" s="1172" t="s">
        <v>679</v>
      </c>
      <c r="D364" s="1190" t="s">
        <v>701</v>
      </c>
      <c r="E364" s="1230">
        <v>80111600</v>
      </c>
      <c r="F364" s="1199" t="s">
        <v>1012</v>
      </c>
      <c r="G364" s="1193" t="s">
        <v>1495</v>
      </c>
      <c r="H364" s="1212" t="s">
        <v>1495</v>
      </c>
      <c r="I364" s="1194" t="s">
        <v>1498</v>
      </c>
      <c r="J364" s="1195" t="s">
        <v>1535</v>
      </c>
      <c r="K364" s="1176" t="s">
        <v>674</v>
      </c>
      <c r="L364" s="1241" t="s">
        <v>675</v>
      </c>
      <c r="M364" s="1196">
        <v>27775000</v>
      </c>
      <c r="N364" s="1175" t="s">
        <v>749</v>
      </c>
      <c r="O364" s="1175" t="s">
        <v>1562</v>
      </c>
    </row>
    <row r="365" spans="1:15" s="1159" customFormat="1" ht="75" x14ac:dyDescent="0.3">
      <c r="A365" s="1172">
        <v>2022359</v>
      </c>
      <c r="B365" s="1172">
        <v>7658</v>
      </c>
      <c r="C365" s="1172" t="s">
        <v>679</v>
      </c>
      <c r="D365" s="1190" t="s">
        <v>701</v>
      </c>
      <c r="E365" s="1230">
        <v>80111600</v>
      </c>
      <c r="F365" s="1199" t="s">
        <v>1012</v>
      </c>
      <c r="G365" s="1193" t="s">
        <v>1495</v>
      </c>
      <c r="H365" s="1212" t="s">
        <v>1495</v>
      </c>
      <c r="I365" s="1194" t="s">
        <v>1498</v>
      </c>
      <c r="J365" s="1195" t="s">
        <v>1535</v>
      </c>
      <c r="K365" s="1176" t="s">
        <v>674</v>
      </c>
      <c r="L365" s="1241" t="s">
        <v>675</v>
      </c>
      <c r="M365" s="1196">
        <v>27775000</v>
      </c>
      <c r="N365" s="1175" t="s">
        <v>749</v>
      </c>
      <c r="O365" s="1175" t="s">
        <v>1562</v>
      </c>
    </row>
    <row r="366" spans="1:15" s="1159" customFormat="1" ht="75" x14ac:dyDescent="0.3">
      <c r="A366" s="1172">
        <v>2022360</v>
      </c>
      <c r="B366" s="1172">
        <v>7658</v>
      </c>
      <c r="C366" s="1172" t="s">
        <v>679</v>
      </c>
      <c r="D366" s="1190" t="s">
        <v>701</v>
      </c>
      <c r="E366" s="1230">
        <v>80111600</v>
      </c>
      <c r="F366" s="1199" t="s">
        <v>1012</v>
      </c>
      <c r="G366" s="1193" t="s">
        <v>1495</v>
      </c>
      <c r="H366" s="1212" t="s">
        <v>1495</v>
      </c>
      <c r="I366" s="1194" t="s">
        <v>1498</v>
      </c>
      <c r="J366" s="1195" t="s">
        <v>1535</v>
      </c>
      <c r="K366" s="1176" t="s">
        <v>674</v>
      </c>
      <c r="L366" s="1241" t="s">
        <v>675</v>
      </c>
      <c r="M366" s="1196">
        <v>27775000</v>
      </c>
      <c r="N366" s="1175" t="s">
        <v>749</v>
      </c>
      <c r="O366" s="1175" t="s">
        <v>1562</v>
      </c>
    </row>
    <row r="367" spans="1:15" s="1159" customFormat="1" ht="75" x14ac:dyDescent="0.3">
      <c r="A367" s="1172">
        <v>2022361</v>
      </c>
      <c r="B367" s="1172">
        <v>7658</v>
      </c>
      <c r="C367" s="1172" t="s">
        <v>679</v>
      </c>
      <c r="D367" s="1190" t="s">
        <v>701</v>
      </c>
      <c r="E367" s="1230">
        <v>80111600</v>
      </c>
      <c r="F367" s="1199" t="s">
        <v>1012</v>
      </c>
      <c r="G367" s="1193" t="s">
        <v>1495</v>
      </c>
      <c r="H367" s="1212" t="s">
        <v>1495</v>
      </c>
      <c r="I367" s="1194" t="s">
        <v>1498</v>
      </c>
      <c r="J367" s="1195" t="s">
        <v>1535</v>
      </c>
      <c r="K367" s="1176" t="s">
        <v>674</v>
      </c>
      <c r="L367" s="1241" t="s">
        <v>675</v>
      </c>
      <c r="M367" s="1196">
        <v>27775000</v>
      </c>
      <c r="N367" s="1175" t="s">
        <v>749</v>
      </c>
      <c r="O367" s="1175" t="s">
        <v>1562</v>
      </c>
    </row>
    <row r="368" spans="1:15" s="1159" customFormat="1" ht="75" x14ac:dyDescent="0.3">
      <c r="A368" s="1172">
        <v>2022362</v>
      </c>
      <c r="B368" s="1172">
        <v>7658</v>
      </c>
      <c r="C368" s="1172" t="s">
        <v>679</v>
      </c>
      <c r="D368" s="1190" t="s">
        <v>701</v>
      </c>
      <c r="E368" s="1230">
        <v>80111600</v>
      </c>
      <c r="F368" s="1199" t="s">
        <v>1012</v>
      </c>
      <c r="G368" s="1193" t="s">
        <v>1495</v>
      </c>
      <c r="H368" s="1212" t="s">
        <v>1495</v>
      </c>
      <c r="I368" s="1194" t="s">
        <v>1498</v>
      </c>
      <c r="J368" s="1195" t="s">
        <v>1535</v>
      </c>
      <c r="K368" s="1176" t="s">
        <v>674</v>
      </c>
      <c r="L368" s="1241" t="s">
        <v>675</v>
      </c>
      <c r="M368" s="1196">
        <v>27775000</v>
      </c>
      <c r="N368" s="1175" t="s">
        <v>749</v>
      </c>
      <c r="O368" s="1175" t="s">
        <v>1562</v>
      </c>
    </row>
    <row r="369" spans="1:15" s="1159" customFormat="1" ht="75" x14ac:dyDescent="0.3">
      <c r="A369" s="1172">
        <v>2022363</v>
      </c>
      <c r="B369" s="1172">
        <v>7658</v>
      </c>
      <c r="C369" s="1172" t="s">
        <v>679</v>
      </c>
      <c r="D369" s="1190" t="s">
        <v>701</v>
      </c>
      <c r="E369" s="1230">
        <v>80111600</v>
      </c>
      <c r="F369" s="1199" t="s">
        <v>1012</v>
      </c>
      <c r="G369" s="1193" t="s">
        <v>1495</v>
      </c>
      <c r="H369" s="1212" t="s">
        <v>1495</v>
      </c>
      <c r="I369" s="1194" t="s">
        <v>1498</v>
      </c>
      <c r="J369" s="1195" t="s">
        <v>1535</v>
      </c>
      <c r="K369" s="1176" t="s">
        <v>674</v>
      </c>
      <c r="L369" s="1241" t="s">
        <v>675</v>
      </c>
      <c r="M369" s="1196">
        <v>27775000</v>
      </c>
      <c r="N369" s="1175" t="s">
        <v>749</v>
      </c>
      <c r="O369" s="1175" t="s">
        <v>1562</v>
      </c>
    </row>
    <row r="370" spans="1:15" s="1159" customFormat="1" ht="75" x14ac:dyDescent="0.3">
      <c r="A370" s="1172">
        <v>2022364</v>
      </c>
      <c r="B370" s="1172">
        <v>7658</v>
      </c>
      <c r="C370" s="1172" t="s">
        <v>679</v>
      </c>
      <c r="D370" s="1190" t="s">
        <v>701</v>
      </c>
      <c r="E370" s="1230">
        <v>80111600</v>
      </c>
      <c r="F370" s="1199" t="s">
        <v>1012</v>
      </c>
      <c r="G370" s="1193" t="s">
        <v>1495</v>
      </c>
      <c r="H370" s="1212" t="s">
        <v>1495</v>
      </c>
      <c r="I370" s="1194" t="s">
        <v>1541</v>
      </c>
      <c r="J370" s="1195" t="s">
        <v>1535</v>
      </c>
      <c r="K370" s="1176" t="s">
        <v>674</v>
      </c>
      <c r="L370" s="1241" t="s">
        <v>675</v>
      </c>
      <c r="M370" s="1196">
        <v>25250000</v>
      </c>
      <c r="N370" s="1175" t="s">
        <v>749</v>
      </c>
      <c r="O370" s="1175" t="s">
        <v>1562</v>
      </c>
    </row>
    <row r="371" spans="1:15" s="1159" customFormat="1" ht="75" x14ac:dyDescent="0.3">
      <c r="A371" s="1172">
        <v>2022365</v>
      </c>
      <c r="B371" s="1172">
        <v>7658</v>
      </c>
      <c r="C371" s="1172" t="s">
        <v>679</v>
      </c>
      <c r="D371" s="1190" t="s">
        <v>701</v>
      </c>
      <c r="E371" s="1230">
        <v>80111600</v>
      </c>
      <c r="F371" s="1199" t="s">
        <v>1012</v>
      </c>
      <c r="G371" s="1193" t="s">
        <v>1495</v>
      </c>
      <c r="H371" s="1212" t="s">
        <v>1495</v>
      </c>
      <c r="I371" s="1194" t="s">
        <v>1541</v>
      </c>
      <c r="J371" s="1195" t="s">
        <v>1535</v>
      </c>
      <c r="K371" s="1176" t="s">
        <v>674</v>
      </c>
      <c r="L371" s="1241" t="s">
        <v>675</v>
      </c>
      <c r="M371" s="1196">
        <v>25250000</v>
      </c>
      <c r="N371" s="1175" t="s">
        <v>749</v>
      </c>
      <c r="O371" s="1175" t="s">
        <v>1562</v>
      </c>
    </row>
    <row r="372" spans="1:15" s="1159" customFormat="1" ht="75" x14ac:dyDescent="0.3">
      <c r="A372" s="1172">
        <v>2022366</v>
      </c>
      <c r="B372" s="1172">
        <v>7658</v>
      </c>
      <c r="C372" s="1172" t="s">
        <v>679</v>
      </c>
      <c r="D372" s="1190" t="s">
        <v>701</v>
      </c>
      <c r="E372" s="1230">
        <v>80111600</v>
      </c>
      <c r="F372" s="1199" t="s">
        <v>1013</v>
      </c>
      <c r="G372" s="1193" t="s">
        <v>1495</v>
      </c>
      <c r="H372" s="1212" t="s">
        <v>1495</v>
      </c>
      <c r="I372" s="1194" t="s">
        <v>1543</v>
      </c>
      <c r="J372" s="1195" t="s">
        <v>1535</v>
      </c>
      <c r="K372" s="1176" t="s">
        <v>674</v>
      </c>
      <c r="L372" s="1241" t="s">
        <v>675</v>
      </c>
      <c r="M372" s="1196">
        <v>25956000</v>
      </c>
      <c r="N372" s="1175" t="s">
        <v>749</v>
      </c>
      <c r="O372" s="1175" t="s">
        <v>1562</v>
      </c>
    </row>
    <row r="373" spans="1:15" s="1159" customFormat="1" ht="75" x14ac:dyDescent="0.3">
      <c r="A373" s="1172">
        <v>2022367</v>
      </c>
      <c r="B373" s="1172">
        <v>7658</v>
      </c>
      <c r="C373" s="1172" t="s">
        <v>679</v>
      </c>
      <c r="D373" s="1190" t="s">
        <v>701</v>
      </c>
      <c r="E373" s="1230">
        <v>80111600</v>
      </c>
      <c r="F373" s="1199" t="s">
        <v>1014</v>
      </c>
      <c r="G373" s="1193" t="s">
        <v>1495</v>
      </c>
      <c r="H373" s="1212" t="s">
        <v>1495</v>
      </c>
      <c r="I373" s="1194" t="s">
        <v>1543</v>
      </c>
      <c r="J373" s="1195" t="s">
        <v>1535</v>
      </c>
      <c r="K373" s="1176" t="s">
        <v>674</v>
      </c>
      <c r="L373" s="1241" t="s">
        <v>675</v>
      </c>
      <c r="M373" s="1196">
        <v>41400000</v>
      </c>
      <c r="N373" s="1175" t="s">
        <v>749</v>
      </c>
      <c r="O373" s="1175" t="s">
        <v>1562</v>
      </c>
    </row>
    <row r="374" spans="1:15" s="1159" customFormat="1" ht="75" x14ac:dyDescent="0.3">
      <c r="A374" s="1172">
        <v>2022368</v>
      </c>
      <c r="B374" s="1172">
        <v>7658</v>
      </c>
      <c r="C374" s="1172" t="s">
        <v>679</v>
      </c>
      <c r="D374" s="1190" t="s">
        <v>701</v>
      </c>
      <c r="E374" s="1230">
        <v>80111600</v>
      </c>
      <c r="F374" s="1199" t="s">
        <v>1015</v>
      </c>
      <c r="G374" s="1193" t="s">
        <v>1495</v>
      </c>
      <c r="H374" s="1212" t="s">
        <v>1495</v>
      </c>
      <c r="I374" s="1194" t="s">
        <v>1543</v>
      </c>
      <c r="J374" s="1195" t="s">
        <v>1535</v>
      </c>
      <c r="K374" s="1176" t="s">
        <v>674</v>
      </c>
      <c r="L374" s="1241" t="s">
        <v>675</v>
      </c>
      <c r="M374" s="1196">
        <v>25200000</v>
      </c>
      <c r="N374" s="1175" t="s">
        <v>749</v>
      </c>
      <c r="O374" s="1175" t="s">
        <v>1562</v>
      </c>
    </row>
    <row r="375" spans="1:15" s="1159" customFormat="1" ht="75" x14ac:dyDescent="0.3">
      <c r="A375" s="1172">
        <v>2022369</v>
      </c>
      <c r="B375" s="1172">
        <v>7658</v>
      </c>
      <c r="C375" s="1172" t="s">
        <v>679</v>
      </c>
      <c r="D375" s="1190" t="s">
        <v>701</v>
      </c>
      <c r="E375" s="1230">
        <v>80111600</v>
      </c>
      <c r="F375" s="1199" t="s">
        <v>1016</v>
      </c>
      <c r="G375" s="1193" t="s">
        <v>1495</v>
      </c>
      <c r="H375" s="1212" t="s">
        <v>1495</v>
      </c>
      <c r="I375" s="1194" t="s">
        <v>1498</v>
      </c>
      <c r="J375" s="1195" t="s">
        <v>1535</v>
      </c>
      <c r="K375" s="1176" t="s">
        <v>674</v>
      </c>
      <c r="L375" s="1241" t="s">
        <v>675</v>
      </c>
      <c r="M375" s="1196">
        <v>37950000</v>
      </c>
      <c r="N375" s="1175" t="s">
        <v>749</v>
      </c>
      <c r="O375" s="1175" t="s">
        <v>1562</v>
      </c>
    </row>
    <row r="376" spans="1:15" s="1159" customFormat="1" ht="75" x14ac:dyDescent="0.3">
      <c r="A376" s="1172">
        <v>2022370</v>
      </c>
      <c r="B376" s="1172">
        <v>7658</v>
      </c>
      <c r="C376" s="1172" t="s">
        <v>679</v>
      </c>
      <c r="D376" s="1190" t="s">
        <v>701</v>
      </c>
      <c r="E376" s="1230">
        <v>80111600</v>
      </c>
      <c r="F376" s="1199" t="s">
        <v>1017</v>
      </c>
      <c r="G376" s="1193" t="s">
        <v>1495</v>
      </c>
      <c r="H376" s="1212" t="s">
        <v>1495</v>
      </c>
      <c r="I376" s="1194" t="s">
        <v>1543</v>
      </c>
      <c r="J376" s="1195" t="s">
        <v>1535</v>
      </c>
      <c r="K376" s="1176" t="s">
        <v>674</v>
      </c>
      <c r="L376" s="1241" t="s">
        <v>675</v>
      </c>
      <c r="M376" s="1196">
        <v>47586000</v>
      </c>
      <c r="N376" s="1175" t="s">
        <v>749</v>
      </c>
      <c r="O376" s="1175" t="s">
        <v>1562</v>
      </c>
    </row>
    <row r="377" spans="1:15" s="1159" customFormat="1" ht="75" x14ac:dyDescent="0.3">
      <c r="A377" s="1172">
        <v>2022371</v>
      </c>
      <c r="B377" s="1172">
        <v>7658</v>
      </c>
      <c r="C377" s="1172" t="s">
        <v>679</v>
      </c>
      <c r="D377" s="1190" t="s">
        <v>701</v>
      </c>
      <c r="E377" s="1230">
        <v>80111600</v>
      </c>
      <c r="F377" s="1199" t="s">
        <v>1018</v>
      </c>
      <c r="G377" s="1193" t="s">
        <v>1495</v>
      </c>
      <c r="H377" s="1212" t="s">
        <v>1495</v>
      </c>
      <c r="I377" s="1194" t="s">
        <v>1498</v>
      </c>
      <c r="J377" s="1195" t="s">
        <v>1535</v>
      </c>
      <c r="K377" s="1176" t="s">
        <v>674</v>
      </c>
      <c r="L377" s="1241" t="s">
        <v>675</v>
      </c>
      <c r="M377" s="1196">
        <v>37956000</v>
      </c>
      <c r="N377" s="1175" t="s">
        <v>749</v>
      </c>
      <c r="O377" s="1175" t="s">
        <v>1562</v>
      </c>
    </row>
    <row r="378" spans="1:15" s="1159" customFormat="1" ht="75" x14ac:dyDescent="0.3">
      <c r="A378" s="1172">
        <v>2022372</v>
      </c>
      <c r="B378" s="1172">
        <v>7658</v>
      </c>
      <c r="C378" s="1172" t="s">
        <v>679</v>
      </c>
      <c r="D378" s="1190" t="s">
        <v>701</v>
      </c>
      <c r="E378" s="1230">
        <v>80111600</v>
      </c>
      <c r="F378" s="1199" t="s">
        <v>1019</v>
      </c>
      <c r="G378" s="1193" t="s">
        <v>1495</v>
      </c>
      <c r="H378" s="1212" t="s">
        <v>1495</v>
      </c>
      <c r="I378" s="1194" t="s">
        <v>1543</v>
      </c>
      <c r="J378" s="1195" t="s">
        <v>1535</v>
      </c>
      <c r="K378" s="1176" t="s">
        <v>674</v>
      </c>
      <c r="L378" s="1241" t="s">
        <v>675</v>
      </c>
      <c r="M378" s="1196">
        <v>63036000</v>
      </c>
      <c r="N378" s="1175" t="s">
        <v>749</v>
      </c>
      <c r="O378" s="1175" t="s">
        <v>1562</v>
      </c>
    </row>
    <row r="379" spans="1:15" s="1159" customFormat="1" ht="75" x14ac:dyDescent="0.3">
      <c r="A379" s="1172">
        <v>2022373</v>
      </c>
      <c r="B379" s="1172">
        <v>7658</v>
      </c>
      <c r="C379" s="1172" t="s">
        <v>679</v>
      </c>
      <c r="D379" s="1190" t="s">
        <v>701</v>
      </c>
      <c r="E379" s="1230">
        <v>80111600</v>
      </c>
      <c r="F379" s="1199" t="s">
        <v>1019</v>
      </c>
      <c r="G379" s="1193" t="s">
        <v>1495</v>
      </c>
      <c r="H379" s="1212" t="s">
        <v>1495</v>
      </c>
      <c r="I379" s="1194" t="s">
        <v>1541</v>
      </c>
      <c r="J379" s="1195" t="s">
        <v>1535</v>
      </c>
      <c r="K379" s="1176" t="s">
        <v>674</v>
      </c>
      <c r="L379" s="1241" t="s">
        <v>675</v>
      </c>
      <c r="M379" s="1196">
        <v>39700000</v>
      </c>
      <c r="N379" s="1175" t="s">
        <v>749</v>
      </c>
      <c r="O379" s="1175" t="s">
        <v>1562</v>
      </c>
    </row>
    <row r="380" spans="1:15" s="1159" customFormat="1" ht="75" x14ac:dyDescent="0.3">
      <c r="A380" s="1172">
        <v>2022374</v>
      </c>
      <c r="B380" s="1172">
        <v>7658</v>
      </c>
      <c r="C380" s="1172" t="s">
        <v>679</v>
      </c>
      <c r="D380" s="1190" t="s">
        <v>701</v>
      </c>
      <c r="E380" s="1230">
        <v>80111600</v>
      </c>
      <c r="F380" s="1199" t="s">
        <v>1019</v>
      </c>
      <c r="G380" s="1193" t="s">
        <v>1495</v>
      </c>
      <c r="H380" s="1212" t="s">
        <v>1495</v>
      </c>
      <c r="I380" s="1194" t="s">
        <v>1498</v>
      </c>
      <c r="J380" s="1195" t="s">
        <v>1535</v>
      </c>
      <c r="K380" s="1176" t="s">
        <v>674</v>
      </c>
      <c r="L380" s="1241" t="s">
        <v>675</v>
      </c>
      <c r="M380" s="1196">
        <v>50985000</v>
      </c>
      <c r="N380" s="1175" t="s">
        <v>749</v>
      </c>
      <c r="O380" s="1175" t="s">
        <v>1562</v>
      </c>
    </row>
    <row r="381" spans="1:15" s="1159" customFormat="1" ht="75" x14ac:dyDescent="0.3">
      <c r="A381" s="1172">
        <v>2022375</v>
      </c>
      <c r="B381" s="1172">
        <v>7658</v>
      </c>
      <c r="C381" s="1172" t="s">
        <v>679</v>
      </c>
      <c r="D381" s="1190" t="s">
        <v>701</v>
      </c>
      <c r="E381" s="1230">
        <v>80111600</v>
      </c>
      <c r="F381" s="1199" t="s">
        <v>1020</v>
      </c>
      <c r="G381" s="1193" t="s">
        <v>1495</v>
      </c>
      <c r="H381" s="1212" t="s">
        <v>1495</v>
      </c>
      <c r="I381" s="1194" t="s">
        <v>1543</v>
      </c>
      <c r="J381" s="1195" t="s">
        <v>1535</v>
      </c>
      <c r="K381" s="1176" t="s">
        <v>674</v>
      </c>
      <c r="L381" s="1241" t="s">
        <v>675</v>
      </c>
      <c r="M381" s="1196">
        <v>55620000</v>
      </c>
      <c r="N381" s="1175" t="s">
        <v>749</v>
      </c>
      <c r="O381" s="1175" t="s">
        <v>1562</v>
      </c>
    </row>
    <row r="382" spans="1:15" s="1159" customFormat="1" ht="75" x14ac:dyDescent="0.3">
      <c r="A382" s="1172">
        <v>2022376</v>
      </c>
      <c r="B382" s="1172">
        <v>7658</v>
      </c>
      <c r="C382" s="1172" t="s">
        <v>679</v>
      </c>
      <c r="D382" s="1190" t="s">
        <v>701</v>
      </c>
      <c r="E382" s="1230">
        <v>80111600</v>
      </c>
      <c r="F382" s="1199" t="s">
        <v>1021</v>
      </c>
      <c r="G382" s="1193" t="s">
        <v>1495</v>
      </c>
      <c r="H382" s="1212" t="s">
        <v>1495</v>
      </c>
      <c r="I382" s="1194" t="s">
        <v>1543</v>
      </c>
      <c r="J382" s="1195" t="s">
        <v>1535</v>
      </c>
      <c r="K382" s="1176" t="s">
        <v>674</v>
      </c>
      <c r="L382" s="1241" t="s">
        <v>675</v>
      </c>
      <c r="M382" s="1196">
        <v>55620000</v>
      </c>
      <c r="N382" s="1175" t="s">
        <v>749</v>
      </c>
      <c r="O382" s="1175" t="s">
        <v>1562</v>
      </c>
    </row>
    <row r="383" spans="1:15" s="1159" customFormat="1" ht="75" x14ac:dyDescent="0.3">
      <c r="A383" s="1172">
        <v>2022377</v>
      </c>
      <c r="B383" s="1172">
        <v>7658</v>
      </c>
      <c r="C383" s="1172" t="s">
        <v>679</v>
      </c>
      <c r="D383" s="1190" t="s">
        <v>701</v>
      </c>
      <c r="E383" s="1230">
        <v>80111600</v>
      </c>
      <c r="F383" s="1199" t="s">
        <v>1022</v>
      </c>
      <c r="G383" s="1193" t="s">
        <v>1495</v>
      </c>
      <c r="H383" s="1212" t="s">
        <v>1495</v>
      </c>
      <c r="I383" s="1194" t="s">
        <v>1543</v>
      </c>
      <c r="J383" s="1195" t="s">
        <v>1535</v>
      </c>
      <c r="K383" s="1176" t="s">
        <v>674</v>
      </c>
      <c r="L383" s="1241" t="s">
        <v>675</v>
      </c>
      <c r="M383" s="1196">
        <v>55620000</v>
      </c>
      <c r="N383" s="1175" t="s">
        <v>749</v>
      </c>
      <c r="O383" s="1175" t="s">
        <v>1562</v>
      </c>
    </row>
    <row r="384" spans="1:15" s="1159" customFormat="1" ht="75" x14ac:dyDescent="0.3">
      <c r="A384" s="1172">
        <v>2022378</v>
      </c>
      <c r="B384" s="1172">
        <v>7658</v>
      </c>
      <c r="C384" s="1172" t="s">
        <v>679</v>
      </c>
      <c r="D384" s="1190" t="s">
        <v>701</v>
      </c>
      <c r="E384" s="1230">
        <v>80111600</v>
      </c>
      <c r="F384" s="1199" t="s">
        <v>1023</v>
      </c>
      <c r="G384" s="1193" t="s">
        <v>1495</v>
      </c>
      <c r="H384" s="1212" t="s">
        <v>1495</v>
      </c>
      <c r="I384" s="1194" t="s">
        <v>1543</v>
      </c>
      <c r="J384" s="1195" t="s">
        <v>1535</v>
      </c>
      <c r="K384" s="1176" t="s">
        <v>674</v>
      </c>
      <c r="L384" s="1241" t="s">
        <v>675</v>
      </c>
      <c r="M384" s="1196">
        <v>55620000</v>
      </c>
      <c r="N384" s="1175" t="s">
        <v>749</v>
      </c>
      <c r="O384" s="1175" t="s">
        <v>1562</v>
      </c>
    </row>
    <row r="385" spans="1:18" s="1159" customFormat="1" ht="75" x14ac:dyDescent="0.3">
      <c r="A385" s="1172">
        <v>2022379</v>
      </c>
      <c r="B385" s="1172">
        <v>7658</v>
      </c>
      <c r="C385" s="1172" t="s">
        <v>679</v>
      </c>
      <c r="D385" s="1190" t="s">
        <v>701</v>
      </c>
      <c r="E385" s="1230">
        <v>80111600</v>
      </c>
      <c r="F385" s="1199" t="s">
        <v>1024</v>
      </c>
      <c r="G385" s="1193" t="s">
        <v>1495</v>
      </c>
      <c r="H385" s="1212" t="s">
        <v>1495</v>
      </c>
      <c r="I385" s="1194" t="s">
        <v>1498</v>
      </c>
      <c r="J385" s="1195" t="s">
        <v>1535</v>
      </c>
      <c r="K385" s="1176" t="s">
        <v>674</v>
      </c>
      <c r="L385" s="1241" t="s">
        <v>675</v>
      </c>
      <c r="M385" s="1196">
        <v>50985000</v>
      </c>
      <c r="N385" s="1175" t="s">
        <v>749</v>
      </c>
      <c r="O385" s="1175" t="s">
        <v>1562</v>
      </c>
    </row>
    <row r="386" spans="1:18" s="1159" customFormat="1" ht="75" x14ac:dyDescent="0.3">
      <c r="A386" s="1172">
        <v>2022380</v>
      </c>
      <c r="B386" s="1172">
        <v>7658</v>
      </c>
      <c r="C386" s="1172" t="s">
        <v>679</v>
      </c>
      <c r="D386" s="1190" t="s">
        <v>701</v>
      </c>
      <c r="E386" s="1230">
        <v>80111600</v>
      </c>
      <c r="F386" s="1199" t="s">
        <v>1025</v>
      </c>
      <c r="G386" s="1193" t="s">
        <v>1495</v>
      </c>
      <c r="H386" s="1212" t="s">
        <v>1495</v>
      </c>
      <c r="I386" s="1194" t="s">
        <v>1498</v>
      </c>
      <c r="J386" s="1195" t="s">
        <v>1535</v>
      </c>
      <c r="K386" s="1176" t="s">
        <v>674</v>
      </c>
      <c r="L386" s="1241" t="s">
        <v>675</v>
      </c>
      <c r="M386" s="1196">
        <v>50985000</v>
      </c>
      <c r="N386" s="1175" t="s">
        <v>749</v>
      </c>
      <c r="O386" s="1175" t="s">
        <v>1562</v>
      </c>
    </row>
    <row r="387" spans="1:18" s="1159" customFormat="1" ht="75" x14ac:dyDescent="0.3">
      <c r="A387" s="1172">
        <v>2022381</v>
      </c>
      <c r="B387" s="1172">
        <v>7658</v>
      </c>
      <c r="C387" s="1172" t="s">
        <v>679</v>
      </c>
      <c r="D387" s="1190" t="s">
        <v>701</v>
      </c>
      <c r="E387" s="1230">
        <v>80111600</v>
      </c>
      <c r="F387" s="1199" t="s">
        <v>1026</v>
      </c>
      <c r="G387" s="1193" t="s">
        <v>1495</v>
      </c>
      <c r="H387" s="1212" t="s">
        <v>1495</v>
      </c>
      <c r="I387" s="1194" t="s">
        <v>1543</v>
      </c>
      <c r="J387" s="1195" t="s">
        <v>1535</v>
      </c>
      <c r="K387" s="1176" t="s">
        <v>674</v>
      </c>
      <c r="L387" s="1241" t="s">
        <v>675</v>
      </c>
      <c r="M387" s="1196">
        <v>84000000</v>
      </c>
      <c r="N387" s="1175" t="s">
        <v>749</v>
      </c>
      <c r="O387" s="1175" t="s">
        <v>1562</v>
      </c>
    </row>
    <row r="388" spans="1:18" s="1159" customFormat="1" ht="75" x14ac:dyDescent="0.3">
      <c r="A388" s="1172">
        <v>2022382</v>
      </c>
      <c r="B388" s="1172">
        <v>7658</v>
      </c>
      <c r="C388" s="1172" t="s">
        <v>679</v>
      </c>
      <c r="D388" s="1190" t="s">
        <v>701</v>
      </c>
      <c r="E388" s="1230">
        <v>80111600</v>
      </c>
      <c r="F388" s="1199" t="s">
        <v>1027</v>
      </c>
      <c r="G388" s="1193" t="s">
        <v>1495</v>
      </c>
      <c r="H388" s="1212" t="s">
        <v>1495</v>
      </c>
      <c r="I388" s="1194" t="s">
        <v>1543</v>
      </c>
      <c r="J388" s="1195" t="s">
        <v>1535</v>
      </c>
      <c r="K388" s="1176" t="s">
        <v>674</v>
      </c>
      <c r="L388" s="1241" t="s">
        <v>675</v>
      </c>
      <c r="M388" s="1196">
        <v>84000000</v>
      </c>
      <c r="N388" s="1175" t="s">
        <v>749</v>
      </c>
      <c r="O388" s="1175" t="s">
        <v>1562</v>
      </c>
    </row>
    <row r="389" spans="1:18" s="1159" customFormat="1" ht="75" x14ac:dyDescent="0.3">
      <c r="A389" s="1172">
        <v>2022383</v>
      </c>
      <c r="B389" s="1172">
        <v>7658</v>
      </c>
      <c r="C389" s="1172" t="s">
        <v>679</v>
      </c>
      <c r="D389" s="1190" t="s">
        <v>701</v>
      </c>
      <c r="E389" s="1230">
        <v>80111600</v>
      </c>
      <c r="F389" s="1199" t="s">
        <v>1028</v>
      </c>
      <c r="G389" s="1193" t="s">
        <v>1495</v>
      </c>
      <c r="H389" s="1212" t="s">
        <v>1495</v>
      </c>
      <c r="I389" s="1194" t="s">
        <v>1543</v>
      </c>
      <c r="J389" s="1195" t="s">
        <v>1535</v>
      </c>
      <c r="K389" s="1176" t="s">
        <v>674</v>
      </c>
      <c r="L389" s="1241" t="s">
        <v>675</v>
      </c>
      <c r="M389" s="1196">
        <v>84000000</v>
      </c>
      <c r="N389" s="1175" t="s">
        <v>749</v>
      </c>
      <c r="O389" s="1175" t="s">
        <v>1562</v>
      </c>
    </row>
    <row r="390" spans="1:18" s="1159" customFormat="1" ht="75" x14ac:dyDescent="0.3">
      <c r="A390" s="1172">
        <v>2022384</v>
      </c>
      <c r="B390" s="1172">
        <v>7658</v>
      </c>
      <c r="C390" s="1172" t="s">
        <v>679</v>
      </c>
      <c r="D390" s="1190" t="s">
        <v>701</v>
      </c>
      <c r="E390" s="1230">
        <v>80111600</v>
      </c>
      <c r="F390" s="1199" t="s">
        <v>1029</v>
      </c>
      <c r="G390" s="1193" t="s">
        <v>1495</v>
      </c>
      <c r="H390" s="1212" t="s">
        <v>1495</v>
      </c>
      <c r="I390" s="1194" t="s">
        <v>1543</v>
      </c>
      <c r="J390" s="1195" t="s">
        <v>1535</v>
      </c>
      <c r="K390" s="1176" t="s">
        <v>674</v>
      </c>
      <c r="L390" s="1241" t="s">
        <v>675</v>
      </c>
      <c r="M390" s="1196">
        <v>84000000</v>
      </c>
      <c r="N390" s="1175" t="s">
        <v>749</v>
      </c>
      <c r="O390" s="1175" t="s">
        <v>1562</v>
      </c>
    </row>
    <row r="391" spans="1:18" s="1159" customFormat="1" ht="75" x14ac:dyDescent="0.3">
      <c r="A391" s="1172">
        <v>2022385</v>
      </c>
      <c r="B391" s="1172">
        <v>7658</v>
      </c>
      <c r="C391" s="1172" t="s">
        <v>679</v>
      </c>
      <c r="D391" s="1190" t="s">
        <v>701</v>
      </c>
      <c r="E391" s="1230">
        <v>80111600</v>
      </c>
      <c r="F391" s="1199" t="s">
        <v>1030</v>
      </c>
      <c r="G391" s="1193" t="s">
        <v>1495</v>
      </c>
      <c r="H391" s="1212" t="s">
        <v>1495</v>
      </c>
      <c r="I391" s="1194" t="s">
        <v>1543</v>
      </c>
      <c r="J391" s="1195" t="s">
        <v>1535</v>
      </c>
      <c r="K391" s="1176" t="s">
        <v>674</v>
      </c>
      <c r="L391" s="1241" t="s">
        <v>675</v>
      </c>
      <c r="M391" s="1196">
        <v>84000000</v>
      </c>
      <c r="N391" s="1175" t="s">
        <v>749</v>
      </c>
      <c r="O391" s="1175" t="s">
        <v>1562</v>
      </c>
    </row>
    <row r="392" spans="1:18" s="1159" customFormat="1" ht="75" x14ac:dyDescent="0.3">
      <c r="A392" s="1172">
        <v>2022386</v>
      </c>
      <c r="B392" s="1172">
        <v>7658</v>
      </c>
      <c r="C392" s="1172" t="s">
        <v>679</v>
      </c>
      <c r="D392" s="1190" t="s">
        <v>701</v>
      </c>
      <c r="E392" s="1230">
        <v>80111600</v>
      </c>
      <c r="F392" s="1199" t="s">
        <v>1031</v>
      </c>
      <c r="G392" s="1193" t="s">
        <v>1495</v>
      </c>
      <c r="H392" s="1212" t="s">
        <v>1495</v>
      </c>
      <c r="I392" s="1194" t="s">
        <v>1543</v>
      </c>
      <c r="J392" s="1195" t="s">
        <v>1535</v>
      </c>
      <c r="K392" s="1176" t="s">
        <v>674</v>
      </c>
      <c r="L392" s="1241" t="s">
        <v>675</v>
      </c>
      <c r="M392" s="1196">
        <v>84000000</v>
      </c>
      <c r="N392" s="1175" t="s">
        <v>749</v>
      </c>
      <c r="O392" s="1175" t="s">
        <v>1562</v>
      </c>
    </row>
    <row r="393" spans="1:18" s="1159" customFormat="1" ht="75" x14ac:dyDescent="0.3">
      <c r="A393" s="1172">
        <v>2022387</v>
      </c>
      <c r="B393" s="1172">
        <v>7658</v>
      </c>
      <c r="C393" s="1172" t="s">
        <v>679</v>
      </c>
      <c r="D393" s="1190" t="s">
        <v>701</v>
      </c>
      <c r="E393" s="1234">
        <v>80111600</v>
      </c>
      <c r="F393" s="1175" t="s">
        <v>1032</v>
      </c>
      <c r="G393" s="1193" t="s">
        <v>1495</v>
      </c>
      <c r="H393" s="1212" t="s">
        <v>1495</v>
      </c>
      <c r="I393" s="1194" t="s">
        <v>1543</v>
      </c>
      <c r="J393" s="1195" t="s">
        <v>1535</v>
      </c>
      <c r="K393" s="1176" t="s">
        <v>674</v>
      </c>
      <c r="L393" s="1252" t="s">
        <v>675</v>
      </c>
      <c r="M393" s="1253">
        <v>90000000</v>
      </c>
      <c r="N393" s="1175" t="s">
        <v>749</v>
      </c>
      <c r="O393" s="1175" t="s">
        <v>1562</v>
      </c>
    </row>
    <row r="394" spans="1:18" s="1159" customFormat="1" ht="60" x14ac:dyDescent="0.3">
      <c r="A394" s="1172">
        <v>2022388</v>
      </c>
      <c r="B394" s="1172">
        <v>7658</v>
      </c>
      <c r="C394" s="1172" t="s">
        <v>679</v>
      </c>
      <c r="D394" s="1190" t="s">
        <v>692</v>
      </c>
      <c r="E394" s="1234" t="s">
        <v>1615</v>
      </c>
      <c r="F394" s="1175" t="s">
        <v>1616</v>
      </c>
      <c r="G394" s="1212" t="s">
        <v>1617</v>
      </c>
      <c r="H394" s="1212" t="s">
        <v>1618</v>
      </c>
      <c r="I394" s="1212">
        <v>10</v>
      </c>
      <c r="J394" s="1195" t="s">
        <v>1619</v>
      </c>
      <c r="K394" s="1176" t="s">
        <v>674</v>
      </c>
      <c r="L394" s="1254" t="s">
        <v>675</v>
      </c>
      <c r="M394" s="1179">
        <v>650000000</v>
      </c>
      <c r="N394" s="1175" t="s">
        <v>741</v>
      </c>
      <c r="O394" s="1175" t="s">
        <v>1620</v>
      </c>
    </row>
    <row r="395" spans="1:18" s="1159" customFormat="1" ht="75" x14ac:dyDescent="0.3">
      <c r="A395" s="1182">
        <v>2022389</v>
      </c>
      <c r="B395" s="1182">
        <v>7658</v>
      </c>
      <c r="C395" s="1182" t="s">
        <v>679</v>
      </c>
      <c r="D395" s="1227" t="s">
        <v>692</v>
      </c>
      <c r="E395" s="1255" t="s">
        <v>1033</v>
      </c>
      <c r="F395" s="1185" t="s">
        <v>1034</v>
      </c>
      <c r="G395" s="1246" t="s">
        <v>1617</v>
      </c>
      <c r="H395" s="1246" t="s">
        <v>1618</v>
      </c>
      <c r="I395" s="1246">
        <v>8</v>
      </c>
      <c r="J395" s="1240" t="s">
        <v>1619</v>
      </c>
      <c r="K395" s="1184" t="s">
        <v>674</v>
      </c>
      <c r="L395" s="1256" t="s">
        <v>675</v>
      </c>
      <c r="M395" s="1186">
        <v>816036232</v>
      </c>
      <c r="N395" s="1185" t="s">
        <v>741</v>
      </c>
      <c r="O395" s="1185" t="s">
        <v>1620</v>
      </c>
      <c r="R395" s="1180"/>
    </row>
    <row r="396" spans="1:18" s="1159" customFormat="1" ht="90" x14ac:dyDescent="0.3">
      <c r="A396" s="1172">
        <v>2022390</v>
      </c>
      <c r="B396" s="1172">
        <v>7658</v>
      </c>
      <c r="C396" s="1172" t="s">
        <v>679</v>
      </c>
      <c r="D396" s="1190" t="s">
        <v>692</v>
      </c>
      <c r="E396" s="1234" t="s">
        <v>1033</v>
      </c>
      <c r="F396" s="1175" t="s">
        <v>1037</v>
      </c>
      <c r="G396" s="1193" t="s">
        <v>1495</v>
      </c>
      <c r="H396" s="1212" t="s">
        <v>1501</v>
      </c>
      <c r="I396" s="1212">
        <v>2</v>
      </c>
      <c r="J396" s="1195" t="s">
        <v>1619</v>
      </c>
      <c r="K396" s="1176" t="s">
        <v>674</v>
      </c>
      <c r="L396" s="1178" t="s">
        <v>675</v>
      </c>
      <c r="M396" s="1179">
        <v>183963768</v>
      </c>
      <c r="N396" s="1175" t="s">
        <v>741</v>
      </c>
      <c r="O396" s="1175" t="s">
        <v>1620</v>
      </c>
    </row>
    <row r="397" spans="1:18" s="1159" customFormat="1" ht="60" x14ac:dyDescent="0.3">
      <c r="A397" s="1172">
        <v>2022391</v>
      </c>
      <c r="B397" s="1172">
        <v>7658</v>
      </c>
      <c r="C397" s="1172" t="s">
        <v>679</v>
      </c>
      <c r="D397" s="1190" t="s">
        <v>692</v>
      </c>
      <c r="E397" s="1234" t="s">
        <v>1622</v>
      </c>
      <c r="F397" s="1175" t="s">
        <v>1623</v>
      </c>
      <c r="G397" s="1212" t="s">
        <v>1624</v>
      </c>
      <c r="H397" s="1212" t="s">
        <v>1625</v>
      </c>
      <c r="I397" s="1212">
        <v>8</v>
      </c>
      <c r="J397" s="1195" t="s">
        <v>1619</v>
      </c>
      <c r="K397" s="1176" t="s">
        <v>770</v>
      </c>
      <c r="L397" s="1254" t="s">
        <v>994</v>
      </c>
      <c r="M397" s="1179">
        <v>617440000</v>
      </c>
      <c r="N397" s="1175" t="s">
        <v>741</v>
      </c>
      <c r="O397" s="1175" t="s">
        <v>1620</v>
      </c>
    </row>
    <row r="398" spans="1:18" s="1159" customFormat="1" ht="90" x14ac:dyDescent="0.3">
      <c r="A398" s="1172">
        <v>2022392</v>
      </c>
      <c r="B398" s="1172">
        <v>7658</v>
      </c>
      <c r="C398" s="1172" t="s">
        <v>679</v>
      </c>
      <c r="D398" s="1190" t="s">
        <v>692</v>
      </c>
      <c r="E398" s="1257" t="s">
        <v>1626</v>
      </c>
      <c r="F398" s="1175" t="s">
        <v>1627</v>
      </c>
      <c r="G398" s="1212" t="s">
        <v>1624</v>
      </c>
      <c r="H398" s="1212" t="s">
        <v>1625</v>
      </c>
      <c r="I398" s="1212">
        <v>8</v>
      </c>
      <c r="J398" s="1195" t="s">
        <v>1605</v>
      </c>
      <c r="K398" s="1176" t="s">
        <v>674</v>
      </c>
      <c r="L398" s="1254" t="s">
        <v>675</v>
      </c>
      <c r="M398" s="1179">
        <v>300000000</v>
      </c>
      <c r="N398" s="1175" t="s">
        <v>741</v>
      </c>
      <c r="O398" s="1175" t="s">
        <v>1620</v>
      </c>
    </row>
    <row r="399" spans="1:18" s="1159" customFormat="1" ht="75" x14ac:dyDescent="0.3">
      <c r="A399" s="1172">
        <v>2022393</v>
      </c>
      <c r="B399" s="1172">
        <v>7658</v>
      </c>
      <c r="C399" s="1172" t="s">
        <v>679</v>
      </c>
      <c r="D399" s="1190" t="s">
        <v>692</v>
      </c>
      <c r="E399" s="1257" t="s">
        <v>1628</v>
      </c>
      <c r="F399" s="1175" t="s">
        <v>1042</v>
      </c>
      <c r="G399" s="1212" t="s">
        <v>1624</v>
      </c>
      <c r="H399" s="1212" t="s">
        <v>1625</v>
      </c>
      <c r="I399" s="1212">
        <v>8</v>
      </c>
      <c r="J399" s="1195" t="s">
        <v>1629</v>
      </c>
      <c r="K399" s="1176" t="s">
        <v>674</v>
      </c>
      <c r="L399" s="1178" t="s">
        <v>675</v>
      </c>
      <c r="M399" s="1179">
        <v>200000000</v>
      </c>
      <c r="N399" s="1175" t="s">
        <v>741</v>
      </c>
      <c r="O399" s="1175" t="s">
        <v>1620</v>
      </c>
    </row>
    <row r="400" spans="1:18" s="1159" customFormat="1" ht="60" x14ac:dyDescent="0.3">
      <c r="A400" s="1172">
        <v>2022394</v>
      </c>
      <c r="B400" s="1172">
        <v>7658</v>
      </c>
      <c r="C400" s="1172" t="s">
        <v>679</v>
      </c>
      <c r="D400" s="1190" t="s">
        <v>692</v>
      </c>
      <c r="E400" s="1258" t="s">
        <v>1630</v>
      </c>
      <c r="F400" s="1175" t="s">
        <v>1631</v>
      </c>
      <c r="G400" s="1176" t="s">
        <v>1625</v>
      </c>
      <c r="H400" s="1176" t="s">
        <v>1632</v>
      </c>
      <c r="I400" s="1176">
        <v>6</v>
      </c>
      <c r="J400" s="1195" t="s">
        <v>1629</v>
      </c>
      <c r="K400" s="1176" t="s">
        <v>674</v>
      </c>
      <c r="L400" s="1178" t="s">
        <v>675</v>
      </c>
      <c r="M400" s="1179">
        <f>150000000-76286376</f>
        <v>73713624</v>
      </c>
      <c r="N400" s="1175" t="s">
        <v>741</v>
      </c>
      <c r="O400" s="1175" t="s">
        <v>1620</v>
      </c>
    </row>
    <row r="401" spans="1:15" s="1159" customFormat="1" ht="75" x14ac:dyDescent="0.3">
      <c r="A401" s="1172">
        <v>2022395</v>
      </c>
      <c r="B401" s="1172">
        <v>7658</v>
      </c>
      <c r="C401" s="1172" t="s">
        <v>679</v>
      </c>
      <c r="D401" s="1190" t="s">
        <v>692</v>
      </c>
      <c r="E401" s="1258" t="s">
        <v>1633</v>
      </c>
      <c r="F401" s="1175" t="s">
        <v>1634</v>
      </c>
      <c r="G401" s="1176" t="s">
        <v>1632</v>
      </c>
      <c r="H401" s="1176" t="s">
        <v>1635</v>
      </c>
      <c r="I401" s="1176">
        <v>3</v>
      </c>
      <c r="J401" s="1195" t="s">
        <v>1619</v>
      </c>
      <c r="K401" s="1176" t="s">
        <v>770</v>
      </c>
      <c r="L401" s="1178" t="s">
        <v>994</v>
      </c>
      <c r="M401" s="1179">
        <v>400000000</v>
      </c>
      <c r="N401" s="1175" t="s">
        <v>741</v>
      </c>
      <c r="O401" s="1175" t="s">
        <v>1620</v>
      </c>
    </row>
    <row r="402" spans="1:15" s="1159" customFormat="1" ht="60" x14ac:dyDescent="0.3">
      <c r="A402" s="1172">
        <v>2022396</v>
      </c>
      <c r="B402" s="1172">
        <v>7658</v>
      </c>
      <c r="C402" s="1172" t="s">
        <v>679</v>
      </c>
      <c r="D402" s="1190" t="s">
        <v>692</v>
      </c>
      <c r="E402" s="1258" t="s">
        <v>1628</v>
      </c>
      <c r="F402" s="1199" t="s">
        <v>1636</v>
      </c>
      <c r="G402" s="1176" t="s">
        <v>1637</v>
      </c>
      <c r="H402" s="1176" t="s">
        <v>1638</v>
      </c>
      <c r="I402" s="1176">
        <v>3</v>
      </c>
      <c r="J402" s="1195" t="s">
        <v>1619</v>
      </c>
      <c r="K402" s="1176" t="s">
        <v>674</v>
      </c>
      <c r="L402" s="1178" t="s">
        <v>675</v>
      </c>
      <c r="M402" s="1179">
        <v>300000000</v>
      </c>
      <c r="N402" s="1175" t="s">
        <v>741</v>
      </c>
      <c r="O402" s="1175" t="s">
        <v>1620</v>
      </c>
    </row>
    <row r="403" spans="1:15" s="1159" customFormat="1" ht="60" x14ac:dyDescent="0.3">
      <c r="A403" s="1172">
        <v>2022397</v>
      </c>
      <c r="B403" s="1172">
        <v>7658</v>
      </c>
      <c r="C403" s="1172" t="s">
        <v>679</v>
      </c>
      <c r="D403" s="1190" t="s">
        <v>692</v>
      </c>
      <c r="E403" s="1259" t="s">
        <v>1639</v>
      </c>
      <c r="F403" s="1175" t="s">
        <v>1640</v>
      </c>
      <c r="G403" s="1260" t="s">
        <v>1618</v>
      </c>
      <c r="H403" s="1176" t="s">
        <v>1637</v>
      </c>
      <c r="I403" s="1176">
        <v>2</v>
      </c>
      <c r="J403" s="1195" t="s">
        <v>1629</v>
      </c>
      <c r="K403" s="1176" t="s">
        <v>674</v>
      </c>
      <c r="L403" s="1178" t="s">
        <v>675</v>
      </c>
      <c r="M403" s="1179">
        <v>30000000</v>
      </c>
      <c r="N403" s="1175" t="s">
        <v>741</v>
      </c>
      <c r="O403" s="1175" t="s">
        <v>1620</v>
      </c>
    </row>
    <row r="404" spans="1:15" s="1159" customFormat="1" ht="60" x14ac:dyDescent="0.3">
      <c r="A404" s="1172">
        <v>2022398</v>
      </c>
      <c r="B404" s="1172">
        <v>7658</v>
      </c>
      <c r="C404" s="1172" t="s">
        <v>679</v>
      </c>
      <c r="D404" s="1190" t="s">
        <v>692</v>
      </c>
      <c r="E404" s="1259" t="s">
        <v>1641</v>
      </c>
      <c r="F404" s="1175" t="s">
        <v>1642</v>
      </c>
      <c r="G404" s="1260" t="s">
        <v>1625</v>
      </c>
      <c r="H404" s="1176" t="s">
        <v>1638</v>
      </c>
      <c r="I404" s="1176">
        <v>8</v>
      </c>
      <c r="J404" s="1195" t="s">
        <v>1629</v>
      </c>
      <c r="K404" s="1176" t="s">
        <v>674</v>
      </c>
      <c r="L404" s="1178" t="s">
        <v>675</v>
      </c>
      <c r="M404" s="1179">
        <v>10000000</v>
      </c>
      <c r="N404" s="1175" t="s">
        <v>741</v>
      </c>
      <c r="O404" s="1175" t="s">
        <v>1620</v>
      </c>
    </row>
    <row r="405" spans="1:15" s="1159" customFormat="1" ht="60" x14ac:dyDescent="0.3">
      <c r="A405" s="1172">
        <v>2022399</v>
      </c>
      <c r="B405" s="1172">
        <v>7658</v>
      </c>
      <c r="C405" s="1172" t="s">
        <v>679</v>
      </c>
      <c r="D405" s="1190" t="s">
        <v>692</v>
      </c>
      <c r="E405" s="1259" t="s">
        <v>1643</v>
      </c>
      <c r="F405" s="1175" t="s">
        <v>1644</v>
      </c>
      <c r="G405" s="1260" t="s">
        <v>1625</v>
      </c>
      <c r="H405" s="1176" t="s">
        <v>1638</v>
      </c>
      <c r="I405" s="1176">
        <v>8</v>
      </c>
      <c r="J405" s="1195" t="s">
        <v>1629</v>
      </c>
      <c r="K405" s="1176" t="s">
        <v>674</v>
      </c>
      <c r="L405" s="1178" t="s">
        <v>675</v>
      </c>
      <c r="M405" s="1179">
        <v>20000000</v>
      </c>
      <c r="N405" s="1175" t="s">
        <v>741</v>
      </c>
      <c r="O405" s="1175" t="s">
        <v>1620</v>
      </c>
    </row>
    <row r="406" spans="1:15" s="1159" customFormat="1" ht="60" x14ac:dyDescent="0.3">
      <c r="A406" s="1172">
        <v>2022400</v>
      </c>
      <c r="B406" s="1172">
        <v>7658</v>
      </c>
      <c r="C406" s="1172" t="s">
        <v>679</v>
      </c>
      <c r="D406" s="1190" t="s">
        <v>692</v>
      </c>
      <c r="E406" s="1259" t="s">
        <v>1047</v>
      </c>
      <c r="F406" s="1175" t="s">
        <v>1048</v>
      </c>
      <c r="G406" s="1260" t="s">
        <v>1625</v>
      </c>
      <c r="H406" s="1176" t="s">
        <v>1638</v>
      </c>
      <c r="I406" s="1176">
        <v>2</v>
      </c>
      <c r="J406" s="1195" t="s">
        <v>1629</v>
      </c>
      <c r="K406" s="1176" t="s">
        <v>674</v>
      </c>
      <c r="L406" s="1178" t="s">
        <v>675</v>
      </c>
      <c r="M406" s="1179">
        <v>50000000</v>
      </c>
      <c r="N406" s="1175" t="s">
        <v>741</v>
      </c>
      <c r="O406" s="1175" t="s">
        <v>1620</v>
      </c>
    </row>
    <row r="407" spans="1:15" s="1159" customFormat="1" ht="60" x14ac:dyDescent="0.3">
      <c r="A407" s="1172">
        <v>2022401</v>
      </c>
      <c r="B407" s="1172">
        <v>7658</v>
      </c>
      <c r="C407" s="1172" t="s">
        <v>679</v>
      </c>
      <c r="D407" s="1190" t="s">
        <v>692</v>
      </c>
      <c r="E407" s="1259" t="s">
        <v>1645</v>
      </c>
      <c r="F407" s="1175" t="s">
        <v>1646</v>
      </c>
      <c r="G407" s="1260" t="s">
        <v>1637</v>
      </c>
      <c r="H407" s="1176" t="s">
        <v>1635</v>
      </c>
      <c r="I407" s="1176">
        <v>6</v>
      </c>
      <c r="J407" s="1195" t="s">
        <v>1629</v>
      </c>
      <c r="K407" s="1176" t="s">
        <v>674</v>
      </c>
      <c r="L407" s="1178" t="s">
        <v>675</v>
      </c>
      <c r="M407" s="1179">
        <v>30000000</v>
      </c>
      <c r="N407" s="1175" t="s">
        <v>741</v>
      </c>
      <c r="O407" s="1175" t="s">
        <v>1620</v>
      </c>
    </row>
    <row r="408" spans="1:15" s="1159" customFormat="1" ht="60" x14ac:dyDescent="0.3">
      <c r="A408" s="1182">
        <v>2022402</v>
      </c>
      <c r="B408" s="1182">
        <v>7658</v>
      </c>
      <c r="C408" s="1182" t="s">
        <v>679</v>
      </c>
      <c r="D408" s="1227" t="s">
        <v>692</v>
      </c>
      <c r="E408" s="1261">
        <v>43232500</v>
      </c>
      <c r="F408" s="1185" t="s">
        <v>1647</v>
      </c>
      <c r="G408" s="1262" t="s">
        <v>1625</v>
      </c>
      <c r="H408" s="1184" t="s">
        <v>1638</v>
      </c>
      <c r="I408" s="1184">
        <v>6</v>
      </c>
      <c r="J408" s="1240" t="s">
        <v>1629</v>
      </c>
      <c r="K408" s="1184" t="s">
        <v>674</v>
      </c>
      <c r="L408" s="1183" t="s">
        <v>675</v>
      </c>
      <c r="M408" s="1186">
        <f>24560000-560000-10000000</f>
        <v>14000000</v>
      </c>
      <c r="N408" s="1185" t="s">
        <v>741</v>
      </c>
      <c r="O408" s="1185" t="s">
        <v>1620</v>
      </c>
    </row>
    <row r="409" spans="1:15" s="1159" customFormat="1" ht="60" x14ac:dyDescent="0.3">
      <c r="A409" s="1172">
        <v>2022403</v>
      </c>
      <c r="B409" s="1172">
        <v>7658</v>
      </c>
      <c r="C409" s="1172" t="s">
        <v>679</v>
      </c>
      <c r="D409" s="1190" t="s">
        <v>692</v>
      </c>
      <c r="E409" s="1258" t="s">
        <v>1645</v>
      </c>
      <c r="F409" s="1263" t="s">
        <v>1648</v>
      </c>
      <c r="G409" s="1176" t="s">
        <v>1625</v>
      </c>
      <c r="H409" s="1176" t="s">
        <v>1638</v>
      </c>
      <c r="I409" s="1176">
        <v>6</v>
      </c>
      <c r="J409" s="1195" t="s">
        <v>1629</v>
      </c>
      <c r="K409" s="1176" t="s">
        <v>674</v>
      </c>
      <c r="L409" s="1178" t="s">
        <v>675</v>
      </c>
      <c r="M409" s="1179">
        <v>20000000</v>
      </c>
      <c r="N409" s="1175" t="s">
        <v>741</v>
      </c>
      <c r="O409" s="1175" t="s">
        <v>1620</v>
      </c>
    </row>
    <row r="410" spans="1:15" s="1159" customFormat="1" ht="60" x14ac:dyDescent="0.3">
      <c r="A410" s="1172">
        <v>2022404</v>
      </c>
      <c r="B410" s="1172">
        <v>7658</v>
      </c>
      <c r="C410" s="1172" t="s">
        <v>679</v>
      </c>
      <c r="D410" s="1190" t="s">
        <v>692</v>
      </c>
      <c r="E410" s="1234">
        <v>80111600</v>
      </c>
      <c r="F410" s="1175" t="s">
        <v>1049</v>
      </c>
      <c r="G410" s="1176" t="s">
        <v>1617</v>
      </c>
      <c r="H410" s="1176" t="s">
        <v>1617</v>
      </c>
      <c r="I410" s="1176">
        <v>7</v>
      </c>
      <c r="J410" s="1176" t="s">
        <v>1649</v>
      </c>
      <c r="K410" s="1176" t="s">
        <v>674</v>
      </c>
      <c r="L410" s="1178" t="s">
        <v>675</v>
      </c>
      <c r="M410" s="1264">
        <v>26950000</v>
      </c>
      <c r="N410" s="1175" t="s">
        <v>741</v>
      </c>
      <c r="O410" s="1175" t="s">
        <v>1620</v>
      </c>
    </row>
    <row r="411" spans="1:15" s="1159" customFormat="1" ht="60" x14ac:dyDescent="0.3">
      <c r="A411" s="1172">
        <v>2022405</v>
      </c>
      <c r="B411" s="1172">
        <v>7658</v>
      </c>
      <c r="C411" s="1172" t="s">
        <v>679</v>
      </c>
      <c r="D411" s="1190" t="s">
        <v>692</v>
      </c>
      <c r="E411" s="1234">
        <v>80111600</v>
      </c>
      <c r="F411" s="1175" t="s">
        <v>1049</v>
      </c>
      <c r="G411" s="1176" t="s">
        <v>1617</v>
      </c>
      <c r="H411" s="1176" t="s">
        <v>1617</v>
      </c>
      <c r="I411" s="1176">
        <v>3</v>
      </c>
      <c r="J411" s="1176" t="s">
        <v>1649</v>
      </c>
      <c r="K411" s="1176" t="s">
        <v>674</v>
      </c>
      <c r="L411" s="1178" t="s">
        <v>675</v>
      </c>
      <c r="M411" s="1264">
        <v>13500000</v>
      </c>
      <c r="N411" s="1175" t="s">
        <v>741</v>
      </c>
      <c r="O411" s="1175" t="s">
        <v>1620</v>
      </c>
    </row>
    <row r="412" spans="1:15" s="1159" customFormat="1" ht="60" x14ac:dyDescent="0.3">
      <c r="A412" s="1172">
        <v>2022406</v>
      </c>
      <c r="B412" s="1172">
        <v>7658</v>
      </c>
      <c r="C412" s="1172" t="s">
        <v>679</v>
      </c>
      <c r="D412" s="1190" t="s">
        <v>692</v>
      </c>
      <c r="E412" s="1234">
        <v>80111600</v>
      </c>
      <c r="F412" s="1175" t="s">
        <v>1050</v>
      </c>
      <c r="G412" s="1176" t="s">
        <v>1617</v>
      </c>
      <c r="H412" s="1176" t="s">
        <v>1617</v>
      </c>
      <c r="I412" s="1176">
        <v>10</v>
      </c>
      <c r="J412" s="1176" t="s">
        <v>1649</v>
      </c>
      <c r="K412" s="1176" t="s">
        <v>674</v>
      </c>
      <c r="L412" s="1178" t="s">
        <v>675</v>
      </c>
      <c r="M412" s="1264">
        <v>82400000</v>
      </c>
      <c r="N412" s="1175" t="s">
        <v>741</v>
      </c>
      <c r="O412" s="1175" t="s">
        <v>1620</v>
      </c>
    </row>
    <row r="413" spans="1:15" s="1159" customFormat="1" ht="60" x14ac:dyDescent="0.3">
      <c r="A413" s="1172">
        <v>2022407</v>
      </c>
      <c r="B413" s="1172">
        <v>7658</v>
      </c>
      <c r="C413" s="1172" t="s">
        <v>679</v>
      </c>
      <c r="D413" s="1190" t="s">
        <v>692</v>
      </c>
      <c r="E413" s="1234">
        <v>80111600</v>
      </c>
      <c r="F413" s="1175" t="s">
        <v>1051</v>
      </c>
      <c r="G413" s="1176" t="s">
        <v>1617</v>
      </c>
      <c r="H413" s="1176" t="s">
        <v>1617</v>
      </c>
      <c r="I413" s="1176">
        <v>6</v>
      </c>
      <c r="J413" s="1176" t="s">
        <v>1649</v>
      </c>
      <c r="K413" s="1176" t="s">
        <v>674</v>
      </c>
      <c r="L413" s="1178" t="s">
        <v>675</v>
      </c>
      <c r="M413" s="1264">
        <v>49440000</v>
      </c>
      <c r="N413" s="1175" t="s">
        <v>741</v>
      </c>
      <c r="O413" s="1175" t="s">
        <v>1620</v>
      </c>
    </row>
    <row r="414" spans="1:15" s="1159" customFormat="1" ht="60" x14ac:dyDescent="0.3">
      <c r="A414" s="1172">
        <v>2022408</v>
      </c>
      <c r="B414" s="1172">
        <v>7658</v>
      </c>
      <c r="C414" s="1172" t="s">
        <v>679</v>
      </c>
      <c r="D414" s="1190" t="s">
        <v>692</v>
      </c>
      <c r="E414" s="1234">
        <v>80111600</v>
      </c>
      <c r="F414" s="1175" t="s">
        <v>1051</v>
      </c>
      <c r="G414" s="1176" t="s">
        <v>1617</v>
      </c>
      <c r="H414" s="1176" t="s">
        <v>1617</v>
      </c>
      <c r="I414" s="1176">
        <v>4</v>
      </c>
      <c r="J414" s="1176" t="s">
        <v>1649</v>
      </c>
      <c r="K414" s="1176" t="s">
        <v>674</v>
      </c>
      <c r="L414" s="1178" t="s">
        <v>675</v>
      </c>
      <c r="M414" s="1264">
        <v>32960000</v>
      </c>
      <c r="N414" s="1175" t="s">
        <v>741</v>
      </c>
      <c r="O414" s="1175" t="s">
        <v>1620</v>
      </c>
    </row>
    <row r="415" spans="1:15" s="1159" customFormat="1" ht="60" x14ac:dyDescent="0.3">
      <c r="A415" s="1172">
        <v>2022409</v>
      </c>
      <c r="B415" s="1172">
        <v>7658</v>
      </c>
      <c r="C415" s="1172" t="s">
        <v>679</v>
      </c>
      <c r="D415" s="1190" t="s">
        <v>692</v>
      </c>
      <c r="E415" s="1234">
        <v>80111601</v>
      </c>
      <c r="F415" s="1175" t="s">
        <v>1052</v>
      </c>
      <c r="G415" s="1176" t="s">
        <v>1617</v>
      </c>
      <c r="H415" s="1176" t="s">
        <v>1617</v>
      </c>
      <c r="I415" s="1176">
        <v>6</v>
      </c>
      <c r="J415" s="1176" t="s">
        <v>1649</v>
      </c>
      <c r="K415" s="1176" t="s">
        <v>674</v>
      </c>
      <c r="L415" s="1178" t="s">
        <v>675</v>
      </c>
      <c r="M415" s="1264">
        <v>42000000</v>
      </c>
      <c r="N415" s="1175" t="s">
        <v>741</v>
      </c>
      <c r="O415" s="1175" t="s">
        <v>1620</v>
      </c>
    </row>
    <row r="416" spans="1:15" s="1159" customFormat="1" ht="60" x14ac:dyDescent="0.3">
      <c r="A416" s="1172">
        <v>2022410</v>
      </c>
      <c r="B416" s="1172">
        <v>7658</v>
      </c>
      <c r="C416" s="1172" t="s">
        <v>679</v>
      </c>
      <c r="D416" s="1190" t="s">
        <v>692</v>
      </c>
      <c r="E416" s="1234">
        <v>80111601</v>
      </c>
      <c r="F416" s="1175" t="s">
        <v>1052</v>
      </c>
      <c r="G416" s="1176" t="s">
        <v>1617</v>
      </c>
      <c r="H416" s="1176" t="s">
        <v>1617</v>
      </c>
      <c r="I416" s="1176">
        <v>4</v>
      </c>
      <c r="J416" s="1176" t="s">
        <v>1649</v>
      </c>
      <c r="K416" s="1176" t="s">
        <v>674</v>
      </c>
      <c r="L416" s="1178" t="s">
        <v>675</v>
      </c>
      <c r="M416" s="1264">
        <v>28000000</v>
      </c>
      <c r="N416" s="1175" t="s">
        <v>741</v>
      </c>
      <c r="O416" s="1175" t="s">
        <v>1620</v>
      </c>
    </row>
    <row r="417" spans="1:15" s="1159" customFormat="1" ht="60" x14ac:dyDescent="0.3">
      <c r="A417" s="1172">
        <v>2022411</v>
      </c>
      <c r="B417" s="1172">
        <v>7658</v>
      </c>
      <c r="C417" s="1172" t="s">
        <v>679</v>
      </c>
      <c r="D417" s="1190" t="s">
        <v>692</v>
      </c>
      <c r="E417" s="1234">
        <v>80111601</v>
      </c>
      <c r="F417" s="1175" t="s">
        <v>1054</v>
      </c>
      <c r="G417" s="1176" t="s">
        <v>1617</v>
      </c>
      <c r="H417" s="1176" t="s">
        <v>1617</v>
      </c>
      <c r="I417" s="1176">
        <v>10</v>
      </c>
      <c r="J417" s="1176" t="s">
        <v>1649</v>
      </c>
      <c r="K417" s="1176" t="s">
        <v>674</v>
      </c>
      <c r="L417" s="1178" t="s">
        <v>675</v>
      </c>
      <c r="M417" s="1264">
        <v>60000000</v>
      </c>
      <c r="N417" s="1175" t="s">
        <v>741</v>
      </c>
      <c r="O417" s="1175" t="s">
        <v>1620</v>
      </c>
    </row>
    <row r="418" spans="1:15" s="1159" customFormat="1" ht="60" x14ac:dyDescent="0.3">
      <c r="A418" s="1172">
        <v>2022412</v>
      </c>
      <c r="B418" s="1172">
        <v>7658</v>
      </c>
      <c r="C418" s="1172" t="s">
        <v>679</v>
      </c>
      <c r="D418" s="1190" t="s">
        <v>692</v>
      </c>
      <c r="E418" s="1234">
        <v>80111600</v>
      </c>
      <c r="F418" s="1175" t="s">
        <v>1055</v>
      </c>
      <c r="G418" s="1176" t="s">
        <v>1617</v>
      </c>
      <c r="H418" s="1176" t="s">
        <v>1617</v>
      </c>
      <c r="I418" s="1176">
        <v>10</v>
      </c>
      <c r="J418" s="1176" t="s">
        <v>1649</v>
      </c>
      <c r="K418" s="1176" t="s">
        <v>674</v>
      </c>
      <c r="L418" s="1178" t="s">
        <v>675</v>
      </c>
      <c r="M418" s="1264">
        <v>42000000</v>
      </c>
      <c r="N418" s="1175" t="s">
        <v>741</v>
      </c>
      <c r="O418" s="1175" t="s">
        <v>1620</v>
      </c>
    </row>
    <row r="419" spans="1:15" s="1159" customFormat="1" ht="60" x14ac:dyDescent="0.3">
      <c r="A419" s="1172">
        <v>2022413</v>
      </c>
      <c r="B419" s="1172">
        <v>7658</v>
      </c>
      <c r="C419" s="1172" t="s">
        <v>679</v>
      </c>
      <c r="D419" s="1190" t="s">
        <v>692</v>
      </c>
      <c r="E419" s="1234">
        <v>80111600</v>
      </c>
      <c r="F419" s="1175" t="s">
        <v>1056</v>
      </c>
      <c r="G419" s="1176" t="s">
        <v>1617</v>
      </c>
      <c r="H419" s="1176" t="s">
        <v>1617</v>
      </c>
      <c r="I419" s="1176">
        <v>10</v>
      </c>
      <c r="J419" s="1176" t="s">
        <v>1649</v>
      </c>
      <c r="K419" s="1176" t="s">
        <v>674</v>
      </c>
      <c r="L419" s="1178" t="s">
        <v>675</v>
      </c>
      <c r="M419" s="1264">
        <v>82400000</v>
      </c>
      <c r="N419" s="1175" t="s">
        <v>741</v>
      </c>
      <c r="O419" s="1175" t="s">
        <v>1620</v>
      </c>
    </row>
    <row r="420" spans="1:15" s="1159" customFormat="1" ht="60" x14ac:dyDescent="0.3">
      <c r="A420" s="1172">
        <v>2022414</v>
      </c>
      <c r="B420" s="1172">
        <v>7658</v>
      </c>
      <c r="C420" s="1172" t="s">
        <v>679</v>
      </c>
      <c r="D420" s="1190" t="s">
        <v>692</v>
      </c>
      <c r="E420" s="1234">
        <v>80111600</v>
      </c>
      <c r="F420" s="1175" t="s">
        <v>1057</v>
      </c>
      <c r="G420" s="1176" t="s">
        <v>1617</v>
      </c>
      <c r="H420" s="1176" t="s">
        <v>1617</v>
      </c>
      <c r="I420" s="1176">
        <v>10</v>
      </c>
      <c r="J420" s="1176" t="s">
        <v>1649</v>
      </c>
      <c r="K420" s="1176" t="s">
        <v>674</v>
      </c>
      <c r="L420" s="1178" t="s">
        <v>675</v>
      </c>
      <c r="M420" s="1264">
        <v>42000000</v>
      </c>
      <c r="N420" s="1175" t="s">
        <v>741</v>
      </c>
      <c r="O420" s="1175" t="s">
        <v>1620</v>
      </c>
    </row>
    <row r="421" spans="1:15" s="1159" customFormat="1" ht="60" x14ac:dyDescent="0.3">
      <c r="A421" s="1172">
        <v>2022415</v>
      </c>
      <c r="B421" s="1172">
        <v>7658</v>
      </c>
      <c r="C421" s="1172" t="s">
        <v>679</v>
      </c>
      <c r="D421" s="1190" t="s">
        <v>692</v>
      </c>
      <c r="E421" s="1234">
        <v>80111600</v>
      </c>
      <c r="F421" s="1175" t="s">
        <v>1058</v>
      </c>
      <c r="G421" s="1176" t="s">
        <v>1617</v>
      </c>
      <c r="H421" s="1176" t="s">
        <v>1617</v>
      </c>
      <c r="I421" s="1176">
        <v>10</v>
      </c>
      <c r="J421" s="1176" t="s">
        <v>1649</v>
      </c>
      <c r="K421" s="1176" t="s">
        <v>674</v>
      </c>
      <c r="L421" s="1178" t="s">
        <v>675</v>
      </c>
      <c r="M421" s="1264">
        <v>50000000</v>
      </c>
      <c r="N421" s="1175" t="s">
        <v>741</v>
      </c>
      <c r="O421" s="1175" t="s">
        <v>1620</v>
      </c>
    </row>
    <row r="422" spans="1:15" s="1159" customFormat="1" ht="60" x14ac:dyDescent="0.3">
      <c r="A422" s="1172">
        <v>2022416</v>
      </c>
      <c r="B422" s="1172">
        <v>7658</v>
      </c>
      <c r="C422" s="1172" t="s">
        <v>679</v>
      </c>
      <c r="D422" s="1190" t="s">
        <v>692</v>
      </c>
      <c r="E422" s="1234">
        <v>80111600</v>
      </c>
      <c r="F422" s="1175" t="s">
        <v>1059</v>
      </c>
      <c r="G422" s="1176" t="s">
        <v>1617</v>
      </c>
      <c r="H422" s="1176" t="s">
        <v>1617</v>
      </c>
      <c r="I422" s="1176">
        <v>6</v>
      </c>
      <c r="J422" s="1176" t="s">
        <v>1649</v>
      </c>
      <c r="K422" s="1176" t="s">
        <v>674</v>
      </c>
      <c r="L422" s="1178" t="s">
        <v>675</v>
      </c>
      <c r="M422" s="1264">
        <v>20100000</v>
      </c>
      <c r="N422" s="1175" t="s">
        <v>741</v>
      </c>
      <c r="O422" s="1175" t="s">
        <v>1620</v>
      </c>
    </row>
    <row r="423" spans="1:15" s="1159" customFormat="1" ht="75" x14ac:dyDescent="0.3">
      <c r="A423" s="1172">
        <v>2022417</v>
      </c>
      <c r="B423" s="1172">
        <v>7658</v>
      </c>
      <c r="C423" s="1172" t="s">
        <v>679</v>
      </c>
      <c r="D423" s="1190" t="s">
        <v>692</v>
      </c>
      <c r="E423" s="1234">
        <v>80111600</v>
      </c>
      <c r="F423" s="1175" t="s">
        <v>1060</v>
      </c>
      <c r="G423" s="1176" t="s">
        <v>1617</v>
      </c>
      <c r="H423" s="1176" t="s">
        <v>1617</v>
      </c>
      <c r="I423" s="1176">
        <v>4</v>
      </c>
      <c r="J423" s="1176" t="s">
        <v>1649</v>
      </c>
      <c r="K423" s="1176" t="s">
        <v>674</v>
      </c>
      <c r="L423" s="1178" t="s">
        <v>675</v>
      </c>
      <c r="M423" s="1264">
        <v>20600000</v>
      </c>
      <c r="N423" s="1175" t="s">
        <v>741</v>
      </c>
      <c r="O423" s="1175" t="s">
        <v>1620</v>
      </c>
    </row>
    <row r="424" spans="1:15" s="1159" customFormat="1" ht="75" x14ac:dyDescent="0.3">
      <c r="A424" s="1172">
        <v>2022418</v>
      </c>
      <c r="B424" s="1172">
        <v>7658</v>
      </c>
      <c r="C424" s="1172" t="s">
        <v>679</v>
      </c>
      <c r="D424" s="1190" t="s">
        <v>692</v>
      </c>
      <c r="E424" s="1234">
        <v>80111600</v>
      </c>
      <c r="F424" s="1175" t="s">
        <v>1060</v>
      </c>
      <c r="G424" s="1176" t="s">
        <v>1617</v>
      </c>
      <c r="H424" s="1176" t="s">
        <v>1617</v>
      </c>
      <c r="I424" s="1176">
        <v>6</v>
      </c>
      <c r="J424" s="1176" t="s">
        <v>1649</v>
      </c>
      <c r="K424" s="1176" t="s">
        <v>674</v>
      </c>
      <c r="L424" s="1178" t="s">
        <v>675</v>
      </c>
      <c r="M424" s="1264">
        <v>30900000</v>
      </c>
      <c r="N424" s="1175" t="s">
        <v>741</v>
      </c>
      <c r="O424" s="1175" t="s">
        <v>1620</v>
      </c>
    </row>
    <row r="425" spans="1:15" s="1159" customFormat="1" ht="60" x14ac:dyDescent="0.3">
      <c r="A425" s="1172">
        <v>2022419</v>
      </c>
      <c r="B425" s="1172">
        <v>7658</v>
      </c>
      <c r="C425" s="1172" t="s">
        <v>679</v>
      </c>
      <c r="D425" s="1190" t="s">
        <v>692</v>
      </c>
      <c r="E425" s="1234">
        <v>80111600</v>
      </c>
      <c r="F425" s="1175" t="s">
        <v>1062</v>
      </c>
      <c r="G425" s="1176" t="s">
        <v>1617</v>
      </c>
      <c r="H425" s="1176" t="s">
        <v>1617</v>
      </c>
      <c r="I425" s="1176">
        <v>10</v>
      </c>
      <c r="J425" s="1176" t="s">
        <v>1649</v>
      </c>
      <c r="K425" s="1176" t="s">
        <v>674</v>
      </c>
      <c r="L425" s="1178" t="s">
        <v>675</v>
      </c>
      <c r="M425" s="1264">
        <v>28000000</v>
      </c>
      <c r="N425" s="1175" t="s">
        <v>741</v>
      </c>
      <c r="O425" s="1175" t="s">
        <v>1620</v>
      </c>
    </row>
    <row r="426" spans="1:15" s="1159" customFormat="1" ht="60" x14ac:dyDescent="0.3">
      <c r="A426" s="1172">
        <v>2022420</v>
      </c>
      <c r="B426" s="1172">
        <v>7658</v>
      </c>
      <c r="C426" s="1172" t="s">
        <v>679</v>
      </c>
      <c r="D426" s="1190" t="s">
        <v>692</v>
      </c>
      <c r="E426" s="1234">
        <v>80111600</v>
      </c>
      <c r="F426" s="1175" t="s">
        <v>1063</v>
      </c>
      <c r="G426" s="1176" t="s">
        <v>1617</v>
      </c>
      <c r="H426" s="1176" t="s">
        <v>1617</v>
      </c>
      <c r="I426" s="1176">
        <v>10</v>
      </c>
      <c r="J426" s="1176" t="s">
        <v>1649</v>
      </c>
      <c r="K426" s="1176" t="s">
        <v>674</v>
      </c>
      <c r="L426" s="1178" t="s">
        <v>675</v>
      </c>
      <c r="M426" s="1264">
        <v>28500000</v>
      </c>
      <c r="N426" s="1175" t="s">
        <v>741</v>
      </c>
      <c r="O426" s="1175" t="s">
        <v>1620</v>
      </c>
    </row>
    <row r="427" spans="1:15" s="1159" customFormat="1" ht="60" x14ac:dyDescent="0.3">
      <c r="A427" s="1172">
        <v>2022421</v>
      </c>
      <c r="B427" s="1172">
        <v>7658</v>
      </c>
      <c r="C427" s="1172" t="s">
        <v>679</v>
      </c>
      <c r="D427" s="1190" t="s">
        <v>692</v>
      </c>
      <c r="E427" s="1234">
        <v>80111600</v>
      </c>
      <c r="F427" s="1175" t="s">
        <v>1064</v>
      </c>
      <c r="G427" s="1176" t="s">
        <v>1617</v>
      </c>
      <c r="H427" s="1176" t="s">
        <v>1617</v>
      </c>
      <c r="I427" s="1176">
        <v>10</v>
      </c>
      <c r="J427" s="1176" t="s">
        <v>1649</v>
      </c>
      <c r="K427" s="1176" t="s">
        <v>674</v>
      </c>
      <c r="L427" s="1178" t="s">
        <v>675</v>
      </c>
      <c r="M427" s="1264">
        <v>45000000</v>
      </c>
      <c r="N427" s="1175" t="s">
        <v>741</v>
      </c>
      <c r="O427" s="1175" t="s">
        <v>1620</v>
      </c>
    </row>
    <row r="428" spans="1:15" s="1159" customFormat="1" ht="60" x14ac:dyDescent="0.3">
      <c r="A428" s="1172">
        <v>2022422</v>
      </c>
      <c r="B428" s="1172">
        <v>7658</v>
      </c>
      <c r="C428" s="1172" t="s">
        <v>679</v>
      </c>
      <c r="D428" s="1190" t="s">
        <v>692</v>
      </c>
      <c r="E428" s="1234">
        <v>80111600</v>
      </c>
      <c r="F428" s="1175" t="s">
        <v>1065</v>
      </c>
      <c r="G428" s="1176" t="s">
        <v>1617</v>
      </c>
      <c r="H428" s="1176" t="s">
        <v>1617</v>
      </c>
      <c r="I428" s="1176">
        <v>10</v>
      </c>
      <c r="J428" s="1176" t="s">
        <v>1649</v>
      </c>
      <c r="K428" s="1176" t="s">
        <v>674</v>
      </c>
      <c r="L428" s="1178" t="s">
        <v>675</v>
      </c>
      <c r="M428" s="1264">
        <v>33000000</v>
      </c>
      <c r="N428" s="1175" t="s">
        <v>741</v>
      </c>
      <c r="O428" s="1175" t="s">
        <v>1620</v>
      </c>
    </row>
    <row r="429" spans="1:15" s="1159" customFormat="1" ht="60" x14ac:dyDescent="0.3">
      <c r="A429" s="1172">
        <v>2022423</v>
      </c>
      <c r="B429" s="1172">
        <v>7658</v>
      </c>
      <c r="C429" s="1172" t="s">
        <v>679</v>
      </c>
      <c r="D429" s="1190" t="s">
        <v>692</v>
      </c>
      <c r="E429" s="1234">
        <v>80111600</v>
      </c>
      <c r="F429" s="1175" t="s">
        <v>1065</v>
      </c>
      <c r="G429" s="1176" t="s">
        <v>1617</v>
      </c>
      <c r="H429" s="1176" t="s">
        <v>1617</v>
      </c>
      <c r="I429" s="1176">
        <v>10</v>
      </c>
      <c r="J429" s="1176" t="s">
        <v>1649</v>
      </c>
      <c r="K429" s="1176" t="s">
        <v>674</v>
      </c>
      <c r="L429" s="1178" t="s">
        <v>675</v>
      </c>
      <c r="M429" s="1264">
        <v>24500000</v>
      </c>
      <c r="N429" s="1175" t="s">
        <v>741</v>
      </c>
      <c r="O429" s="1175" t="s">
        <v>1620</v>
      </c>
    </row>
    <row r="430" spans="1:15" s="1159" customFormat="1" ht="60" x14ac:dyDescent="0.3">
      <c r="A430" s="1172">
        <v>2022424</v>
      </c>
      <c r="B430" s="1172">
        <v>7658</v>
      </c>
      <c r="C430" s="1172" t="s">
        <v>679</v>
      </c>
      <c r="D430" s="1190" t="s">
        <v>692</v>
      </c>
      <c r="E430" s="1234">
        <v>80111600</v>
      </c>
      <c r="F430" s="1175" t="s">
        <v>1065</v>
      </c>
      <c r="G430" s="1176" t="s">
        <v>1617</v>
      </c>
      <c r="H430" s="1176" t="s">
        <v>1617</v>
      </c>
      <c r="I430" s="1176">
        <v>10</v>
      </c>
      <c r="J430" s="1176" t="s">
        <v>1649</v>
      </c>
      <c r="K430" s="1176" t="s">
        <v>674</v>
      </c>
      <c r="L430" s="1178" t="s">
        <v>675</v>
      </c>
      <c r="M430" s="1264">
        <v>33000000</v>
      </c>
      <c r="N430" s="1175" t="s">
        <v>741</v>
      </c>
      <c r="O430" s="1175" t="s">
        <v>1620</v>
      </c>
    </row>
    <row r="431" spans="1:15" s="1159" customFormat="1" ht="60" x14ac:dyDescent="0.3">
      <c r="A431" s="1172">
        <v>2022425</v>
      </c>
      <c r="B431" s="1172">
        <v>7658</v>
      </c>
      <c r="C431" s="1172" t="s">
        <v>679</v>
      </c>
      <c r="D431" s="1190" t="s">
        <v>692</v>
      </c>
      <c r="E431" s="1234">
        <v>80111600</v>
      </c>
      <c r="F431" s="1175" t="s">
        <v>1065</v>
      </c>
      <c r="G431" s="1176" t="s">
        <v>1617</v>
      </c>
      <c r="H431" s="1176" t="s">
        <v>1617</v>
      </c>
      <c r="I431" s="1176">
        <v>10</v>
      </c>
      <c r="J431" s="1176" t="s">
        <v>1649</v>
      </c>
      <c r="K431" s="1176" t="s">
        <v>674</v>
      </c>
      <c r="L431" s="1178" t="s">
        <v>675</v>
      </c>
      <c r="M431" s="1264">
        <v>27500000</v>
      </c>
      <c r="N431" s="1175" t="s">
        <v>741</v>
      </c>
      <c r="O431" s="1175" t="s">
        <v>1620</v>
      </c>
    </row>
    <row r="432" spans="1:15" s="1159" customFormat="1" ht="60" x14ac:dyDescent="0.3">
      <c r="A432" s="1172">
        <v>2022426</v>
      </c>
      <c r="B432" s="1172">
        <v>7658</v>
      </c>
      <c r="C432" s="1172" t="s">
        <v>679</v>
      </c>
      <c r="D432" s="1190" t="s">
        <v>692</v>
      </c>
      <c r="E432" s="1234">
        <v>80111600</v>
      </c>
      <c r="F432" s="1175" t="s">
        <v>1065</v>
      </c>
      <c r="G432" s="1176" t="s">
        <v>1617</v>
      </c>
      <c r="H432" s="1176" t="s">
        <v>1617</v>
      </c>
      <c r="I432" s="1176">
        <v>10</v>
      </c>
      <c r="J432" s="1176" t="s">
        <v>1649</v>
      </c>
      <c r="K432" s="1176" t="s">
        <v>674</v>
      </c>
      <c r="L432" s="1178" t="s">
        <v>675</v>
      </c>
      <c r="M432" s="1264">
        <v>33000000</v>
      </c>
      <c r="N432" s="1175" t="s">
        <v>741</v>
      </c>
      <c r="O432" s="1175" t="s">
        <v>1620</v>
      </c>
    </row>
    <row r="433" spans="1:15" s="1159" customFormat="1" ht="60" x14ac:dyDescent="0.3">
      <c r="A433" s="1172">
        <v>2022427</v>
      </c>
      <c r="B433" s="1172">
        <v>7658</v>
      </c>
      <c r="C433" s="1172" t="s">
        <v>679</v>
      </c>
      <c r="D433" s="1190" t="s">
        <v>692</v>
      </c>
      <c r="E433" s="1234">
        <v>80111600</v>
      </c>
      <c r="F433" s="1175" t="s">
        <v>1065</v>
      </c>
      <c r="G433" s="1176" t="s">
        <v>1617</v>
      </c>
      <c r="H433" s="1176" t="s">
        <v>1617</v>
      </c>
      <c r="I433" s="1176">
        <v>10</v>
      </c>
      <c r="J433" s="1176" t="s">
        <v>1649</v>
      </c>
      <c r="K433" s="1176" t="s">
        <v>674</v>
      </c>
      <c r="L433" s="1178" t="s">
        <v>675</v>
      </c>
      <c r="M433" s="1264">
        <v>33000000</v>
      </c>
      <c r="N433" s="1175" t="s">
        <v>741</v>
      </c>
      <c r="O433" s="1175" t="s">
        <v>1620</v>
      </c>
    </row>
    <row r="434" spans="1:15" s="1159" customFormat="1" ht="60" x14ac:dyDescent="0.3">
      <c r="A434" s="1172">
        <v>2022428</v>
      </c>
      <c r="B434" s="1172">
        <v>7658</v>
      </c>
      <c r="C434" s="1172" t="s">
        <v>679</v>
      </c>
      <c r="D434" s="1190" t="s">
        <v>692</v>
      </c>
      <c r="E434" s="1234">
        <v>80111600</v>
      </c>
      <c r="F434" s="1175" t="s">
        <v>1062</v>
      </c>
      <c r="G434" s="1176" t="s">
        <v>1617</v>
      </c>
      <c r="H434" s="1176" t="s">
        <v>1617</v>
      </c>
      <c r="I434" s="1176">
        <v>10</v>
      </c>
      <c r="J434" s="1176" t="s">
        <v>1649</v>
      </c>
      <c r="K434" s="1176" t="s">
        <v>674</v>
      </c>
      <c r="L434" s="1178" t="s">
        <v>675</v>
      </c>
      <c r="M434" s="1264">
        <v>28000000</v>
      </c>
      <c r="N434" s="1175" t="s">
        <v>741</v>
      </c>
      <c r="O434" s="1175" t="s">
        <v>1620</v>
      </c>
    </row>
    <row r="435" spans="1:15" s="1159" customFormat="1" ht="60" x14ac:dyDescent="0.3">
      <c r="A435" s="1172">
        <v>2022429</v>
      </c>
      <c r="B435" s="1172">
        <v>7658</v>
      </c>
      <c r="C435" s="1172" t="s">
        <v>679</v>
      </c>
      <c r="D435" s="1190" t="s">
        <v>692</v>
      </c>
      <c r="E435" s="1234">
        <v>80111600</v>
      </c>
      <c r="F435" s="1175" t="s">
        <v>1062</v>
      </c>
      <c r="G435" s="1176" t="s">
        <v>1617</v>
      </c>
      <c r="H435" s="1176" t="s">
        <v>1617</v>
      </c>
      <c r="I435" s="1176">
        <v>10</v>
      </c>
      <c r="J435" s="1176" t="s">
        <v>1649</v>
      </c>
      <c r="K435" s="1176" t="s">
        <v>674</v>
      </c>
      <c r="L435" s="1178" t="s">
        <v>675</v>
      </c>
      <c r="M435" s="1264">
        <v>28000000</v>
      </c>
      <c r="N435" s="1175" t="s">
        <v>741</v>
      </c>
      <c r="O435" s="1175" t="s">
        <v>1620</v>
      </c>
    </row>
    <row r="436" spans="1:15" s="1159" customFormat="1" ht="60" x14ac:dyDescent="0.3">
      <c r="A436" s="1172">
        <v>2022430</v>
      </c>
      <c r="B436" s="1172">
        <v>7658</v>
      </c>
      <c r="C436" s="1172" t="s">
        <v>679</v>
      </c>
      <c r="D436" s="1190" t="s">
        <v>692</v>
      </c>
      <c r="E436" s="1234">
        <v>80111600</v>
      </c>
      <c r="F436" s="1175" t="s">
        <v>1066</v>
      </c>
      <c r="G436" s="1176" t="s">
        <v>1617</v>
      </c>
      <c r="H436" s="1176" t="s">
        <v>1617</v>
      </c>
      <c r="I436" s="1176">
        <v>10</v>
      </c>
      <c r="J436" s="1176" t="s">
        <v>1649</v>
      </c>
      <c r="K436" s="1176" t="s">
        <v>674</v>
      </c>
      <c r="L436" s="1178" t="s">
        <v>675</v>
      </c>
      <c r="M436" s="1264">
        <v>45000000</v>
      </c>
      <c r="N436" s="1175" t="s">
        <v>741</v>
      </c>
      <c r="O436" s="1175" t="s">
        <v>1620</v>
      </c>
    </row>
    <row r="437" spans="1:15" s="1159" customFormat="1" ht="60" x14ac:dyDescent="0.3">
      <c r="A437" s="1172">
        <v>2022431</v>
      </c>
      <c r="B437" s="1172">
        <v>7658</v>
      </c>
      <c r="C437" s="1172" t="s">
        <v>679</v>
      </c>
      <c r="D437" s="1190" t="s">
        <v>692</v>
      </c>
      <c r="E437" s="1234">
        <v>80111600</v>
      </c>
      <c r="F437" s="1175" t="s">
        <v>1067</v>
      </c>
      <c r="G437" s="1176" t="s">
        <v>1617</v>
      </c>
      <c r="H437" s="1176" t="s">
        <v>1617</v>
      </c>
      <c r="I437" s="1176">
        <v>10</v>
      </c>
      <c r="J437" s="1176" t="s">
        <v>1649</v>
      </c>
      <c r="K437" s="1176" t="s">
        <v>674</v>
      </c>
      <c r="L437" s="1178" t="s">
        <v>675</v>
      </c>
      <c r="M437" s="1264">
        <v>24500000</v>
      </c>
      <c r="N437" s="1175" t="s">
        <v>741</v>
      </c>
      <c r="O437" s="1175" t="s">
        <v>1620</v>
      </c>
    </row>
    <row r="438" spans="1:15" s="1159" customFormat="1" ht="60" x14ac:dyDescent="0.3">
      <c r="A438" s="1172">
        <v>2022432</v>
      </c>
      <c r="B438" s="1172">
        <v>7658</v>
      </c>
      <c r="C438" s="1172" t="s">
        <v>679</v>
      </c>
      <c r="D438" s="1190" t="s">
        <v>692</v>
      </c>
      <c r="E438" s="1234">
        <v>80111600</v>
      </c>
      <c r="F438" s="1175" t="s">
        <v>1067</v>
      </c>
      <c r="G438" s="1176" t="s">
        <v>1617</v>
      </c>
      <c r="H438" s="1176" t="s">
        <v>1617</v>
      </c>
      <c r="I438" s="1176">
        <v>10</v>
      </c>
      <c r="J438" s="1176" t="s">
        <v>1649</v>
      </c>
      <c r="K438" s="1176" t="s">
        <v>674</v>
      </c>
      <c r="L438" s="1178" t="s">
        <v>675</v>
      </c>
      <c r="M438" s="1264">
        <v>33000000</v>
      </c>
      <c r="N438" s="1175" t="s">
        <v>741</v>
      </c>
      <c r="O438" s="1175" t="s">
        <v>1620</v>
      </c>
    </row>
    <row r="439" spans="1:15" s="1159" customFormat="1" ht="60" x14ac:dyDescent="0.3">
      <c r="A439" s="1172">
        <v>2022433</v>
      </c>
      <c r="B439" s="1172">
        <v>7658</v>
      </c>
      <c r="C439" s="1172" t="s">
        <v>679</v>
      </c>
      <c r="D439" s="1190" t="s">
        <v>692</v>
      </c>
      <c r="E439" s="1234">
        <v>80111600</v>
      </c>
      <c r="F439" s="1175" t="s">
        <v>1067</v>
      </c>
      <c r="G439" s="1176" t="s">
        <v>1617</v>
      </c>
      <c r="H439" s="1176" t="s">
        <v>1617</v>
      </c>
      <c r="I439" s="1176">
        <v>10</v>
      </c>
      <c r="J439" s="1176" t="s">
        <v>1649</v>
      </c>
      <c r="K439" s="1176" t="s">
        <v>674</v>
      </c>
      <c r="L439" s="1178" t="s">
        <v>675</v>
      </c>
      <c r="M439" s="1264">
        <v>32000000</v>
      </c>
      <c r="N439" s="1175" t="s">
        <v>741</v>
      </c>
      <c r="O439" s="1175" t="s">
        <v>1620</v>
      </c>
    </row>
    <row r="440" spans="1:15" s="1159" customFormat="1" ht="60" x14ac:dyDescent="0.3">
      <c r="A440" s="1172">
        <v>2022434</v>
      </c>
      <c r="B440" s="1172">
        <v>7658</v>
      </c>
      <c r="C440" s="1172" t="s">
        <v>679</v>
      </c>
      <c r="D440" s="1190" t="s">
        <v>692</v>
      </c>
      <c r="E440" s="1234">
        <v>80111600</v>
      </c>
      <c r="F440" s="1175" t="s">
        <v>1067</v>
      </c>
      <c r="G440" s="1176" t="s">
        <v>1617</v>
      </c>
      <c r="H440" s="1176" t="s">
        <v>1617</v>
      </c>
      <c r="I440" s="1176">
        <v>10</v>
      </c>
      <c r="J440" s="1176" t="s">
        <v>1649</v>
      </c>
      <c r="K440" s="1176" t="s">
        <v>674</v>
      </c>
      <c r="L440" s="1178" t="s">
        <v>675</v>
      </c>
      <c r="M440" s="1264">
        <v>24500000</v>
      </c>
      <c r="N440" s="1175" t="s">
        <v>741</v>
      </c>
      <c r="O440" s="1175" t="s">
        <v>1620</v>
      </c>
    </row>
    <row r="441" spans="1:15" s="1159" customFormat="1" ht="60" x14ac:dyDescent="0.3">
      <c r="A441" s="1172">
        <v>2022435</v>
      </c>
      <c r="B441" s="1172">
        <v>7658</v>
      </c>
      <c r="C441" s="1172" t="s">
        <v>679</v>
      </c>
      <c r="D441" s="1190" t="s">
        <v>692</v>
      </c>
      <c r="E441" s="1234">
        <v>80111600</v>
      </c>
      <c r="F441" s="1175" t="s">
        <v>1067</v>
      </c>
      <c r="G441" s="1176" t="s">
        <v>1617</v>
      </c>
      <c r="H441" s="1176" t="s">
        <v>1617</v>
      </c>
      <c r="I441" s="1176">
        <v>10</v>
      </c>
      <c r="J441" s="1176" t="s">
        <v>1649</v>
      </c>
      <c r="K441" s="1176" t="s">
        <v>674</v>
      </c>
      <c r="L441" s="1178" t="s">
        <v>675</v>
      </c>
      <c r="M441" s="1264">
        <v>28500000</v>
      </c>
      <c r="N441" s="1175" t="s">
        <v>741</v>
      </c>
      <c r="O441" s="1175" t="s">
        <v>1620</v>
      </c>
    </row>
    <row r="442" spans="1:15" s="1159" customFormat="1" ht="60" x14ac:dyDescent="0.3">
      <c r="A442" s="1172">
        <v>2022436</v>
      </c>
      <c r="B442" s="1172">
        <v>7658</v>
      </c>
      <c r="C442" s="1172" t="s">
        <v>679</v>
      </c>
      <c r="D442" s="1190" t="s">
        <v>692</v>
      </c>
      <c r="E442" s="1234">
        <v>80111600</v>
      </c>
      <c r="F442" s="1175" t="s">
        <v>1067</v>
      </c>
      <c r="G442" s="1176" t="s">
        <v>1617</v>
      </c>
      <c r="H442" s="1176" t="s">
        <v>1617</v>
      </c>
      <c r="I442" s="1176">
        <v>10</v>
      </c>
      <c r="J442" s="1176" t="s">
        <v>1649</v>
      </c>
      <c r="K442" s="1176" t="s">
        <v>674</v>
      </c>
      <c r="L442" s="1178" t="s">
        <v>675</v>
      </c>
      <c r="M442" s="1264">
        <v>28500000</v>
      </c>
      <c r="N442" s="1175" t="s">
        <v>741</v>
      </c>
      <c r="O442" s="1175" t="s">
        <v>1620</v>
      </c>
    </row>
    <row r="443" spans="1:15" s="1159" customFormat="1" ht="60" x14ac:dyDescent="0.3">
      <c r="A443" s="1172">
        <v>2022437</v>
      </c>
      <c r="B443" s="1172">
        <v>7658</v>
      </c>
      <c r="C443" s="1172" t="s">
        <v>679</v>
      </c>
      <c r="D443" s="1190" t="s">
        <v>692</v>
      </c>
      <c r="E443" s="1234">
        <v>80111600</v>
      </c>
      <c r="F443" s="1175" t="s">
        <v>1067</v>
      </c>
      <c r="G443" s="1176" t="s">
        <v>1617</v>
      </c>
      <c r="H443" s="1176" t="s">
        <v>1617</v>
      </c>
      <c r="I443" s="1176">
        <v>10</v>
      </c>
      <c r="J443" s="1176" t="s">
        <v>1649</v>
      </c>
      <c r="K443" s="1176" t="s">
        <v>674</v>
      </c>
      <c r="L443" s="1178" t="s">
        <v>675</v>
      </c>
      <c r="M443" s="1264">
        <v>24500000</v>
      </c>
      <c r="N443" s="1175" t="s">
        <v>741</v>
      </c>
      <c r="O443" s="1175" t="s">
        <v>1620</v>
      </c>
    </row>
    <row r="444" spans="1:15" s="1159" customFormat="1" ht="60" x14ac:dyDescent="0.3">
      <c r="A444" s="1172">
        <v>2022438</v>
      </c>
      <c r="B444" s="1172">
        <v>7658</v>
      </c>
      <c r="C444" s="1172" t="s">
        <v>679</v>
      </c>
      <c r="D444" s="1190" t="s">
        <v>692</v>
      </c>
      <c r="E444" s="1234">
        <v>80111600</v>
      </c>
      <c r="F444" s="1175" t="s">
        <v>1067</v>
      </c>
      <c r="G444" s="1176" t="s">
        <v>1617</v>
      </c>
      <c r="H444" s="1176" t="s">
        <v>1617</v>
      </c>
      <c r="I444" s="1176">
        <v>10</v>
      </c>
      <c r="J444" s="1176" t="s">
        <v>1649</v>
      </c>
      <c r="K444" s="1176" t="s">
        <v>674</v>
      </c>
      <c r="L444" s="1178" t="s">
        <v>675</v>
      </c>
      <c r="M444" s="1264">
        <v>24500000</v>
      </c>
      <c r="N444" s="1175" t="s">
        <v>741</v>
      </c>
      <c r="O444" s="1175" t="s">
        <v>1620</v>
      </c>
    </row>
    <row r="445" spans="1:15" s="1159" customFormat="1" ht="60" x14ac:dyDescent="0.3">
      <c r="A445" s="1172">
        <v>2022439</v>
      </c>
      <c r="B445" s="1172">
        <v>7658</v>
      </c>
      <c r="C445" s="1172" t="s">
        <v>679</v>
      </c>
      <c r="D445" s="1190" t="s">
        <v>692</v>
      </c>
      <c r="E445" s="1234">
        <v>80111600</v>
      </c>
      <c r="F445" s="1175" t="s">
        <v>1067</v>
      </c>
      <c r="G445" s="1176" t="s">
        <v>1617</v>
      </c>
      <c r="H445" s="1176" t="s">
        <v>1617</v>
      </c>
      <c r="I445" s="1176">
        <v>10</v>
      </c>
      <c r="J445" s="1176" t="s">
        <v>1649</v>
      </c>
      <c r="K445" s="1176" t="s">
        <v>674</v>
      </c>
      <c r="L445" s="1178" t="s">
        <v>675</v>
      </c>
      <c r="M445" s="1264">
        <v>18000000</v>
      </c>
      <c r="N445" s="1175" t="s">
        <v>741</v>
      </c>
      <c r="O445" s="1175" t="s">
        <v>1620</v>
      </c>
    </row>
    <row r="446" spans="1:15" s="1159" customFormat="1" ht="60" x14ac:dyDescent="0.3">
      <c r="A446" s="1172">
        <v>2022440</v>
      </c>
      <c r="B446" s="1172">
        <v>7658</v>
      </c>
      <c r="C446" s="1172" t="s">
        <v>679</v>
      </c>
      <c r="D446" s="1190" t="s">
        <v>692</v>
      </c>
      <c r="E446" s="1234">
        <v>80111600</v>
      </c>
      <c r="F446" s="1175" t="s">
        <v>1067</v>
      </c>
      <c r="G446" s="1176" t="s">
        <v>1617</v>
      </c>
      <c r="H446" s="1176" t="s">
        <v>1617</v>
      </c>
      <c r="I446" s="1176">
        <v>10</v>
      </c>
      <c r="J446" s="1176" t="s">
        <v>1649</v>
      </c>
      <c r="K446" s="1176" t="s">
        <v>674</v>
      </c>
      <c r="L446" s="1178" t="s">
        <v>675</v>
      </c>
      <c r="M446" s="1264">
        <v>24500000</v>
      </c>
      <c r="N446" s="1175" t="s">
        <v>741</v>
      </c>
      <c r="O446" s="1175" t="s">
        <v>1620</v>
      </c>
    </row>
    <row r="447" spans="1:15" s="1159" customFormat="1" ht="60" x14ac:dyDescent="0.3">
      <c r="A447" s="1172">
        <v>2022441</v>
      </c>
      <c r="B447" s="1172">
        <v>7658</v>
      </c>
      <c r="C447" s="1172" t="s">
        <v>679</v>
      </c>
      <c r="D447" s="1190" t="s">
        <v>692</v>
      </c>
      <c r="E447" s="1234">
        <v>80111600</v>
      </c>
      <c r="F447" s="1175" t="s">
        <v>1067</v>
      </c>
      <c r="G447" s="1176" t="s">
        <v>1617</v>
      </c>
      <c r="H447" s="1176" t="s">
        <v>1617</v>
      </c>
      <c r="I447" s="1176">
        <v>10</v>
      </c>
      <c r="J447" s="1176" t="s">
        <v>1649</v>
      </c>
      <c r="K447" s="1176" t="s">
        <v>674</v>
      </c>
      <c r="L447" s="1178" t="s">
        <v>675</v>
      </c>
      <c r="M447" s="1264">
        <v>28500000</v>
      </c>
      <c r="N447" s="1175" t="s">
        <v>741</v>
      </c>
      <c r="O447" s="1175" t="s">
        <v>1620</v>
      </c>
    </row>
    <row r="448" spans="1:15" s="1159" customFormat="1" ht="60" x14ac:dyDescent="0.3">
      <c r="A448" s="1172">
        <v>2022442</v>
      </c>
      <c r="B448" s="1172">
        <v>7658</v>
      </c>
      <c r="C448" s="1172" t="s">
        <v>679</v>
      </c>
      <c r="D448" s="1190" t="s">
        <v>692</v>
      </c>
      <c r="E448" s="1234">
        <v>80111600</v>
      </c>
      <c r="F448" s="1175" t="s">
        <v>1068</v>
      </c>
      <c r="G448" s="1176" t="s">
        <v>1617</v>
      </c>
      <c r="H448" s="1176" t="s">
        <v>1617</v>
      </c>
      <c r="I448" s="1176">
        <v>10</v>
      </c>
      <c r="J448" s="1176" t="s">
        <v>1649</v>
      </c>
      <c r="K448" s="1176" t="s">
        <v>674</v>
      </c>
      <c r="L448" s="1178" t="s">
        <v>675</v>
      </c>
      <c r="M448" s="1264">
        <v>56650000</v>
      </c>
      <c r="N448" s="1175" t="s">
        <v>741</v>
      </c>
      <c r="O448" s="1175" t="s">
        <v>1620</v>
      </c>
    </row>
    <row r="449" spans="1:15" s="1159" customFormat="1" ht="60" x14ac:dyDescent="0.3">
      <c r="A449" s="1172">
        <v>2022443</v>
      </c>
      <c r="B449" s="1172">
        <v>7658</v>
      </c>
      <c r="C449" s="1172" t="s">
        <v>679</v>
      </c>
      <c r="D449" s="1190" t="s">
        <v>692</v>
      </c>
      <c r="E449" s="1234">
        <v>80111600</v>
      </c>
      <c r="F449" s="1175" t="s">
        <v>1069</v>
      </c>
      <c r="G449" s="1176" t="s">
        <v>1617</v>
      </c>
      <c r="H449" s="1176" t="s">
        <v>1617</v>
      </c>
      <c r="I449" s="1176">
        <v>10</v>
      </c>
      <c r="J449" s="1176" t="s">
        <v>1649</v>
      </c>
      <c r="K449" s="1176" t="s">
        <v>674</v>
      </c>
      <c r="L449" s="1178" t="s">
        <v>675</v>
      </c>
      <c r="M449" s="1264">
        <v>46350000</v>
      </c>
      <c r="N449" s="1175" t="s">
        <v>741</v>
      </c>
      <c r="O449" s="1175" t="s">
        <v>1620</v>
      </c>
    </row>
    <row r="450" spans="1:15" s="1159" customFormat="1" ht="60" x14ac:dyDescent="0.3">
      <c r="A450" s="1172">
        <v>2022444</v>
      </c>
      <c r="B450" s="1172">
        <v>7658</v>
      </c>
      <c r="C450" s="1172" t="s">
        <v>679</v>
      </c>
      <c r="D450" s="1190" t="s">
        <v>692</v>
      </c>
      <c r="E450" s="1234">
        <v>80111600</v>
      </c>
      <c r="F450" s="1175" t="s">
        <v>1069</v>
      </c>
      <c r="G450" s="1176" t="s">
        <v>1617</v>
      </c>
      <c r="H450" s="1176" t="s">
        <v>1617</v>
      </c>
      <c r="I450" s="1176">
        <v>10</v>
      </c>
      <c r="J450" s="1176" t="s">
        <v>1649</v>
      </c>
      <c r="K450" s="1176" t="s">
        <v>674</v>
      </c>
      <c r="L450" s="1178" t="s">
        <v>675</v>
      </c>
      <c r="M450" s="1264">
        <v>45000000</v>
      </c>
      <c r="N450" s="1175" t="s">
        <v>741</v>
      </c>
      <c r="O450" s="1175" t="s">
        <v>1620</v>
      </c>
    </row>
    <row r="451" spans="1:15" s="1159" customFormat="1" ht="60" x14ac:dyDescent="0.3">
      <c r="A451" s="1172">
        <v>2022445</v>
      </c>
      <c r="B451" s="1172">
        <v>7658</v>
      </c>
      <c r="C451" s="1172" t="s">
        <v>679</v>
      </c>
      <c r="D451" s="1190" t="s">
        <v>692</v>
      </c>
      <c r="E451" s="1234">
        <v>80111600</v>
      </c>
      <c r="F451" s="1175" t="s">
        <v>1070</v>
      </c>
      <c r="G451" s="1176" t="s">
        <v>1617</v>
      </c>
      <c r="H451" s="1176" t="s">
        <v>1617</v>
      </c>
      <c r="I451" s="1176">
        <v>6</v>
      </c>
      <c r="J451" s="1176" t="s">
        <v>1649</v>
      </c>
      <c r="K451" s="1176" t="s">
        <v>674</v>
      </c>
      <c r="L451" s="1178" t="s">
        <v>675</v>
      </c>
      <c r="M451" s="1264">
        <v>27810000</v>
      </c>
      <c r="N451" s="1175" t="s">
        <v>741</v>
      </c>
      <c r="O451" s="1175" t="s">
        <v>1620</v>
      </c>
    </row>
    <row r="452" spans="1:15" s="1159" customFormat="1" ht="60" x14ac:dyDescent="0.3">
      <c r="A452" s="1172">
        <v>2022446</v>
      </c>
      <c r="B452" s="1172">
        <v>7658</v>
      </c>
      <c r="C452" s="1172" t="s">
        <v>679</v>
      </c>
      <c r="D452" s="1190" t="s">
        <v>692</v>
      </c>
      <c r="E452" s="1234">
        <v>80111600</v>
      </c>
      <c r="F452" s="1175" t="s">
        <v>1070</v>
      </c>
      <c r="G452" s="1176" t="s">
        <v>1617</v>
      </c>
      <c r="H452" s="1176" t="s">
        <v>1617</v>
      </c>
      <c r="I452" s="1176">
        <v>4</v>
      </c>
      <c r="J452" s="1176" t="s">
        <v>1649</v>
      </c>
      <c r="K452" s="1176" t="s">
        <v>674</v>
      </c>
      <c r="L452" s="1178" t="s">
        <v>675</v>
      </c>
      <c r="M452" s="1264">
        <v>18540000</v>
      </c>
      <c r="N452" s="1175" t="s">
        <v>741</v>
      </c>
      <c r="O452" s="1175" t="s">
        <v>1620</v>
      </c>
    </row>
    <row r="453" spans="1:15" s="1159" customFormat="1" ht="60" x14ac:dyDescent="0.3">
      <c r="A453" s="1172">
        <v>2022447</v>
      </c>
      <c r="B453" s="1172">
        <v>7658</v>
      </c>
      <c r="C453" s="1172" t="s">
        <v>679</v>
      </c>
      <c r="D453" s="1190" t="s">
        <v>692</v>
      </c>
      <c r="E453" s="1234">
        <v>80111600</v>
      </c>
      <c r="F453" s="1175" t="s">
        <v>1071</v>
      </c>
      <c r="G453" s="1176" t="s">
        <v>1617</v>
      </c>
      <c r="H453" s="1176" t="s">
        <v>1617</v>
      </c>
      <c r="I453" s="1176">
        <v>10</v>
      </c>
      <c r="J453" s="1176" t="s">
        <v>1649</v>
      </c>
      <c r="K453" s="1176" t="s">
        <v>674</v>
      </c>
      <c r="L453" s="1178" t="s">
        <v>675</v>
      </c>
      <c r="M453" s="1264">
        <v>57000000</v>
      </c>
      <c r="N453" s="1175" t="s">
        <v>741</v>
      </c>
      <c r="O453" s="1175" t="s">
        <v>1620</v>
      </c>
    </row>
    <row r="454" spans="1:15" s="1159" customFormat="1" ht="60" x14ac:dyDescent="0.3">
      <c r="A454" s="1172">
        <v>2022448</v>
      </c>
      <c r="B454" s="1172">
        <v>7658</v>
      </c>
      <c r="C454" s="1172" t="s">
        <v>679</v>
      </c>
      <c r="D454" s="1190" t="s">
        <v>692</v>
      </c>
      <c r="E454" s="1234">
        <v>80111600</v>
      </c>
      <c r="F454" s="1175" t="s">
        <v>1071</v>
      </c>
      <c r="G454" s="1176" t="s">
        <v>1617</v>
      </c>
      <c r="H454" s="1176" t="s">
        <v>1617</v>
      </c>
      <c r="I454" s="1176">
        <v>10</v>
      </c>
      <c r="J454" s="1176" t="s">
        <v>1649</v>
      </c>
      <c r="K454" s="1176" t="s">
        <v>674</v>
      </c>
      <c r="L454" s="1178" t="s">
        <v>675</v>
      </c>
      <c r="M454" s="1264">
        <v>48500000</v>
      </c>
      <c r="N454" s="1175" t="s">
        <v>741</v>
      </c>
      <c r="O454" s="1175" t="s">
        <v>1620</v>
      </c>
    </row>
    <row r="455" spans="1:15" s="1159" customFormat="1" ht="60" x14ac:dyDescent="0.3">
      <c r="A455" s="1172">
        <v>2022449</v>
      </c>
      <c r="B455" s="1172">
        <v>7658</v>
      </c>
      <c r="C455" s="1172" t="s">
        <v>679</v>
      </c>
      <c r="D455" s="1190" t="s">
        <v>692</v>
      </c>
      <c r="E455" s="1234">
        <v>80111600</v>
      </c>
      <c r="F455" s="1175" t="s">
        <v>1071</v>
      </c>
      <c r="G455" s="1176" t="s">
        <v>1617</v>
      </c>
      <c r="H455" s="1176" t="s">
        <v>1617</v>
      </c>
      <c r="I455" s="1176">
        <v>10</v>
      </c>
      <c r="J455" s="1176" t="s">
        <v>1649</v>
      </c>
      <c r="K455" s="1176" t="s">
        <v>674</v>
      </c>
      <c r="L455" s="1178" t="s">
        <v>675</v>
      </c>
      <c r="M455" s="1264">
        <v>48500000</v>
      </c>
      <c r="N455" s="1175" t="s">
        <v>741</v>
      </c>
      <c r="O455" s="1175" t="s">
        <v>1620</v>
      </c>
    </row>
    <row r="456" spans="1:15" s="1159" customFormat="1" ht="60" x14ac:dyDescent="0.3">
      <c r="A456" s="1172">
        <v>2022450</v>
      </c>
      <c r="B456" s="1172">
        <v>7658</v>
      </c>
      <c r="C456" s="1172" t="s">
        <v>679</v>
      </c>
      <c r="D456" s="1190" t="s">
        <v>692</v>
      </c>
      <c r="E456" s="1234">
        <v>80111600</v>
      </c>
      <c r="F456" s="1175" t="s">
        <v>1072</v>
      </c>
      <c r="G456" s="1176" t="s">
        <v>1617</v>
      </c>
      <c r="H456" s="1176" t="s">
        <v>1617</v>
      </c>
      <c r="I456" s="1176">
        <v>10</v>
      </c>
      <c r="J456" s="1176" t="s">
        <v>1649</v>
      </c>
      <c r="K456" s="1176" t="s">
        <v>674</v>
      </c>
      <c r="L456" s="1178" t="s">
        <v>675</v>
      </c>
      <c r="M456" s="1264">
        <v>48500000</v>
      </c>
      <c r="N456" s="1175" t="s">
        <v>741</v>
      </c>
      <c r="O456" s="1175" t="s">
        <v>1620</v>
      </c>
    </row>
    <row r="457" spans="1:15" s="1159" customFormat="1" ht="60" x14ac:dyDescent="0.3">
      <c r="A457" s="1172">
        <v>2022451</v>
      </c>
      <c r="B457" s="1172">
        <v>7658</v>
      </c>
      <c r="C457" s="1172" t="s">
        <v>679</v>
      </c>
      <c r="D457" s="1190" t="s">
        <v>692</v>
      </c>
      <c r="E457" s="1234">
        <v>80111600</v>
      </c>
      <c r="F457" s="1175" t="s">
        <v>1072</v>
      </c>
      <c r="G457" s="1176" t="s">
        <v>1617</v>
      </c>
      <c r="H457" s="1176" t="s">
        <v>1617</v>
      </c>
      <c r="I457" s="1176">
        <v>10</v>
      </c>
      <c r="J457" s="1176" t="s">
        <v>1649</v>
      </c>
      <c r="K457" s="1176" t="s">
        <v>674</v>
      </c>
      <c r="L457" s="1178" t="s">
        <v>675</v>
      </c>
      <c r="M457" s="1264">
        <v>35000000</v>
      </c>
      <c r="N457" s="1175" t="s">
        <v>741</v>
      </c>
      <c r="O457" s="1175" t="s">
        <v>1620</v>
      </c>
    </row>
    <row r="458" spans="1:15" s="1159" customFormat="1" ht="60" x14ac:dyDescent="0.3">
      <c r="A458" s="1172">
        <v>2022452</v>
      </c>
      <c r="B458" s="1172">
        <v>7658</v>
      </c>
      <c r="C458" s="1172" t="s">
        <v>679</v>
      </c>
      <c r="D458" s="1190" t="s">
        <v>692</v>
      </c>
      <c r="E458" s="1234">
        <v>80111600</v>
      </c>
      <c r="F458" s="1175" t="s">
        <v>1071</v>
      </c>
      <c r="G458" s="1176" t="s">
        <v>1617</v>
      </c>
      <c r="H458" s="1176" t="s">
        <v>1617</v>
      </c>
      <c r="I458" s="1176">
        <v>6</v>
      </c>
      <c r="J458" s="1176" t="s">
        <v>1649</v>
      </c>
      <c r="K458" s="1176" t="s">
        <v>674</v>
      </c>
      <c r="L458" s="1178" t="s">
        <v>675</v>
      </c>
      <c r="M458" s="1264">
        <v>29100000</v>
      </c>
      <c r="N458" s="1175" t="s">
        <v>741</v>
      </c>
      <c r="O458" s="1175" t="s">
        <v>1620</v>
      </c>
    </row>
    <row r="459" spans="1:15" s="1159" customFormat="1" ht="60" x14ac:dyDescent="0.3">
      <c r="A459" s="1172">
        <v>2022453</v>
      </c>
      <c r="B459" s="1172">
        <v>7658</v>
      </c>
      <c r="C459" s="1172" t="s">
        <v>679</v>
      </c>
      <c r="D459" s="1190" t="s">
        <v>692</v>
      </c>
      <c r="E459" s="1234">
        <v>80111600</v>
      </c>
      <c r="F459" s="1175" t="s">
        <v>1071</v>
      </c>
      <c r="G459" s="1176" t="s">
        <v>1617</v>
      </c>
      <c r="H459" s="1176" t="s">
        <v>1617</v>
      </c>
      <c r="I459" s="1176">
        <v>4</v>
      </c>
      <c r="J459" s="1176" t="s">
        <v>1649</v>
      </c>
      <c r="K459" s="1176" t="s">
        <v>674</v>
      </c>
      <c r="L459" s="1178" t="s">
        <v>675</v>
      </c>
      <c r="M459" s="1264">
        <v>19400000</v>
      </c>
      <c r="N459" s="1175" t="s">
        <v>741</v>
      </c>
      <c r="O459" s="1175" t="s">
        <v>1620</v>
      </c>
    </row>
    <row r="460" spans="1:15" s="1159" customFormat="1" ht="60" x14ac:dyDescent="0.3">
      <c r="A460" s="1172">
        <v>2022454</v>
      </c>
      <c r="B460" s="1172">
        <v>7658</v>
      </c>
      <c r="C460" s="1172" t="s">
        <v>679</v>
      </c>
      <c r="D460" s="1190" t="s">
        <v>692</v>
      </c>
      <c r="E460" s="1234">
        <v>80111600</v>
      </c>
      <c r="F460" s="1175" t="s">
        <v>1073</v>
      </c>
      <c r="G460" s="1176" t="s">
        <v>1617</v>
      </c>
      <c r="H460" s="1176" t="s">
        <v>1617</v>
      </c>
      <c r="I460" s="1176">
        <v>10</v>
      </c>
      <c r="J460" s="1176" t="s">
        <v>1649</v>
      </c>
      <c r="K460" s="1176" t="s">
        <v>674</v>
      </c>
      <c r="L460" s="1178" t="s">
        <v>675</v>
      </c>
      <c r="M460" s="1264">
        <v>55000000</v>
      </c>
      <c r="N460" s="1175" t="s">
        <v>741</v>
      </c>
      <c r="O460" s="1175" t="s">
        <v>1620</v>
      </c>
    </row>
    <row r="461" spans="1:15" s="1159" customFormat="1" ht="60" x14ac:dyDescent="0.3">
      <c r="A461" s="1172">
        <v>2022455</v>
      </c>
      <c r="B461" s="1172">
        <v>7658</v>
      </c>
      <c r="C461" s="1172" t="s">
        <v>679</v>
      </c>
      <c r="D461" s="1190" t="s">
        <v>692</v>
      </c>
      <c r="E461" s="1234">
        <v>80111600</v>
      </c>
      <c r="F461" s="1175" t="s">
        <v>1073</v>
      </c>
      <c r="G461" s="1176" t="s">
        <v>1617</v>
      </c>
      <c r="H461" s="1176" t="s">
        <v>1617</v>
      </c>
      <c r="I461" s="1176">
        <v>10</v>
      </c>
      <c r="J461" s="1176" t="s">
        <v>1649</v>
      </c>
      <c r="K461" s="1176" t="s">
        <v>674</v>
      </c>
      <c r="L461" s="1178" t="s">
        <v>675</v>
      </c>
      <c r="M461" s="1264">
        <v>55000000</v>
      </c>
      <c r="N461" s="1175" t="s">
        <v>741</v>
      </c>
      <c r="O461" s="1175" t="s">
        <v>1620</v>
      </c>
    </row>
    <row r="462" spans="1:15" s="1159" customFormat="1" ht="60" x14ac:dyDescent="0.3">
      <c r="A462" s="1172">
        <v>2022456</v>
      </c>
      <c r="B462" s="1172">
        <v>7658</v>
      </c>
      <c r="C462" s="1172" t="s">
        <v>679</v>
      </c>
      <c r="D462" s="1190" t="s">
        <v>692</v>
      </c>
      <c r="E462" s="1234">
        <v>80111600</v>
      </c>
      <c r="F462" s="1175" t="s">
        <v>1073</v>
      </c>
      <c r="G462" s="1176" t="s">
        <v>1617</v>
      </c>
      <c r="H462" s="1176" t="s">
        <v>1617</v>
      </c>
      <c r="I462" s="1176">
        <v>6</v>
      </c>
      <c r="J462" s="1176" t="s">
        <v>1649</v>
      </c>
      <c r="K462" s="1176" t="s">
        <v>674</v>
      </c>
      <c r="L462" s="1178" t="s">
        <v>675</v>
      </c>
      <c r="M462" s="1264">
        <v>29100000</v>
      </c>
      <c r="N462" s="1175" t="s">
        <v>741</v>
      </c>
      <c r="O462" s="1175" t="s">
        <v>1620</v>
      </c>
    </row>
    <row r="463" spans="1:15" s="1159" customFormat="1" ht="60" x14ac:dyDescent="0.3">
      <c r="A463" s="1172">
        <v>2022457</v>
      </c>
      <c r="B463" s="1172">
        <v>7658</v>
      </c>
      <c r="C463" s="1172" t="s">
        <v>679</v>
      </c>
      <c r="D463" s="1190" t="s">
        <v>692</v>
      </c>
      <c r="E463" s="1234">
        <v>80111600</v>
      </c>
      <c r="F463" s="1175" t="s">
        <v>1073</v>
      </c>
      <c r="G463" s="1176" t="s">
        <v>1617</v>
      </c>
      <c r="H463" s="1176" t="s">
        <v>1617</v>
      </c>
      <c r="I463" s="1176">
        <v>4</v>
      </c>
      <c r="J463" s="1176" t="s">
        <v>1649</v>
      </c>
      <c r="K463" s="1176" t="s">
        <v>674</v>
      </c>
      <c r="L463" s="1178" t="s">
        <v>675</v>
      </c>
      <c r="M463" s="1264">
        <v>19400000</v>
      </c>
      <c r="N463" s="1175" t="s">
        <v>741</v>
      </c>
      <c r="O463" s="1175" t="s">
        <v>1620</v>
      </c>
    </row>
    <row r="464" spans="1:15" s="1159" customFormat="1" ht="60" x14ac:dyDescent="0.3">
      <c r="A464" s="1172">
        <v>2022458</v>
      </c>
      <c r="B464" s="1172">
        <v>7658</v>
      </c>
      <c r="C464" s="1172" t="s">
        <v>679</v>
      </c>
      <c r="D464" s="1190" t="s">
        <v>692</v>
      </c>
      <c r="E464" s="1234">
        <v>80111600</v>
      </c>
      <c r="F464" s="1175" t="s">
        <v>1073</v>
      </c>
      <c r="G464" s="1176" t="s">
        <v>1617</v>
      </c>
      <c r="H464" s="1176" t="s">
        <v>1617</v>
      </c>
      <c r="I464" s="1176">
        <v>10</v>
      </c>
      <c r="J464" s="1176" t="s">
        <v>1649</v>
      </c>
      <c r="K464" s="1176" t="s">
        <v>674</v>
      </c>
      <c r="L464" s="1178" t="s">
        <v>675</v>
      </c>
      <c r="M464" s="1264">
        <v>48500000</v>
      </c>
      <c r="N464" s="1175" t="s">
        <v>741</v>
      </c>
      <c r="O464" s="1175" t="s">
        <v>1620</v>
      </c>
    </row>
    <row r="465" spans="1:15" s="1159" customFormat="1" ht="60" x14ac:dyDescent="0.3">
      <c r="A465" s="1172">
        <v>2022459</v>
      </c>
      <c r="B465" s="1172">
        <v>7658</v>
      </c>
      <c r="C465" s="1172" t="s">
        <v>679</v>
      </c>
      <c r="D465" s="1190" t="s">
        <v>692</v>
      </c>
      <c r="E465" s="1234">
        <v>80111600</v>
      </c>
      <c r="F465" s="1175" t="s">
        <v>1073</v>
      </c>
      <c r="G465" s="1176" t="s">
        <v>1617</v>
      </c>
      <c r="H465" s="1176" t="s">
        <v>1617</v>
      </c>
      <c r="I465" s="1176">
        <v>6</v>
      </c>
      <c r="J465" s="1176" t="s">
        <v>1649</v>
      </c>
      <c r="K465" s="1176" t="s">
        <v>674</v>
      </c>
      <c r="L465" s="1178" t="s">
        <v>675</v>
      </c>
      <c r="M465" s="1264">
        <v>29100000</v>
      </c>
      <c r="N465" s="1175" t="s">
        <v>741</v>
      </c>
      <c r="O465" s="1175" t="s">
        <v>1620</v>
      </c>
    </row>
    <row r="466" spans="1:15" s="1159" customFormat="1" ht="60" x14ac:dyDescent="0.3">
      <c r="A466" s="1172">
        <v>2022460</v>
      </c>
      <c r="B466" s="1172">
        <v>7658</v>
      </c>
      <c r="C466" s="1172" t="s">
        <v>679</v>
      </c>
      <c r="D466" s="1190" t="s">
        <v>692</v>
      </c>
      <c r="E466" s="1234">
        <v>80111600</v>
      </c>
      <c r="F466" s="1175" t="s">
        <v>1073</v>
      </c>
      <c r="G466" s="1176" t="s">
        <v>1617</v>
      </c>
      <c r="H466" s="1176" t="s">
        <v>1617</v>
      </c>
      <c r="I466" s="1176">
        <v>4</v>
      </c>
      <c r="J466" s="1176" t="s">
        <v>1649</v>
      </c>
      <c r="K466" s="1176" t="s">
        <v>674</v>
      </c>
      <c r="L466" s="1178" t="s">
        <v>675</v>
      </c>
      <c r="M466" s="1264">
        <v>19400000</v>
      </c>
      <c r="N466" s="1175" t="s">
        <v>741</v>
      </c>
      <c r="O466" s="1175" t="s">
        <v>1620</v>
      </c>
    </row>
    <row r="467" spans="1:15" s="1159" customFormat="1" ht="60" x14ac:dyDescent="0.3">
      <c r="A467" s="1172">
        <v>2022461</v>
      </c>
      <c r="B467" s="1172">
        <v>7658</v>
      </c>
      <c r="C467" s="1172" t="s">
        <v>679</v>
      </c>
      <c r="D467" s="1190" t="s">
        <v>692</v>
      </c>
      <c r="E467" s="1234">
        <v>80111600</v>
      </c>
      <c r="F467" s="1175" t="s">
        <v>1073</v>
      </c>
      <c r="G467" s="1176" t="s">
        <v>1617</v>
      </c>
      <c r="H467" s="1176" t="s">
        <v>1617</v>
      </c>
      <c r="I467" s="1176">
        <v>10</v>
      </c>
      <c r="J467" s="1176" t="s">
        <v>1649</v>
      </c>
      <c r="K467" s="1176" t="s">
        <v>674</v>
      </c>
      <c r="L467" s="1178" t="s">
        <v>675</v>
      </c>
      <c r="M467" s="1264">
        <v>45000000</v>
      </c>
      <c r="N467" s="1175" t="s">
        <v>741</v>
      </c>
      <c r="O467" s="1175" t="s">
        <v>1620</v>
      </c>
    </row>
    <row r="468" spans="1:15" s="1159" customFormat="1" ht="60" x14ac:dyDescent="0.3">
      <c r="A468" s="1172">
        <v>2022462</v>
      </c>
      <c r="B468" s="1172">
        <v>7658</v>
      </c>
      <c r="C468" s="1172" t="s">
        <v>679</v>
      </c>
      <c r="D468" s="1190" t="s">
        <v>692</v>
      </c>
      <c r="E468" s="1234">
        <v>80111600</v>
      </c>
      <c r="F468" s="1175" t="s">
        <v>1074</v>
      </c>
      <c r="G468" s="1176" t="s">
        <v>1617</v>
      </c>
      <c r="H468" s="1176" t="s">
        <v>1617</v>
      </c>
      <c r="I468" s="1176">
        <v>6</v>
      </c>
      <c r="J468" s="1176" t="s">
        <v>1649</v>
      </c>
      <c r="K468" s="1176" t="s">
        <v>674</v>
      </c>
      <c r="L468" s="1178" t="s">
        <v>675</v>
      </c>
      <c r="M468" s="1264">
        <v>16500000</v>
      </c>
      <c r="N468" s="1175" t="s">
        <v>741</v>
      </c>
      <c r="O468" s="1175" t="s">
        <v>1620</v>
      </c>
    </row>
    <row r="469" spans="1:15" s="1159" customFormat="1" ht="60" x14ac:dyDescent="0.3">
      <c r="A469" s="1172">
        <v>2022463</v>
      </c>
      <c r="B469" s="1172">
        <v>7658</v>
      </c>
      <c r="C469" s="1172" t="s">
        <v>679</v>
      </c>
      <c r="D469" s="1190" t="s">
        <v>692</v>
      </c>
      <c r="E469" s="1234">
        <v>80111600</v>
      </c>
      <c r="F469" s="1175" t="s">
        <v>1074</v>
      </c>
      <c r="G469" s="1176" t="s">
        <v>1617</v>
      </c>
      <c r="H469" s="1176" t="s">
        <v>1617</v>
      </c>
      <c r="I469" s="1176">
        <v>4</v>
      </c>
      <c r="J469" s="1176" t="s">
        <v>1649</v>
      </c>
      <c r="K469" s="1176" t="s">
        <v>674</v>
      </c>
      <c r="L469" s="1178" t="s">
        <v>675</v>
      </c>
      <c r="M469" s="1264">
        <v>11000000</v>
      </c>
      <c r="N469" s="1175" t="s">
        <v>741</v>
      </c>
      <c r="O469" s="1175" t="s">
        <v>1620</v>
      </c>
    </row>
    <row r="470" spans="1:15" s="1159" customFormat="1" ht="60" x14ac:dyDescent="0.3">
      <c r="A470" s="1172">
        <v>2022464</v>
      </c>
      <c r="B470" s="1172">
        <v>7658</v>
      </c>
      <c r="C470" s="1172" t="s">
        <v>679</v>
      </c>
      <c r="D470" s="1190" t="s">
        <v>692</v>
      </c>
      <c r="E470" s="1234">
        <v>80111600</v>
      </c>
      <c r="F470" s="1175" t="s">
        <v>1075</v>
      </c>
      <c r="G470" s="1176" t="s">
        <v>1617</v>
      </c>
      <c r="H470" s="1176" t="s">
        <v>1617</v>
      </c>
      <c r="I470" s="1176">
        <v>10</v>
      </c>
      <c r="J470" s="1176" t="s">
        <v>1649</v>
      </c>
      <c r="K470" s="1176" t="s">
        <v>674</v>
      </c>
      <c r="L470" s="1178" t="s">
        <v>675</v>
      </c>
      <c r="M470" s="1264">
        <v>50000000</v>
      </c>
      <c r="N470" s="1175" t="s">
        <v>741</v>
      </c>
      <c r="O470" s="1175" t="s">
        <v>1620</v>
      </c>
    </row>
    <row r="471" spans="1:15" s="1159" customFormat="1" ht="60" x14ac:dyDescent="0.3">
      <c r="A471" s="1172">
        <v>2022465</v>
      </c>
      <c r="B471" s="1172">
        <v>7658</v>
      </c>
      <c r="C471" s="1172" t="s">
        <v>679</v>
      </c>
      <c r="D471" s="1190" t="s">
        <v>692</v>
      </c>
      <c r="E471" s="1234">
        <v>80111600</v>
      </c>
      <c r="F471" s="1175" t="s">
        <v>1076</v>
      </c>
      <c r="G471" s="1176" t="s">
        <v>1617</v>
      </c>
      <c r="H471" s="1176" t="s">
        <v>1617</v>
      </c>
      <c r="I471" s="1176">
        <v>10</v>
      </c>
      <c r="J471" s="1176" t="s">
        <v>1649</v>
      </c>
      <c r="K471" s="1176" t="s">
        <v>674</v>
      </c>
      <c r="L471" s="1178" t="s">
        <v>675</v>
      </c>
      <c r="M471" s="1264">
        <v>48500000</v>
      </c>
      <c r="N471" s="1175" t="s">
        <v>741</v>
      </c>
      <c r="O471" s="1175" t="s">
        <v>1620</v>
      </c>
    </row>
    <row r="472" spans="1:15" s="1159" customFormat="1" ht="60" x14ac:dyDescent="0.3">
      <c r="A472" s="1172">
        <v>2022466</v>
      </c>
      <c r="B472" s="1172">
        <v>7658</v>
      </c>
      <c r="C472" s="1172" t="s">
        <v>679</v>
      </c>
      <c r="D472" s="1190" t="s">
        <v>692</v>
      </c>
      <c r="E472" s="1234">
        <v>80111600</v>
      </c>
      <c r="F472" s="1175" t="s">
        <v>1077</v>
      </c>
      <c r="G472" s="1176" t="s">
        <v>1617</v>
      </c>
      <c r="H472" s="1176" t="s">
        <v>1617</v>
      </c>
      <c r="I472" s="1176">
        <v>10</v>
      </c>
      <c r="J472" s="1176" t="s">
        <v>1649</v>
      </c>
      <c r="K472" s="1176" t="s">
        <v>674</v>
      </c>
      <c r="L472" s="1178" t="s">
        <v>675</v>
      </c>
      <c r="M472" s="1264">
        <v>33500000</v>
      </c>
      <c r="N472" s="1175" t="s">
        <v>741</v>
      </c>
      <c r="O472" s="1175" t="s">
        <v>1620</v>
      </c>
    </row>
    <row r="473" spans="1:15" s="1159" customFormat="1" ht="75" customHeight="1" x14ac:dyDescent="0.3">
      <c r="A473" s="1172">
        <v>2022467</v>
      </c>
      <c r="B473" s="1172">
        <v>7658</v>
      </c>
      <c r="C473" s="1172" t="s">
        <v>679</v>
      </c>
      <c r="D473" s="1190" t="s">
        <v>692</v>
      </c>
      <c r="E473" s="1234">
        <v>80111600</v>
      </c>
      <c r="F473" s="1175" t="s">
        <v>1078</v>
      </c>
      <c r="G473" s="1176" t="s">
        <v>1617</v>
      </c>
      <c r="H473" s="1176" t="s">
        <v>1617</v>
      </c>
      <c r="I473" s="1176">
        <v>10</v>
      </c>
      <c r="J473" s="1176" t="s">
        <v>1649</v>
      </c>
      <c r="K473" s="1176" t="s">
        <v>674</v>
      </c>
      <c r="L473" s="1178" t="s">
        <v>675</v>
      </c>
      <c r="M473" s="1264">
        <v>48500000</v>
      </c>
      <c r="N473" s="1175" t="s">
        <v>741</v>
      </c>
      <c r="O473" s="1175" t="s">
        <v>1620</v>
      </c>
    </row>
    <row r="474" spans="1:15" s="1159" customFormat="1" ht="60" x14ac:dyDescent="0.3">
      <c r="A474" s="1172">
        <v>2022468</v>
      </c>
      <c r="B474" s="1172">
        <v>7658</v>
      </c>
      <c r="C474" s="1172" t="s">
        <v>679</v>
      </c>
      <c r="D474" s="1190" t="s">
        <v>692</v>
      </c>
      <c r="E474" s="1234">
        <v>80111600</v>
      </c>
      <c r="F474" s="1175" t="s">
        <v>1079</v>
      </c>
      <c r="G474" s="1176" t="s">
        <v>1617</v>
      </c>
      <c r="H474" s="1176" t="s">
        <v>1617</v>
      </c>
      <c r="I474" s="1176">
        <v>4</v>
      </c>
      <c r="J474" s="1176" t="s">
        <v>1649</v>
      </c>
      <c r="K474" s="1176" t="s">
        <v>674</v>
      </c>
      <c r="L474" s="1178" t="s">
        <v>675</v>
      </c>
      <c r="M474" s="1264">
        <v>19400000</v>
      </c>
      <c r="N474" s="1175" t="s">
        <v>741</v>
      </c>
      <c r="O474" s="1175" t="s">
        <v>1620</v>
      </c>
    </row>
    <row r="475" spans="1:15" s="1159" customFormat="1" ht="60" x14ac:dyDescent="0.3">
      <c r="A475" s="1172">
        <v>2022469</v>
      </c>
      <c r="B475" s="1172">
        <v>7658</v>
      </c>
      <c r="C475" s="1172" t="s">
        <v>679</v>
      </c>
      <c r="D475" s="1190" t="s">
        <v>692</v>
      </c>
      <c r="E475" s="1234">
        <v>80111600</v>
      </c>
      <c r="F475" s="1175" t="s">
        <v>1079</v>
      </c>
      <c r="G475" s="1176" t="s">
        <v>1617</v>
      </c>
      <c r="H475" s="1176" t="s">
        <v>1617</v>
      </c>
      <c r="I475" s="1176">
        <v>6</v>
      </c>
      <c r="J475" s="1176" t="s">
        <v>1649</v>
      </c>
      <c r="K475" s="1176" t="s">
        <v>674</v>
      </c>
      <c r="L475" s="1178" t="s">
        <v>675</v>
      </c>
      <c r="M475" s="1264">
        <v>29100000</v>
      </c>
      <c r="N475" s="1175" t="s">
        <v>741</v>
      </c>
      <c r="O475" s="1175" t="s">
        <v>1620</v>
      </c>
    </row>
    <row r="476" spans="1:15" s="1159" customFormat="1" ht="60" x14ac:dyDescent="0.3">
      <c r="A476" s="1172">
        <v>2022470</v>
      </c>
      <c r="B476" s="1172">
        <v>7658</v>
      </c>
      <c r="C476" s="1172" t="s">
        <v>679</v>
      </c>
      <c r="D476" s="1190" t="s">
        <v>692</v>
      </c>
      <c r="E476" s="1234">
        <v>80111600</v>
      </c>
      <c r="F476" s="1175" t="s">
        <v>1079</v>
      </c>
      <c r="G476" s="1176" t="s">
        <v>1617</v>
      </c>
      <c r="H476" s="1176" t="s">
        <v>1617</v>
      </c>
      <c r="I476" s="1176">
        <v>4</v>
      </c>
      <c r="J476" s="1176" t="s">
        <v>1649</v>
      </c>
      <c r="K476" s="1176" t="s">
        <v>674</v>
      </c>
      <c r="L476" s="1178" t="s">
        <v>675</v>
      </c>
      <c r="M476" s="1264">
        <v>16000000</v>
      </c>
      <c r="N476" s="1175" t="s">
        <v>741</v>
      </c>
      <c r="O476" s="1175" t="s">
        <v>1620</v>
      </c>
    </row>
    <row r="477" spans="1:15" s="1159" customFormat="1" ht="60" x14ac:dyDescent="0.3">
      <c r="A477" s="1172">
        <v>2022471</v>
      </c>
      <c r="B477" s="1172">
        <v>7658</v>
      </c>
      <c r="C477" s="1172" t="s">
        <v>679</v>
      </c>
      <c r="D477" s="1190" t="s">
        <v>692</v>
      </c>
      <c r="E477" s="1234">
        <v>80111600</v>
      </c>
      <c r="F477" s="1175" t="s">
        <v>1079</v>
      </c>
      <c r="G477" s="1176" t="s">
        <v>1617</v>
      </c>
      <c r="H477" s="1176" t="s">
        <v>1617</v>
      </c>
      <c r="I477" s="1176">
        <v>6</v>
      </c>
      <c r="J477" s="1176" t="s">
        <v>1649</v>
      </c>
      <c r="K477" s="1176" t="s">
        <v>674</v>
      </c>
      <c r="L477" s="1178" t="s">
        <v>675</v>
      </c>
      <c r="M477" s="1264">
        <v>24000000</v>
      </c>
      <c r="N477" s="1175" t="s">
        <v>741</v>
      </c>
      <c r="O477" s="1175" t="s">
        <v>1620</v>
      </c>
    </row>
    <row r="478" spans="1:15" s="1159" customFormat="1" ht="60" x14ac:dyDescent="0.3">
      <c r="A478" s="1172">
        <v>2022472</v>
      </c>
      <c r="B478" s="1172">
        <v>7658</v>
      </c>
      <c r="C478" s="1172" t="s">
        <v>679</v>
      </c>
      <c r="D478" s="1190" t="s">
        <v>692</v>
      </c>
      <c r="E478" s="1234">
        <v>80111600</v>
      </c>
      <c r="F478" s="1175" t="s">
        <v>1079</v>
      </c>
      <c r="G478" s="1176" t="s">
        <v>1617</v>
      </c>
      <c r="H478" s="1176" t="s">
        <v>1617</v>
      </c>
      <c r="I478" s="1176">
        <v>4</v>
      </c>
      <c r="J478" s="1176" t="s">
        <v>1649</v>
      </c>
      <c r="K478" s="1176" t="s">
        <v>674</v>
      </c>
      <c r="L478" s="1178" t="s">
        <v>675</v>
      </c>
      <c r="M478" s="1264">
        <v>15400000</v>
      </c>
      <c r="N478" s="1175" t="s">
        <v>741</v>
      </c>
      <c r="O478" s="1175" t="s">
        <v>1620</v>
      </c>
    </row>
    <row r="479" spans="1:15" s="1159" customFormat="1" ht="60" x14ac:dyDescent="0.3">
      <c r="A479" s="1172">
        <v>2022473</v>
      </c>
      <c r="B479" s="1172">
        <v>7658</v>
      </c>
      <c r="C479" s="1172" t="s">
        <v>679</v>
      </c>
      <c r="D479" s="1190" t="s">
        <v>692</v>
      </c>
      <c r="E479" s="1234">
        <v>80111600</v>
      </c>
      <c r="F479" s="1175" t="s">
        <v>1079</v>
      </c>
      <c r="G479" s="1176" t="s">
        <v>1617</v>
      </c>
      <c r="H479" s="1176" t="s">
        <v>1617</v>
      </c>
      <c r="I479" s="1176">
        <v>6</v>
      </c>
      <c r="J479" s="1176" t="s">
        <v>1649</v>
      </c>
      <c r="K479" s="1176" t="s">
        <v>674</v>
      </c>
      <c r="L479" s="1178" t="s">
        <v>675</v>
      </c>
      <c r="M479" s="1264">
        <v>23100000</v>
      </c>
      <c r="N479" s="1175" t="s">
        <v>741</v>
      </c>
      <c r="O479" s="1175" t="s">
        <v>1620</v>
      </c>
    </row>
    <row r="480" spans="1:15" s="1159" customFormat="1" ht="60" x14ac:dyDescent="0.3">
      <c r="A480" s="1172">
        <v>2022474</v>
      </c>
      <c r="B480" s="1172">
        <v>7658</v>
      </c>
      <c r="C480" s="1172" t="s">
        <v>679</v>
      </c>
      <c r="D480" s="1190" t="s">
        <v>692</v>
      </c>
      <c r="E480" s="1234">
        <v>80111600</v>
      </c>
      <c r="F480" s="1175" t="s">
        <v>1079</v>
      </c>
      <c r="G480" s="1176" t="s">
        <v>1617</v>
      </c>
      <c r="H480" s="1176" t="s">
        <v>1617</v>
      </c>
      <c r="I480" s="1176">
        <v>4</v>
      </c>
      <c r="J480" s="1176" t="s">
        <v>1649</v>
      </c>
      <c r="K480" s="1176" t="s">
        <v>674</v>
      </c>
      <c r="L480" s="1178" t="s">
        <v>675</v>
      </c>
      <c r="M480" s="1264">
        <v>15400000</v>
      </c>
      <c r="N480" s="1175" t="s">
        <v>741</v>
      </c>
      <c r="O480" s="1175" t="s">
        <v>1620</v>
      </c>
    </row>
    <row r="481" spans="1:18" s="1159" customFormat="1" ht="60" x14ac:dyDescent="0.3">
      <c r="A481" s="1172">
        <v>2022475</v>
      </c>
      <c r="B481" s="1172">
        <v>7658</v>
      </c>
      <c r="C481" s="1172" t="s">
        <v>679</v>
      </c>
      <c r="D481" s="1190" t="s">
        <v>692</v>
      </c>
      <c r="E481" s="1234">
        <v>80111600</v>
      </c>
      <c r="F481" s="1175" t="s">
        <v>1079</v>
      </c>
      <c r="G481" s="1176" t="s">
        <v>1617</v>
      </c>
      <c r="H481" s="1176" t="s">
        <v>1617</v>
      </c>
      <c r="I481" s="1176">
        <v>6</v>
      </c>
      <c r="J481" s="1176" t="s">
        <v>1649</v>
      </c>
      <c r="K481" s="1176" t="s">
        <v>674</v>
      </c>
      <c r="L481" s="1178" t="s">
        <v>675</v>
      </c>
      <c r="M481" s="1264">
        <v>23100000</v>
      </c>
      <c r="N481" s="1175" t="s">
        <v>741</v>
      </c>
      <c r="O481" s="1175" t="s">
        <v>1620</v>
      </c>
    </row>
    <row r="482" spans="1:18" s="1159" customFormat="1" ht="60" x14ac:dyDescent="0.3">
      <c r="A482" s="1172">
        <v>2022476</v>
      </c>
      <c r="B482" s="1172">
        <v>7658</v>
      </c>
      <c r="C482" s="1172" t="s">
        <v>679</v>
      </c>
      <c r="D482" s="1190" t="s">
        <v>692</v>
      </c>
      <c r="E482" s="1234">
        <v>80111600</v>
      </c>
      <c r="F482" s="1175" t="s">
        <v>1079</v>
      </c>
      <c r="G482" s="1176" t="s">
        <v>1617</v>
      </c>
      <c r="H482" s="1176" t="s">
        <v>1617</v>
      </c>
      <c r="I482" s="1176">
        <v>4</v>
      </c>
      <c r="J482" s="1176" t="s">
        <v>1649</v>
      </c>
      <c r="K482" s="1176" t="s">
        <v>674</v>
      </c>
      <c r="L482" s="1178" t="s">
        <v>675</v>
      </c>
      <c r="M482" s="1264">
        <v>15400000</v>
      </c>
      <c r="N482" s="1175" t="s">
        <v>741</v>
      </c>
      <c r="O482" s="1175" t="s">
        <v>1620</v>
      </c>
    </row>
    <row r="483" spans="1:18" s="1159" customFormat="1" ht="60" x14ac:dyDescent="0.3">
      <c r="A483" s="1172">
        <v>2022477</v>
      </c>
      <c r="B483" s="1172">
        <v>7658</v>
      </c>
      <c r="C483" s="1172" t="s">
        <v>679</v>
      </c>
      <c r="D483" s="1190" t="s">
        <v>692</v>
      </c>
      <c r="E483" s="1234">
        <v>80111600</v>
      </c>
      <c r="F483" s="1175" t="s">
        <v>1079</v>
      </c>
      <c r="G483" s="1176" t="s">
        <v>1617</v>
      </c>
      <c r="H483" s="1176" t="s">
        <v>1617</v>
      </c>
      <c r="I483" s="1176">
        <v>6</v>
      </c>
      <c r="J483" s="1176" t="s">
        <v>1649</v>
      </c>
      <c r="K483" s="1176" t="s">
        <v>674</v>
      </c>
      <c r="L483" s="1178" t="s">
        <v>675</v>
      </c>
      <c r="M483" s="1264">
        <v>23100000</v>
      </c>
      <c r="N483" s="1175" t="s">
        <v>741</v>
      </c>
      <c r="O483" s="1175" t="s">
        <v>1620</v>
      </c>
    </row>
    <row r="484" spans="1:18" s="1159" customFormat="1" ht="60" x14ac:dyDescent="0.3">
      <c r="A484" s="1172">
        <v>2022478</v>
      </c>
      <c r="B484" s="1172">
        <v>7658</v>
      </c>
      <c r="C484" s="1172" t="s">
        <v>679</v>
      </c>
      <c r="D484" s="1190" t="s">
        <v>692</v>
      </c>
      <c r="E484" s="1234">
        <v>80111600</v>
      </c>
      <c r="F484" s="1175" t="s">
        <v>1080</v>
      </c>
      <c r="G484" s="1176" t="s">
        <v>1617</v>
      </c>
      <c r="H484" s="1176" t="s">
        <v>1617</v>
      </c>
      <c r="I484" s="1176">
        <v>10</v>
      </c>
      <c r="J484" s="1176" t="s">
        <v>1649</v>
      </c>
      <c r="K484" s="1176" t="s">
        <v>674</v>
      </c>
      <c r="L484" s="1178" t="s">
        <v>675</v>
      </c>
      <c r="M484" s="1264">
        <v>72100000</v>
      </c>
      <c r="N484" s="1175" t="s">
        <v>741</v>
      </c>
      <c r="O484" s="1175" t="s">
        <v>1620</v>
      </c>
    </row>
    <row r="485" spans="1:18" s="1159" customFormat="1" ht="60" x14ac:dyDescent="0.3">
      <c r="A485" s="1172">
        <v>2022479</v>
      </c>
      <c r="B485" s="1172">
        <v>7658</v>
      </c>
      <c r="C485" s="1172" t="s">
        <v>679</v>
      </c>
      <c r="D485" s="1190" t="s">
        <v>692</v>
      </c>
      <c r="E485" s="1234">
        <v>80111600</v>
      </c>
      <c r="F485" s="1175" t="s">
        <v>1080</v>
      </c>
      <c r="G485" s="1176" t="s">
        <v>1617</v>
      </c>
      <c r="H485" s="1176" t="s">
        <v>1617</v>
      </c>
      <c r="I485" s="1176">
        <v>10</v>
      </c>
      <c r="J485" s="1176" t="s">
        <v>1649</v>
      </c>
      <c r="K485" s="1176" t="s">
        <v>674</v>
      </c>
      <c r="L485" s="1178" t="s">
        <v>675</v>
      </c>
      <c r="M485" s="1264">
        <v>48500000</v>
      </c>
      <c r="N485" s="1175" t="s">
        <v>741</v>
      </c>
      <c r="O485" s="1175" t="s">
        <v>1620</v>
      </c>
    </row>
    <row r="486" spans="1:18" s="1159" customFormat="1" ht="60" x14ac:dyDescent="0.3">
      <c r="A486" s="1172">
        <v>2022480</v>
      </c>
      <c r="B486" s="1172">
        <v>7658</v>
      </c>
      <c r="C486" s="1172" t="s">
        <v>679</v>
      </c>
      <c r="D486" s="1190" t="s">
        <v>692</v>
      </c>
      <c r="E486" s="1234">
        <v>80111600</v>
      </c>
      <c r="F486" s="1175" t="s">
        <v>1080</v>
      </c>
      <c r="G486" s="1176" t="s">
        <v>1617</v>
      </c>
      <c r="H486" s="1176" t="s">
        <v>1617</v>
      </c>
      <c r="I486" s="1176">
        <v>10</v>
      </c>
      <c r="J486" s="1176" t="s">
        <v>1649</v>
      </c>
      <c r="K486" s="1176" t="s">
        <v>674</v>
      </c>
      <c r="L486" s="1178" t="s">
        <v>675</v>
      </c>
      <c r="M486" s="1264">
        <v>38500000</v>
      </c>
      <c r="N486" s="1175" t="s">
        <v>741</v>
      </c>
      <c r="O486" s="1175" t="s">
        <v>1620</v>
      </c>
    </row>
    <row r="487" spans="1:18" s="1159" customFormat="1" ht="60" x14ac:dyDescent="0.3">
      <c r="A487" s="1172">
        <v>2022481</v>
      </c>
      <c r="B487" s="1172">
        <v>7658</v>
      </c>
      <c r="C487" s="1172" t="s">
        <v>679</v>
      </c>
      <c r="D487" s="1190" t="s">
        <v>692</v>
      </c>
      <c r="E487" s="1234">
        <v>80111600</v>
      </c>
      <c r="F487" s="1175" t="s">
        <v>1081</v>
      </c>
      <c r="G487" s="1176" t="s">
        <v>1617</v>
      </c>
      <c r="H487" s="1176" t="s">
        <v>1617</v>
      </c>
      <c r="I487" s="1176">
        <v>6</v>
      </c>
      <c r="J487" s="1176" t="s">
        <v>1649</v>
      </c>
      <c r="K487" s="1176" t="s">
        <v>674</v>
      </c>
      <c r="L487" s="1178" t="s">
        <v>675</v>
      </c>
      <c r="M487" s="1264">
        <v>48000000</v>
      </c>
      <c r="N487" s="1175" t="s">
        <v>741</v>
      </c>
      <c r="O487" s="1175" t="s">
        <v>1620</v>
      </c>
    </row>
    <row r="488" spans="1:18" s="1159" customFormat="1" ht="60" x14ac:dyDescent="0.3">
      <c r="A488" s="1172">
        <v>2022482</v>
      </c>
      <c r="B488" s="1172">
        <v>7658</v>
      </c>
      <c r="C488" s="1172" t="s">
        <v>679</v>
      </c>
      <c r="D488" s="1190" t="s">
        <v>692</v>
      </c>
      <c r="E488" s="1234">
        <v>80111600</v>
      </c>
      <c r="F488" s="1175" t="s">
        <v>1082</v>
      </c>
      <c r="G488" s="1176" t="s">
        <v>1617</v>
      </c>
      <c r="H488" s="1176" t="s">
        <v>1617</v>
      </c>
      <c r="I488" s="1176">
        <v>6</v>
      </c>
      <c r="J488" s="1176" t="s">
        <v>1649</v>
      </c>
      <c r="K488" s="1176" t="s">
        <v>674</v>
      </c>
      <c r="L488" s="1178" t="s">
        <v>675</v>
      </c>
      <c r="M488" s="1264">
        <v>28200000</v>
      </c>
      <c r="N488" s="1175" t="s">
        <v>741</v>
      </c>
      <c r="O488" s="1175" t="s">
        <v>1620</v>
      </c>
    </row>
    <row r="489" spans="1:18" s="1159" customFormat="1" ht="75" x14ac:dyDescent="0.3">
      <c r="A489" s="1182">
        <v>2022483</v>
      </c>
      <c r="B489" s="1182">
        <v>7658</v>
      </c>
      <c r="C489" s="1182" t="s">
        <v>679</v>
      </c>
      <c r="D489" s="1227" t="s">
        <v>698</v>
      </c>
      <c r="E489" s="1236" t="s">
        <v>1083</v>
      </c>
      <c r="F489" s="1185" t="s">
        <v>1084</v>
      </c>
      <c r="G489" s="1245" t="s">
        <v>1495</v>
      </c>
      <c r="H489" s="1245" t="s">
        <v>1505</v>
      </c>
      <c r="I489" s="1239" t="s">
        <v>1557</v>
      </c>
      <c r="J489" s="1240" t="s">
        <v>1650</v>
      </c>
      <c r="K489" s="1184" t="s">
        <v>674</v>
      </c>
      <c r="L489" s="1247" t="s">
        <v>1085</v>
      </c>
      <c r="M489" s="1186">
        <v>45000000</v>
      </c>
      <c r="N489" s="1185" t="s">
        <v>1651</v>
      </c>
      <c r="O489" s="1185" t="s">
        <v>1562</v>
      </c>
      <c r="R489" s="1180"/>
    </row>
    <row r="490" spans="1:18" s="1159" customFormat="1" ht="75" x14ac:dyDescent="0.3">
      <c r="A490" s="1172">
        <v>2022484</v>
      </c>
      <c r="B490" s="1172">
        <v>7658</v>
      </c>
      <c r="C490" s="1172" t="s">
        <v>679</v>
      </c>
      <c r="D490" s="1190" t="s">
        <v>698</v>
      </c>
      <c r="E490" s="1234" t="s">
        <v>1086</v>
      </c>
      <c r="F490" s="1175" t="s">
        <v>1087</v>
      </c>
      <c r="G490" s="1193" t="s">
        <v>1495</v>
      </c>
      <c r="H490" s="1193" t="s">
        <v>1505</v>
      </c>
      <c r="I490" s="1194" t="s">
        <v>1558</v>
      </c>
      <c r="J490" s="1195" t="s">
        <v>1605</v>
      </c>
      <c r="K490" s="1176" t="s">
        <v>674</v>
      </c>
      <c r="L490" s="1241" t="s">
        <v>1088</v>
      </c>
      <c r="M490" s="1179">
        <v>100000000</v>
      </c>
      <c r="N490" s="1175" t="s">
        <v>1651</v>
      </c>
      <c r="O490" s="1175" t="s">
        <v>1562</v>
      </c>
    </row>
    <row r="491" spans="1:18" s="1159" customFormat="1" ht="75" x14ac:dyDescent="0.3">
      <c r="A491" s="1172">
        <v>2022485</v>
      </c>
      <c r="B491" s="1172">
        <v>7658</v>
      </c>
      <c r="C491" s="1172" t="s">
        <v>679</v>
      </c>
      <c r="D491" s="1190" t="s">
        <v>698</v>
      </c>
      <c r="E491" s="1234" t="s">
        <v>1089</v>
      </c>
      <c r="F491" s="1175" t="s">
        <v>1090</v>
      </c>
      <c r="G491" s="1193" t="s">
        <v>1495</v>
      </c>
      <c r="H491" s="1193" t="s">
        <v>1505</v>
      </c>
      <c r="I491" s="1194" t="s">
        <v>1498</v>
      </c>
      <c r="J491" s="1195" t="s">
        <v>1605</v>
      </c>
      <c r="K491" s="1176" t="s">
        <v>674</v>
      </c>
      <c r="L491" s="1178" t="s">
        <v>1091</v>
      </c>
      <c r="M491" s="1179">
        <v>260900000</v>
      </c>
      <c r="N491" s="1175" t="s">
        <v>1651</v>
      </c>
      <c r="O491" s="1175" t="s">
        <v>1562</v>
      </c>
    </row>
    <row r="492" spans="1:18" s="1159" customFormat="1" ht="75" x14ac:dyDescent="0.3">
      <c r="A492" s="1172">
        <v>2022486</v>
      </c>
      <c r="B492" s="1172">
        <v>7658</v>
      </c>
      <c r="C492" s="1172" t="s">
        <v>679</v>
      </c>
      <c r="D492" s="1190" t="s">
        <v>698</v>
      </c>
      <c r="E492" s="1234" t="s">
        <v>1092</v>
      </c>
      <c r="F492" s="1175" t="s">
        <v>1093</v>
      </c>
      <c r="G492" s="1193" t="s">
        <v>1495</v>
      </c>
      <c r="H492" s="1193" t="s">
        <v>1505</v>
      </c>
      <c r="I492" s="1194" t="s">
        <v>1558</v>
      </c>
      <c r="J492" s="1195" t="s">
        <v>1605</v>
      </c>
      <c r="K492" s="1176" t="s">
        <v>674</v>
      </c>
      <c r="L492" s="1178" t="s">
        <v>1584</v>
      </c>
      <c r="M492" s="1179">
        <v>200000000</v>
      </c>
      <c r="N492" s="1175" t="s">
        <v>1651</v>
      </c>
      <c r="O492" s="1175" t="s">
        <v>1562</v>
      </c>
    </row>
    <row r="493" spans="1:18" s="1159" customFormat="1" ht="75" x14ac:dyDescent="0.3">
      <c r="A493" s="1182">
        <v>2022487</v>
      </c>
      <c r="B493" s="1182">
        <v>7658</v>
      </c>
      <c r="C493" s="1182" t="s">
        <v>679</v>
      </c>
      <c r="D493" s="1227" t="s">
        <v>698</v>
      </c>
      <c r="E493" s="1236" t="s">
        <v>1086</v>
      </c>
      <c r="F493" s="1185" t="s">
        <v>1094</v>
      </c>
      <c r="G493" s="1245" t="s">
        <v>1495</v>
      </c>
      <c r="H493" s="1245" t="s">
        <v>1505</v>
      </c>
      <c r="I493" s="1239" t="s">
        <v>1652</v>
      </c>
      <c r="J493" s="1240" t="s">
        <v>1653</v>
      </c>
      <c r="K493" s="1184" t="s">
        <v>674</v>
      </c>
      <c r="L493" s="1247" t="s">
        <v>1088</v>
      </c>
      <c r="M493" s="1186">
        <f>34000000-10000000-5000000</f>
        <v>19000000</v>
      </c>
      <c r="N493" s="1185" t="s">
        <v>1651</v>
      </c>
      <c r="O493" s="1185" t="s">
        <v>1562</v>
      </c>
      <c r="R493" s="1180"/>
    </row>
    <row r="494" spans="1:18" s="1159" customFormat="1" ht="75" x14ac:dyDescent="0.3">
      <c r="A494" s="1172">
        <v>2022488</v>
      </c>
      <c r="B494" s="1172">
        <v>7658</v>
      </c>
      <c r="C494" s="1172" t="s">
        <v>679</v>
      </c>
      <c r="D494" s="1190" t="s">
        <v>698</v>
      </c>
      <c r="E494" s="1234">
        <v>78181500</v>
      </c>
      <c r="F494" s="1175" t="s">
        <v>1095</v>
      </c>
      <c r="G494" s="1193" t="s">
        <v>1495</v>
      </c>
      <c r="H494" s="1193" t="s">
        <v>1505</v>
      </c>
      <c r="I494" s="1194" t="s">
        <v>1654</v>
      </c>
      <c r="J494" s="1195" t="s">
        <v>1586</v>
      </c>
      <c r="K494" s="1176" t="s">
        <v>674</v>
      </c>
      <c r="L494" s="1178" t="s">
        <v>1096</v>
      </c>
      <c r="M494" s="1179">
        <v>2500000000</v>
      </c>
      <c r="N494" s="1175" t="s">
        <v>724</v>
      </c>
      <c r="O494" s="1175" t="s">
        <v>1562</v>
      </c>
    </row>
    <row r="495" spans="1:18" s="1159" customFormat="1" ht="75" x14ac:dyDescent="0.3">
      <c r="A495" s="1172">
        <v>2022489</v>
      </c>
      <c r="B495" s="1172">
        <v>7658</v>
      </c>
      <c r="C495" s="1172" t="s">
        <v>679</v>
      </c>
      <c r="D495" s="1190" t="s">
        <v>698</v>
      </c>
      <c r="E495" s="1234">
        <v>78181500</v>
      </c>
      <c r="F495" s="1175" t="s">
        <v>1097</v>
      </c>
      <c r="G495" s="1193" t="s">
        <v>1495</v>
      </c>
      <c r="H495" s="1212" t="s">
        <v>1495</v>
      </c>
      <c r="I495" s="1194" t="s">
        <v>1614</v>
      </c>
      <c r="J495" s="1195" t="s">
        <v>1586</v>
      </c>
      <c r="K495" s="1176" t="s">
        <v>674</v>
      </c>
      <c r="L495" s="1178" t="s">
        <v>1096</v>
      </c>
      <c r="M495" s="1179">
        <v>750000000</v>
      </c>
      <c r="N495" s="1175" t="s">
        <v>724</v>
      </c>
      <c r="O495" s="1175" t="s">
        <v>1562</v>
      </c>
    </row>
    <row r="496" spans="1:18" s="1159" customFormat="1" ht="75" x14ac:dyDescent="0.3">
      <c r="A496" s="1172">
        <v>2022490</v>
      </c>
      <c r="B496" s="1172">
        <v>7658</v>
      </c>
      <c r="C496" s="1172" t="s">
        <v>679</v>
      </c>
      <c r="D496" s="1190" t="s">
        <v>698</v>
      </c>
      <c r="E496" s="1234">
        <v>78181500</v>
      </c>
      <c r="F496" s="1175" t="s">
        <v>1098</v>
      </c>
      <c r="G496" s="1193" t="s">
        <v>1495</v>
      </c>
      <c r="H496" s="1212" t="s">
        <v>1495</v>
      </c>
      <c r="I496" s="1194" t="s">
        <v>1655</v>
      </c>
      <c r="J496" s="1195" t="s">
        <v>1586</v>
      </c>
      <c r="K496" s="1176" t="s">
        <v>674</v>
      </c>
      <c r="L496" s="1178" t="s">
        <v>1096</v>
      </c>
      <c r="M496" s="1179">
        <v>100000000</v>
      </c>
      <c r="N496" s="1175" t="s">
        <v>724</v>
      </c>
      <c r="O496" s="1175" t="s">
        <v>1562</v>
      </c>
    </row>
    <row r="497" spans="1:18" s="1159" customFormat="1" ht="75" x14ac:dyDescent="0.3">
      <c r="A497" s="1172">
        <v>2022491</v>
      </c>
      <c r="B497" s="1172">
        <v>7658</v>
      </c>
      <c r="C497" s="1172" t="s">
        <v>679</v>
      </c>
      <c r="D497" s="1190" t="s">
        <v>698</v>
      </c>
      <c r="E497" s="1234">
        <v>25172500</v>
      </c>
      <c r="F497" s="1175" t="s">
        <v>1099</v>
      </c>
      <c r="G497" s="1193" t="s">
        <v>1495</v>
      </c>
      <c r="H497" s="1193" t="s">
        <v>1505</v>
      </c>
      <c r="I497" s="1194" t="s">
        <v>1498</v>
      </c>
      <c r="J497" s="1195" t="s">
        <v>1605</v>
      </c>
      <c r="K497" s="1176" t="s">
        <v>674</v>
      </c>
      <c r="L497" s="1178" t="s">
        <v>994</v>
      </c>
      <c r="M497" s="1179">
        <v>150000000</v>
      </c>
      <c r="N497" s="1175" t="s">
        <v>724</v>
      </c>
      <c r="O497" s="1175" t="s">
        <v>1562</v>
      </c>
    </row>
    <row r="498" spans="1:18" s="1159" customFormat="1" ht="75" x14ac:dyDescent="0.3">
      <c r="A498" s="1172">
        <v>2022492</v>
      </c>
      <c r="B498" s="1172">
        <v>7658</v>
      </c>
      <c r="C498" s="1172" t="s">
        <v>679</v>
      </c>
      <c r="D498" s="1190" t="s">
        <v>698</v>
      </c>
      <c r="E498" s="1234">
        <v>15101500</v>
      </c>
      <c r="F498" s="1175" t="s">
        <v>1100</v>
      </c>
      <c r="G498" s="1193" t="s">
        <v>1495</v>
      </c>
      <c r="H498" s="1193" t="s">
        <v>1505</v>
      </c>
      <c r="I498" s="1194" t="s">
        <v>1654</v>
      </c>
      <c r="J498" s="1195" t="s">
        <v>1564</v>
      </c>
      <c r="K498" s="1176" t="s">
        <v>674</v>
      </c>
      <c r="L498" s="1178" t="s">
        <v>1101</v>
      </c>
      <c r="M498" s="1179">
        <v>1030000000</v>
      </c>
      <c r="N498" s="1175" t="s">
        <v>724</v>
      </c>
      <c r="O498" s="1175" t="s">
        <v>1562</v>
      </c>
    </row>
    <row r="499" spans="1:18" s="1159" customFormat="1" ht="75" x14ac:dyDescent="0.3">
      <c r="A499" s="1182">
        <v>2022493</v>
      </c>
      <c r="B499" s="1182">
        <v>7658</v>
      </c>
      <c r="C499" s="1182" t="s">
        <v>679</v>
      </c>
      <c r="D499" s="1227" t="s">
        <v>698</v>
      </c>
      <c r="E499" s="1236" t="s">
        <v>1102</v>
      </c>
      <c r="F499" s="1185" t="s">
        <v>1103</v>
      </c>
      <c r="G499" s="1245" t="s">
        <v>1495</v>
      </c>
      <c r="H499" s="1245" t="s">
        <v>1505</v>
      </c>
      <c r="I499" s="1239" t="s">
        <v>1654</v>
      </c>
      <c r="J499" s="1240" t="s">
        <v>1605</v>
      </c>
      <c r="K499" s="1184" t="s">
        <v>674</v>
      </c>
      <c r="L499" s="1183" t="s">
        <v>994</v>
      </c>
      <c r="M499" s="1186">
        <f>400000000-175000000-8000000</f>
        <v>217000000</v>
      </c>
      <c r="N499" s="1185" t="s">
        <v>724</v>
      </c>
      <c r="O499" s="1185" t="s">
        <v>1562</v>
      </c>
      <c r="R499" s="1180"/>
    </row>
    <row r="500" spans="1:18" s="1159" customFormat="1" ht="75" x14ac:dyDescent="0.3">
      <c r="A500" s="1172">
        <v>2022494</v>
      </c>
      <c r="B500" s="1172">
        <v>7658</v>
      </c>
      <c r="C500" s="1172" t="s">
        <v>679</v>
      </c>
      <c r="D500" s="1190" t="s">
        <v>698</v>
      </c>
      <c r="E500" s="1234" t="s">
        <v>1656</v>
      </c>
      <c r="F500" s="1175" t="s">
        <v>1657</v>
      </c>
      <c r="G500" s="1193" t="s">
        <v>1495</v>
      </c>
      <c r="H500" s="1193" t="s">
        <v>1505</v>
      </c>
      <c r="I500" s="1194" t="s">
        <v>1558</v>
      </c>
      <c r="J500" s="1195" t="s">
        <v>1658</v>
      </c>
      <c r="K500" s="1176" t="s">
        <v>674</v>
      </c>
      <c r="L500" s="1233" t="s">
        <v>948</v>
      </c>
      <c r="M500" s="1179">
        <v>50000000</v>
      </c>
      <c r="N500" s="1175" t="s">
        <v>724</v>
      </c>
      <c r="O500" s="1175" t="s">
        <v>1562</v>
      </c>
    </row>
    <row r="501" spans="1:18" s="1159" customFormat="1" ht="75" x14ac:dyDescent="0.3">
      <c r="A501" s="1172">
        <v>2022495</v>
      </c>
      <c r="B501" s="1172">
        <v>7658</v>
      </c>
      <c r="C501" s="1172" t="s">
        <v>679</v>
      </c>
      <c r="D501" s="1190" t="s">
        <v>698</v>
      </c>
      <c r="E501" s="1234">
        <v>78181505</v>
      </c>
      <c r="F501" s="1175" t="s">
        <v>1104</v>
      </c>
      <c r="G501" s="1193" t="s">
        <v>1495</v>
      </c>
      <c r="H501" s="1193" t="s">
        <v>1505</v>
      </c>
      <c r="I501" s="1194" t="s">
        <v>1498</v>
      </c>
      <c r="J501" s="1195" t="s">
        <v>1605</v>
      </c>
      <c r="K501" s="1176" t="s">
        <v>674</v>
      </c>
      <c r="L501" s="1178" t="s">
        <v>994</v>
      </c>
      <c r="M501" s="1179">
        <v>80000000</v>
      </c>
      <c r="N501" s="1175" t="s">
        <v>724</v>
      </c>
      <c r="O501" s="1175" t="s">
        <v>1562</v>
      </c>
    </row>
    <row r="502" spans="1:18" s="1159" customFormat="1" ht="75" x14ac:dyDescent="0.3">
      <c r="A502" s="1172">
        <v>2022496</v>
      </c>
      <c r="B502" s="1172">
        <v>7658</v>
      </c>
      <c r="C502" s="1172" t="s">
        <v>679</v>
      </c>
      <c r="D502" s="1190" t="s">
        <v>698</v>
      </c>
      <c r="E502" s="1234" t="s">
        <v>1105</v>
      </c>
      <c r="F502" s="1175" t="s">
        <v>1106</v>
      </c>
      <c r="G502" s="1193" t="s">
        <v>1495</v>
      </c>
      <c r="H502" s="1193" t="s">
        <v>1505</v>
      </c>
      <c r="I502" s="1194" t="s">
        <v>1654</v>
      </c>
      <c r="J502" s="1195" t="s">
        <v>1605</v>
      </c>
      <c r="K502" s="1176" t="s">
        <v>674</v>
      </c>
      <c r="L502" s="1178" t="s">
        <v>994</v>
      </c>
      <c r="M502" s="1179">
        <v>150000000</v>
      </c>
      <c r="N502" s="1175" t="s">
        <v>724</v>
      </c>
      <c r="O502" s="1175" t="s">
        <v>1562</v>
      </c>
    </row>
    <row r="503" spans="1:18" s="1159" customFormat="1" ht="75" x14ac:dyDescent="0.3">
      <c r="A503" s="1172">
        <v>2022497</v>
      </c>
      <c r="B503" s="1172">
        <v>7658</v>
      </c>
      <c r="C503" s="1172" t="s">
        <v>679</v>
      </c>
      <c r="D503" s="1190" t="s">
        <v>698</v>
      </c>
      <c r="E503" s="1234">
        <v>72101509</v>
      </c>
      <c r="F503" s="1175" t="s">
        <v>1107</v>
      </c>
      <c r="G503" s="1193" t="s">
        <v>1495</v>
      </c>
      <c r="H503" s="1193" t="s">
        <v>1505</v>
      </c>
      <c r="I503" s="1194" t="s">
        <v>1654</v>
      </c>
      <c r="J503" s="1195" t="s">
        <v>1605</v>
      </c>
      <c r="K503" s="1176" t="s">
        <v>674</v>
      </c>
      <c r="L503" s="1178" t="s">
        <v>994</v>
      </c>
      <c r="M503" s="1179">
        <v>350000000</v>
      </c>
      <c r="N503" s="1175" t="s">
        <v>724</v>
      </c>
      <c r="O503" s="1175" t="s">
        <v>1562</v>
      </c>
    </row>
    <row r="504" spans="1:18" s="1159" customFormat="1" ht="75" x14ac:dyDescent="0.3">
      <c r="A504" s="1172">
        <v>2022498</v>
      </c>
      <c r="B504" s="1172">
        <v>7658</v>
      </c>
      <c r="C504" s="1172" t="s">
        <v>679</v>
      </c>
      <c r="D504" s="1190" t="s">
        <v>698</v>
      </c>
      <c r="E504" s="1234">
        <v>72101509</v>
      </c>
      <c r="F504" s="1175" t="s">
        <v>1659</v>
      </c>
      <c r="G504" s="1193" t="s">
        <v>1495</v>
      </c>
      <c r="H504" s="1193" t="s">
        <v>1505</v>
      </c>
      <c r="I504" s="1194" t="s">
        <v>1654</v>
      </c>
      <c r="J504" s="1195" t="s">
        <v>1660</v>
      </c>
      <c r="K504" s="1176" t="s">
        <v>674</v>
      </c>
      <c r="L504" s="1178" t="s">
        <v>994</v>
      </c>
      <c r="M504" s="1179">
        <v>300000000</v>
      </c>
      <c r="N504" s="1175" t="s">
        <v>724</v>
      </c>
      <c r="O504" s="1175" t="s">
        <v>1562</v>
      </c>
    </row>
    <row r="505" spans="1:18" s="1159" customFormat="1" ht="75" x14ac:dyDescent="0.3">
      <c r="A505" s="1182">
        <v>2022499</v>
      </c>
      <c r="B505" s="1182">
        <v>7658</v>
      </c>
      <c r="C505" s="1182" t="s">
        <v>679</v>
      </c>
      <c r="D505" s="1227" t="s">
        <v>698</v>
      </c>
      <c r="E505" s="1236">
        <v>78111800</v>
      </c>
      <c r="F505" s="1185" t="s">
        <v>1109</v>
      </c>
      <c r="G505" s="1245" t="s">
        <v>1495</v>
      </c>
      <c r="H505" s="1245" t="s">
        <v>1505</v>
      </c>
      <c r="I505" s="1239" t="s">
        <v>1654</v>
      </c>
      <c r="J505" s="1240" t="s">
        <v>1564</v>
      </c>
      <c r="K505" s="1184" t="s">
        <v>674</v>
      </c>
      <c r="L505" s="1247" t="s">
        <v>1110</v>
      </c>
      <c r="M505" s="1186">
        <f>600000000-100000000</f>
        <v>500000000</v>
      </c>
      <c r="N505" s="1185" t="s">
        <v>724</v>
      </c>
      <c r="O505" s="1185" t="s">
        <v>1562</v>
      </c>
      <c r="R505" s="1180"/>
    </row>
    <row r="506" spans="1:18" s="1159" customFormat="1" ht="75" x14ac:dyDescent="0.25">
      <c r="A506" s="1182">
        <v>2022500</v>
      </c>
      <c r="B506" s="1182">
        <v>7658</v>
      </c>
      <c r="C506" s="1265" t="s">
        <v>679</v>
      </c>
      <c r="D506" s="1227" t="s">
        <v>698</v>
      </c>
      <c r="E506" s="1236"/>
      <c r="F506" s="1185" t="s">
        <v>1111</v>
      </c>
      <c r="G506" s="1245" t="s">
        <v>1495</v>
      </c>
      <c r="H506" s="1245" t="s">
        <v>1505</v>
      </c>
      <c r="I506" s="1239" t="s">
        <v>1654</v>
      </c>
      <c r="J506" s="1266"/>
      <c r="K506" s="1184" t="s">
        <v>674</v>
      </c>
      <c r="L506" s="1267" t="s">
        <v>675</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1651</v>
      </c>
      <c r="O506" s="1185" t="s">
        <v>1562</v>
      </c>
      <c r="R506" s="1180"/>
    </row>
    <row r="507" spans="1:18" s="1159" customFormat="1" ht="75" x14ac:dyDescent="0.3">
      <c r="A507" s="1172">
        <v>2022501</v>
      </c>
      <c r="B507" s="1172">
        <v>7658</v>
      </c>
      <c r="C507" s="1268" t="s">
        <v>679</v>
      </c>
      <c r="D507" s="1190" t="s">
        <v>698</v>
      </c>
      <c r="E507" s="1234" t="s">
        <v>1112</v>
      </c>
      <c r="F507" s="1175" t="s">
        <v>1113</v>
      </c>
      <c r="G507" s="1193" t="s">
        <v>1495</v>
      </c>
      <c r="H507" s="1193" t="s">
        <v>1505</v>
      </c>
      <c r="I507" s="1194" t="s">
        <v>1654</v>
      </c>
      <c r="J507" s="1195" t="s">
        <v>1586</v>
      </c>
      <c r="K507" s="1176" t="s">
        <v>770</v>
      </c>
      <c r="L507" s="1178" t="s">
        <v>1584</v>
      </c>
      <c r="M507" s="1179">
        <v>437560000</v>
      </c>
      <c r="N507" s="1175" t="s">
        <v>724</v>
      </c>
      <c r="O507" s="1175" t="s">
        <v>1562</v>
      </c>
    </row>
    <row r="508" spans="1:18" s="1159" customFormat="1" ht="90" x14ac:dyDescent="0.3">
      <c r="A508" s="1182">
        <v>2022502</v>
      </c>
      <c r="B508" s="1182">
        <v>7658</v>
      </c>
      <c r="C508" s="1265" t="s">
        <v>679</v>
      </c>
      <c r="D508" s="1227" t="s">
        <v>698</v>
      </c>
      <c r="E508" s="1236">
        <v>80111600</v>
      </c>
      <c r="F508" s="1185" t="s">
        <v>1114</v>
      </c>
      <c r="G508" s="1245" t="s">
        <v>1495</v>
      </c>
      <c r="H508" s="1246" t="s">
        <v>1495</v>
      </c>
      <c r="I508" s="1239" t="s">
        <v>1556</v>
      </c>
      <c r="J508" s="1240" t="s">
        <v>1535</v>
      </c>
      <c r="K508" s="1184" t="s">
        <v>674</v>
      </c>
      <c r="L508" s="1183" t="s">
        <v>675</v>
      </c>
      <c r="M508" s="1186">
        <f>98900000-4300000</f>
        <v>94600000</v>
      </c>
      <c r="N508" s="1185" t="s">
        <v>724</v>
      </c>
      <c r="O508" s="1185" t="s">
        <v>1562</v>
      </c>
      <c r="R508" s="1180"/>
    </row>
    <row r="509" spans="1:18" s="1159" customFormat="1" ht="75" x14ac:dyDescent="0.3">
      <c r="A509" s="1182">
        <v>2022503</v>
      </c>
      <c r="B509" s="1182">
        <v>7658</v>
      </c>
      <c r="C509" s="1265" t="s">
        <v>679</v>
      </c>
      <c r="D509" s="1227" t="s">
        <v>698</v>
      </c>
      <c r="E509" s="1236">
        <v>80111600</v>
      </c>
      <c r="F509" s="1185" t="s">
        <v>1115</v>
      </c>
      <c r="G509" s="1245" t="s">
        <v>1495</v>
      </c>
      <c r="H509" s="1246" t="s">
        <v>1495</v>
      </c>
      <c r="I509" s="1239" t="s">
        <v>1556</v>
      </c>
      <c r="J509" s="1240" t="s">
        <v>1535</v>
      </c>
      <c r="K509" s="1184" t="s">
        <v>674</v>
      </c>
      <c r="L509" s="1183" t="s">
        <v>675</v>
      </c>
      <c r="M509" s="1186">
        <f>97175000-4225000</f>
        <v>92950000</v>
      </c>
      <c r="N509" s="1185" t="s">
        <v>724</v>
      </c>
      <c r="O509" s="1185" t="s">
        <v>1562</v>
      </c>
      <c r="R509" s="1180"/>
    </row>
    <row r="510" spans="1:18" s="1159" customFormat="1" ht="90" customHeight="1" x14ac:dyDescent="0.3">
      <c r="A510" s="1182">
        <v>2022504</v>
      </c>
      <c r="B510" s="1182">
        <v>7658</v>
      </c>
      <c r="C510" s="1265" t="s">
        <v>679</v>
      </c>
      <c r="D510" s="1227" t="s">
        <v>698</v>
      </c>
      <c r="E510" s="1236">
        <v>80111600</v>
      </c>
      <c r="F510" s="1185" t="s">
        <v>1116</v>
      </c>
      <c r="G510" s="1245" t="s">
        <v>1495</v>
      </c>
      <c r="H510" s="1246" t="s">
        <v>1495</v>
      </c>
      <c r="I510" s="1239" t="s">
        <v>1556</v>
      </c>
      <c r="J510" s="1240" t="s">
        <v>1535</v>
      </c>
      <c r="K510" s="1184" t="s">
        <v>674</v>
      </c>
      <c r="L510" s="1183" t="s">
        <v>780</v>
      </c>
      <c r="M510" s="1186">
        <f>103500000-4500000</f>
        <v>99000000</v>
      </c>
      <c r="N510" s="1185" t="s">
        <v>724</v>
      </c>
      <c r="O510" s="1185" t="s">
        <v>1562</v>
      </c>
      <c r="R510" s="1180"/>
    </row>
    <row r="511" spans="1:18" s="1159" customFormat="1" ht="75" x14ac:dyDescent="0.3">
      <c r="A511" s="1182">
        <v>2022505</v>
      </c>
      <c r="B511" s="1182">
        <v>7658</v>
      </c>
      <c r="C511" s="1265" t="s">
        <v>679</v>
      </c>
      <c r="D511" s="1227" t="s">
        <v>698</v>
      </c>
      <c r="E511" s="1236">
        <v>80111600</v>
      </c>
      <c r="F511" s="1185" t="s">
        <v>1117</v>
      </c>
      <c r="G511" s="1245" t="s">
        <v>1495</v>
      </c>
      <c r="H511" s="1246" t="s">
        <v>1495</v>
      </c>
      <c r="I511" s="1239" t="s">
        <v>1556</v>
      </c>
      <c r="J511" s="1240" t="s">
        <v>1535</v>
      </c>
      <c r="K511" s="1184" t="s">
        <v>674</v>
      </c>
      <c r="L511" s="1183" t="s">
        <v>675</v>
      </c>
      <c r="M511" s="1186">
        <f>94760000-4120000</f>
        <v>90640000</v>
      </c>
      <c r="N511" s="1185" t="s">
        <v>1651</v>
      </c>
      <c r="O511" s="1185" t="s">
        <v>1562</v>
      </c>
      <c r="R511" s="1180"/>
    </row>
    <row r="512" spans="1:18" s="1159" customFormat="1" ht="75" x14ac:dyDescent="0.3">
      <c r="A512" s="1182">
        <v>2022506</v>
      </c>
      <c r="B512" s="1182">
        <v>7658</v>
      </c>
      <c r="C512" s="1265" t="s">
        <v>679</v>
      </c>
      <c r="D512" s="1227" t="s">
        <v>698</v>
      </c>
      <c r="E512" s="1236">
        <v>80111600</v>
      </c>
      <c r="F512" s="1185" t="s">
        <v>1118</v>
      </c>
      <c r="G512" s="1245" t="s">
        <v>1495</v>
      </c>
      <c r="H512" s="1246" t="s">
        <v>1495</v>
      </c>
      <c r="I512" s="1239" t="s">
        <v>1556</v>
      </c>
      <c r="J512" s="1240" t="s">
        <v>1535</v>
      </c>
      <c r="K512" s="1184" t="s">
        <v>674</v>
      </c>
      <c r="L512" s="1184" t="s">
        <v>675</v>
      </c>
      <c r="M512" s="1186">
        <f>97175000-20700000-13225000-2750000</f>
        <v>60500000</v>
      </c>
      <c r="N512" s="1185" t="s">
        <v>724</v>
      </c>
      <c r="O512" s="1185" t="s">
        <v>1562</v>
      </c>
      <c r="R512" s="1180"/>
    </row>
    <row r="513" spans="1:18" s="1159" customFormat="1" ht="75" x14ac:dyDescent="0.3">
      <c r="A513" s="1182">
        <v>2022507</v>
      </c>
      <c r="B513" s="1182">
        <v>7658</v>
      </c>
      <c r="C513" s="1265" t="s">
        <v>679</v>
      </c>
      <c r="D513" s="1227" t="s">
        <v>698</v>
      </c>
      <c r="E513" s="1236">
        <v>80111600</v>
      </c>
      <c r="F513" s="1185" t="s">
        <v>1119</v>
      </c>
      <c r="G513" s="1245" t="s">
        <v>1495</v>
      </c>
      <c r="H513" s="1246" t="s">
        <v>1495</v>
      </c>
      <c r="I513" s="1239" t="s">
        <v>1556</v>
      </c>
      <c r="J513" s="1240" t="s">
        <v>1535</v>
      </c>
      <c r="K513" s="1184" t="s">
        <v>674</v>
      </c>
      <c r="L513" s="1183" t="s">
        <v>675</v>
      </c>
      <c r="M513" s="1186">
        <f>82915000-3605000</f>
        <v>79310000</v>
      </c>
      <c r="N513" s="1185" t="s">
        <v>724</v>
      </c>
      <c r="O513" s="1185" t="s">
        <v>1562</v>
      </c>
      <c r="R513" s="1180"/>
    </row>
    <row r="514" spans="1:18" s="1159" customFormat="1" ht="75" x14ac:dyDescent="0.3">
      <c r="A514" s="1172">
        <v>2022508</v>
      </c>
      <c r="B514" s="1172">
        <v>7658</v>
      </c>
      <c r="C514" s="1268" t="s">
        <v>679</v>
      </c>
      <c r="D514" s="1190" t="s">
        <v>698</v>
      </c>
      <c r="E514" s="1234">
        <v>80111600</v>
      </c>
      <c r="F514" s="1175" t="s">
        <v>1120</v>
      </c>
      <c r="G514" s="1193" t="s">
        <v>1495</v>
      </c>
      <c r="H514" s="1212" t="s">
        <v>1495</v>
      </c>
      <c r="I514" s="1194" t="s">
        <v>1556</v>
      </c>
      <c r="J514" s="1195" t="s">
        <v>1535</v>
      </c>
      <c r="K514" s="1176" t="s">
        <v>674</v>
      </c>
      <c r="L514" s="1178" t="s">
        <v>675</v>
      </c>
      <c r="M514" s="1179">
        <v>32200000</v>
      </c>
      <c r="N514" s="1175" t="s">
        <v>724</v>
      </c>
      <c r="O514" s="1175" t="s">
        <v>1562</v>
      </c>
    </row>
    <row r="515" spans="1:18" s="1159" customFormat="1" ht="90" customHeight="1" x14ac:dyDescent="0.3">
      <c r="A515" s="1182">
        <v>2022509</v>
      </c>
      <c r="B515" s="1182">
        <v>7658</v>
      </c>
      <c r="C515" s="1265" t="s">
        <v>679</v>
      </c>
      <c r="D515" s="1227" t="s">
        <v>698</v>
      </c>
      <c r="E515" s="1236">
        <v>80111600</v>
      </c>
      <c r="F515" s="1185" t="s">
        <v>1121</v>
      </c>
      <c r="G515" s="1245" t="s">
        <v>1495</v>
      </c>
      <c r="H515" s="1246" t="s">
        <v>1495</v>
      </c>
      <c r="I515" s="1239" t="s">
        <v>1556</v>
      </c>
      <c r="J515" s="1240" t="s">
        <v>1535</v>
      </c>
      <c r="K515" s="1184" t="s">
        <v>674</v>
      </c>
      <c r="L515" s="1183" t="s">
        <v>675</v>
      </c>
      <c r="M515" s="1186">
        <f>36685000-1595000</f>
        <v>35090000</v>
      </c>
      <c r="N515" s="1185" t="s">
        <v>1651</v>
      </c>
      <c r="O515" s="1185" t="s">
        <v>1562</v>
      </c>
      <c r="R515" s="1180"/>
    </row>
    <row r="516" spans="1:18" s="1159" customFormat="1" ht="90" customHeight="1" x14ac:dyDescent="0.3">
      <c r="A516" s="1182">
        <v>2022510</v>
      </c>
      <c r="B516" s="1182">
        <v>7658</v>
      </c>
      <c r="C516" s="1265" t="s">
        <v>679</v>
      </c>
      <c r="D516" s="1227" t="s">
        <v>698</v>
      </c>
      <c r="E516" s="1236">
        <v>80111600</v>
      </c>
      <c r="F516" s="1185" t="s">
        <v>1122</v>
      </c>
      <c r="G516" s="1245" t="s">
        <v>1495</v>
      </c>
      <c r="H516" s="1246" t="s">
        <v>1495</v>
      </c>
      <c r="I516" s="1239" t="s">
        <v>1556</v>
      </c>
      <c r="J516" s="1240" t="s">
        <v>1535</v>
      </c>
      <c r="K516" s="1184" t="s">
        <v>674</v>
      </c>
      <c r="L516" s="1183" t="s">
        <v>675</v>
      </c>
      <c r="M516" s="1186">
        <f>97175000-4225000</f>
        <v>92950000</v>
      </c>
      <c r="N516" s="1185" t="s">
        <v>1651</v>
      </c>
      <c r="O516" s="1185" t="s">
        <v>1562</v>
      </c>
      <c r="R516" s="1180"/>
    </row>
    <row r="517" spans="1:18" s="1159" customFormat="1" ht="90" customHeight="1" x14ac:dyDescent="0.3">
      <c r="A517" s="1182">
        <v>2022511</v>
      </c>
      <c r="B517" s="1182">
        <v>7658</v>
      </c>
      <c r="C517" s="1265" t="s">
        <v>679</v>
      </c>
      <c r="D517" s="1227" t="s">
        <v>698</v>
      </c>
      <c r="E517" s="1236">
        <v>80111600</v>
      </c>
      <c r="F517" s="1185" t="s">
        <v>1123</v>
      </c>
      <c r="G517" s="1245" t="s">
        <v>1495</v>
      </c>
      <c r="H517" s="1246" t="s">
        <v>1495</v>
      </c>
      <c r="I517" s="1239" t="s">
        <v>1556</v>
      </c>
      <c r="J517" s="1240" t="s">
        <v>1535</v>
      </c>
      <c r="K517" s="1184" t="s">
        <v>674</v>
      </c>
      <c r="L517" s="1183" t="s">
        <v>675</v>
      </c>
      <c r="M517" s="1186">
        <f>45655000-1985000</f>
        <v>43670000</v>
      </c>
      <c r="N517" s="1185" t="s">
        <v>1651</v>
      </c>
      <c r="O517" s="1185" t="s">
        <v>1562</v>
      </c>
      <c r="R517" s="1180"/>
    </row>
    <row r="518" spans="1:18" s="1159" customFormat="1" ht="90" customHeight="1" x14ac:dyDescent="0.3">
      <c r="A518" s="1182">
        <v>2022512</v>
      </c>
      <c r="B518" s="1182">
        <v>7658</v>
      </c>
      <c r="C518" s="1265" t="s">
        <v>679</v>
      </c>
      <c r="D518" s="1227" t="s">
        <v>698</v>
      </c>
      <c r="E518" s="1236">
        <v>80111600</v>
      </c>
      <c r="F518" s="1185" t="s">
        <v>1119</v>
      </c>
      <c r="G518" s="1245" t="s">
        <v>1495</v>
      </c>
      <c r="H518" s="1246" t="s">
        <v>1495</v>
      </c>
      <c r="I518" s="1239" t="s">
        <v>1556</v>
      </c>
      <c r="J518" s="1240" t="s">
        <v>1535</v>
      </c>
      <c r="K518" s="1184" t="s">
        <v>674</v>
      </c>
      <c r="L518" s="1183" t="s">
        <v>675</v>
      </c>
      <c r="M518" s="1186">
        <f>82915000-3605000</f>
        <v>79310000</v>
      </c>
      <c r="N518" s="1185" t="s">
        <v>724</v>
      </c>
      <c r="O518" s="1185" t="s">
        <v>1562</v>
      </c>
      <c r="R518" s="1180"/>
    </row>
    <row r="519" spans="1:18" s="1159" customFormat="1" ht="90" customHeight="1" x14ac:dyDescent="0.3">
      <c r="A519" s="1182">
        <v>2022513</v>
      </c>
      <c r="B519" s="1182">
        <v>7658</v>
      </c>
      <c r="C519" s="1265" t="s">
        <v>679</v>
      </c>
      <c r="D519" s="1227" t="s">
        <v>698</v>
      </c>
      <c r="E519" s="1236">
        <v>80111600</v>
      </c>
      <c r="F519" s="1185" t="s">
        <v>1661</v>
      </c>
      <c r="G519" s="1245" t="s">
        <v>1495</v>
      </c>
      <c r="H519" s="1246" t="s">
        <v>1495</v>
      </c>
      <c r="I519" s="1239" t="s">
        <v>1556</v>
      </c>
      <c r="J519" s="1240" t="s">
        <v>1535</v>
      </c>
      <c r="K519" s="1184" t="s">
        <v>674</v>
      </c>
      <c r="L519" s="1183" t="s">
        <v>675</v>
      </c>
      <c r="M519" s="1186">
        <f>28175000-28175000</f>
        <v>0</v>
      </c>
      <c r="N519" s="1185" t="s">
        <v>724</v>
      </c>
      <c r="O519" s="1185" t="s">
        <v>1562</v>
      </c>
      <c r="P519" s="1269"/>
      <c r="R519" s="1180"/>
    </row>
    <row r="520" spans="1:18" s="1159" customFormat="1" ht="90" customHeight="1" x14ac:dyDescent="0.3">
      <c r="A520" s="1182">
        <v>2022514</v>
      </c>
      <c r="B520" s="1182">
        <v>7658</v>
      </c>
      <c r="C520" s="1265" t="s">
        <v>679</v>
      </c>
      <c r="D520" s="1227" t="s">
        <v>698</v>
      </c>
      <c r="E520" s="1236">
        <v>80111600</v>
      </c>
      <c r="F520" s="1185" t="s">
        <v>1125</v>
      </c>
      <c r="G520" s="1245" t="s">
        <v>1495</v>
      </c>
      <c r="H520" s="1246" t="s">
        <v>1495</v>
      </c>
      <c r="I520" s="1239" t="s">
        <v>1556</v>
      </c>
      <c r="J520" s="1240" t="s">
        <v>1535</v>
      </c>
      <c r="K520" s="1184" t="s">
        <v>674</v>
      </c>
      <c r="L520" s="1183" t="s">
        <v>675</v>
      </c>
      <c r="M520" s="1186">
        <f>45655000-1985000</f>
        <v>43670000</v>
      </c>
      <c r="N520" s="1185" t="s">
        <v>1651</v>
      </c>
      <c r="O520" s="1185" t="s">
        <v>1562</v>
      </c>
      <c r="R520" s="1180"/>
    </row>
    <row r="521" spans="1:18" s="1159" customFormat="1" ht="75" x14ac:dyDescent="0.3">
      <c r="A521" s="1182">
        <v>2022515</v>
      </c>
      <c r="B521" s="1182">
        <v>7658</v>
      </c>
      <c r="C521" s="1265" t="s">
        <v>679</v>
      </c>
      <c r="D521" s="1227" t="s">
        <v>698</v>
      </c>
      <c r="E521" s="1236">
        <v>80111600</v>
      </c>
      <c r="F521" s="1185" t="s">
        <v>1126</v>
      </c>
      <c r="G521" s="1245" t="s">
        <v>1495</v>
      </c>
      <c r="H521" s="1246" t="s">
        <v>1495</v>
      </c>
      <c r="I521" s="1239" t="s">
        <v>1556</v>
      </c>
      <c r="J521" s="1240" t="s">
        <v>1535</v>
      </c>
      <c r="K521" s="1184" t="s">
        <v>674</v>
      </c>
      <c r="L521" s="1183" t="s">
        <v>675</v>
      </c>
      <c r="M521" s="1186">
        <f>36685000-1595000</f>
        <v>35090000</v>
      </c>
      <c r="N521" s="1185" t="s">
        <v>724</v>
      </c>
      <c r="O521" s="1185" t="s">
        <v>1562</v>
      </c>
      <c r="R521" s="1180"/>
    </row>
    <row r="522" spans="1:18" s="1159" customFormat="1" ht="75" x14ac:dyDescent="0.3">
      <c r="A522" s="1182">
        <v>2022516</v>
      </c>
      <c r="B522" s="1182">
        <v>7658</v>
      </c>
      <c r="C522" s="1265" t="s">
        <v>679</v>
      </c>
      <c r="D522" s="1227" t="s">
        <v>698</v>
      </c>
      <c r="E522" s="1236">
        <v>80111600</v>
      </c>
      <c r="F522" s="1185" t="s">
        <v>1127</v>
      </c>
      <c r="G522" s="1245" t="s">
        <v>1495</v>
      </c>
      <c r="H522" s="1246" t="s">
        <v>1495</v>
      </c>
      <c r="I522" s="1239" t="s">
        <v>1556</v>
      </c>
      <c r="J522" s="1240" t="s">
        <v>1535</v>
      </c>
      <c r="K522" s="1184" t="s">
        <v>674</v>
      </c>
      <c r="L522" s="1183" t="s">
        <v>675</v>
      </c>
      <c r="M522" s="1186">
        <f>28175000-1225000</f>
        <v>26950000</v>
      </c>
      <c r="N522" s="1185" t="s">
        <v>1651</v>
      </c>
      <c r="O522" s="1185" t="s">
        <v>1562</v>
      </c>
      <c r="R522" s="1180"/>
    </row>
    <row r="523" spans="1:18" s="1159" customFormat="1" ht="75" x14ac:dyDescent="0.3">
      <c r="A523" s="1182">
        <v>2022517</v>
      </c>
      <c r="B523" s="1182">
        <v>7658</v>
      </c>
      <c r="C523" s="1265" t="s">
        <v>679</v>
      </c>
      <c r="D523" s="1227" t="s">
        <v>698</v>
      </c>
      <c r="E523" s="1236">
        <v>80111600</v>
      </c>
      <c r="F523" s="1185" t="s">
        <v>1128</v>
      </c>
      <c r="G523" s="1245" t="s">
        <v>1495</v>
      </c>
      <c r="H523" s="1246" t="s">
        <v>1495</v>
      </c>
      <c r="I523" s="1239" t="s">
        <v>1556</v>
      </c>
      <c r="J523" s="1240" t="s">
        <v>1535</v>
      </c>
      <c r="K523" s="1184" t="s">
        <v>674</v>
      </c>
      <c r="L523" s="1183" t="s">
        <v>675</v>
      </c>
      <c r="M523" s="1186">
        <f>36685000-1595000</f>
        <v>35090000</v>
      </c>
      <c r="N523" s="1185" t="s">
        <v>724</v>
      </c>
      <c r="O523" s="1185" t="s">
        <v>1562</v>
      </c>
      <c r="R523" s="1180"/>
    </row>
    <row r="524" spans="1:18" s="1159" customFormat="1" ht="90" x14ac:dyDescent="0.3">
      <c r="A524" s="1182">
        <v>2022518</v>
      </c>
      <c r="B524" s="1182">
        <v>7658</v>
      </c>
      <c r="C524" s="1265" t="s">
        <v>679</v>
      </c>
      <c r="D524" s="1227" t="s">
        <v>698</v>
      </c>
      <c r="E524" s="1236">
        <v>80111600</v>
      </c>
      <c r="F524" s="1185" t="s">
        <v>1129</v>
      </c>
      <c r="G524" s="1245" t="s">
        <v>1495</v>
      </c>
      <c r="H524" s="1246" t="s">
        <v>1495</v>
      </c>
      <c r="I524" s="1239" t="s">
        <v>1556</v>
      </c>
      <c r="J524" s="1240" t="s">
        <v>1535</v>
      </c>
      <c r="K524" s="1184" t="s">
        <v>674</v>
      </c>
      <c r="L524" s="1184" t="s">
        <v>675</v>
      </c>
      <c r="M524" s="1186">
        <f>51750000-50000</f>
        <v>51700000</v>
      </c>
      <c r="N524" s="1185" t="s">
        <v>724</v>
      </c>
      <c r="O524" s="1185" t="s">
        <v>1562</v>
      </c>
      <c r="R524" s="1180"/>
    </row>
    <row r="525" spans="1:18" s="1159" customFormat="1" ht="90" x14ac:dyDescent="0.3">
      <c r="A525" s="1182">
        <v>2022519</v>
      </c>
      <c r="B525" s="1182">
        <v>7658</v>
      </c>
      <c r="C525" s="1265" t="s">
        <v>679</v>
      </c>
      <c r="D525" s="1227" t="s">
        <v>698</v>
      </c>
      <c r="E525" s="1236">
        <v>80111600</v>
      </c>
      <c r="F525" s="1185" t="s">
        <v>1130</v>
      </c>
      <c r="G525" s="1245" t="s">
        <v>1495</v>
      </c>
      <c r="H525" s="1246" t="s">
        <v>1495</v>
      </c>
      <c r="I525" s="1239" t="s">
        <v>1556</v>
      </c>
      <c r="J525" s="1240" t="s">
        <v>1535</v>
      </c>
      <c r="K525" s="1184" t="s">
        <v>674</v>
      </c>
      <c r="L525" s="1183" t="s">
        <v>675</v>
      </c>
      <c r="M525" s="1186">
        <f>54050000-4550000</f>
        <v>49500000</v>
      </c>
      <c r="N525" s="1185" t="s">
        <v>1651</v>
      </c>
      <c r="O525" s="1185" t="s">
        <v>1562</v>
      </c>
      <c r="R525" s="1180"/>
    </row>
    <row r="526" spans="1:18" s="1159" customFormat="1" ht="75" x14ac:dyDescent="0.3">
      <c r="A526" s="1182">
        <v>2022520</v>
      </c>
      <c r="B526" s="1182">
        <v>7658</v>
      </c>
      <c r="C526" s="1265" t="s">
        <v>679</v>
      </c>
      <c r="D526" s="1227" t="s">
        <v>698</v>
      </c>
      <c r="E526" s="1236">
        <v>80111600</v>
      </c>
      <c r="F526" s="1185" t="s">
        <v>1131</v>
      </c>
      <c r="G526" s="1245" t="s">
        <v>1495</v>
      </c>
      <c r="H526" s="1246" t="s">
        <v>1495</v>
      </c>
      <c r="I526" s="1239" t="s">
        <v>1556</v>
      </c>
      <c r="J526" s="1240" t="s">
        <v>1535</v>
      </c>
      <c r="K526" s="1184" t="s">
        <v>674</v>
      </c>
      <c r="L526" s="1183" t="s">
        <v>675</v>
      </c>
      <c r="M526" s="1186">
        <f>51750000-2250000</f>
        <v>49500000</v>
      </c>
      <c r="N526" s="1185" t="s">
        <v>724</v>
      </c>
      <c r="O526" s="1185" t="s">
        <v>1562</v>
      </c>
      <c r="R526" s="1180"/>
    </row>
    <row r="527" spans="1:18" s="1159" customFormat="1" ht="75" x14ac:dyDescent="0.3">
      <c r="A527" s="1182">
        <v>2022521</v>
      </c>
      <c r="B527" s="1182">
        <v>7658</v>
      </c>
      <c r="C527" s="1265" t="s">
        <v>679</v>
      </c>
      <c r="D527" s="1227" t="s">
        <v>698</v>
      </c>
      <c r="E527" s="1236">
        <v>80111600</v>
      </c>
      <c r="F527" s="1185" t="s">
        <v>1132</v>
      </c>
      <c r="G527" s="1245" t="s">
        <v>1495</v>
      </c>
      <c r="H527" s="1246" t="s">
        <v>1495</v>
      </c>
      <c r="I527" s="1239" t="s">
        <v>1556</v>
      </c>
      <c r="J527" s="1240" t="s">
        <v>1535</v>
      </c>
      <c r="K527" s="1184" t="s">
        <v>674</v>
      </c>
      <c r="L527" s="1183" t="s">
        <v>675</v>
      </c>
      <c r="M527" s="1186">
        <f>45655000-1985000</f>
        <v>43670000</v>
      </c>
      <c r="N527" s="1185" t="s">
        <v>724</v>
      </c>
      <c r="O527" s="1185" t="s">
        <v>1562</v>
      </c>
      <c r="R527" s="1180"/>
    </row>
    <row r="528" spans="1:18" s="1159" customFormat="1" ht="75" x14ac:dyDescent="0.3">
      <c r="A528" s="1182">
        <v>2022522</v>
      </c>
      <c r="B528" s="1182">
        <v>7658</v>
      </c>
      <c r="C528" s="1265" t="s">
        <v>679</v>
      </c>
      <c r="D528" s="1227" t="s">
        <v>698</v>
      </c>
      <c r="E528" s="1236">
        <v>80111600</v>
      </c>
      <c r="F528" s="1185" t="s">
        <v>1119</v>
      </c>
      <c r="G528" s="1245" t="s">
        <v>1495</v>
      </c>
      <c r="H528" s="1246" t="s">
        <v>1495</v>
      </c>
      <c r="I528" s="1239" t="s">
        <v>1556</v>
      </c>
      <c r="J528" s="1240" t="s">
        <v>1535</v>
      </c>
      <c r="K528" s="1184" t="s">
        <v>674</v>
      </c>
      <c r="L528" s="1183" t="s">
        <v>675</v>
      </c>
      <c r="M528" s="1186">
        <f>82915000-3605000</f>
        <v>79310000</v>
      </c>
      <c r="N528" s="1185" t="s">
        <v>724</v>
      </c>
      <c r="O528" s="1185" t="s">
        <v>1562</v>
      </c>
      <c r="R528" s="1180"/>
    </row>
    <row r="529" spans="1:18" s="1159" customFormat="1" ht="75" x14ac:dyDescent="0.3">
      <c r="A529" s="1182">
        <v>2022523</v>
      </c>
      <c r="B529" s="1182">
        <v>7658</v>
      </c>
      <c r="C529" s="1265" t="s">
        <v>679</v>
      </c>
      <c r="D529" s="1227" t="s">
        <v>698</v>
      </c>
      <c r="E529" s="1236">
        <v>80111600</v>
      </c>
      <c r="F529" s="1185" t="s">
        <v>1133</v>
      </c>
      <c r="G529" s="1245" t="s">
        <v>1495</v>
      </c>
      <c r="H529" s="1246" t="s">
        <v>1495</v>
      </c>
      <c r="I529" s="1239" t="s">
        <v>1556</v>
      </c>
      <c r="J529" s="1240" t="s">
        <v>1535</v>
      </c>
      <c r="K529" s="1184" t="s">
        <v>674</v>
      </c>
      <c r="L529" s="1183" t="s">
        <v>780</v>
      </c>
      <c r="M529" s="1186">
        <f>54510000-2370000</f>
        <v>52140000</v>
      </c>
      <c r="N529" s="1185" t="s">
        <v>1651</v>
      </c>
      <c r="O529" s="1185" t="s">
        <v>1562</v>
      </c>
      <c r="R529" s="1180"/>
    </row>
    <row r="530" spans="1:18" s="1159" customFormat="1" ht="75" x14ac:dyDescent="0.3">
      <c r="A530" s="1182">
        <v>2022524</v>
      </c>
      <c r="B530" s="1182">
        <v>7658</v>
      </c>
      <c r="C530" s="1265" t="s">
        <v>679</v>
      </c>
      <c r="D530" s="1227" t="s">
        <v>698</v>
      </c>
      <c r="E530" s="1236">
        <v>80111600</v>
      </c>
      <c r="F530" s="1185" t="s">
        <v>1134</v>
      </c>
      <c r="G530" s="1245" t="s">
        <v>1495</v>
      </c>
      <c r="H530" s="1246" t="s">
        <v>1495</v>
      </c>
      <c r="I530" s="1239" t="s">
        <v>1556</v>
      </c>
      <c r="J530" s="1240" t="s">
        <v>1535</v>
      </c>
      <c r="K530" s="1184" t="s">
        <v>674</v>
      </c>
      <c r="L530" s="1183" t="s">
        <v>675</v>
      </c>
      <c r="M530" s="1186">
        <f>36685000-1595000</f>
        <v>35090000</v>
      </c>
      <c r="N530" s="1185" t="s">
        <v>724</v>
      </c>
      <c r="O530" s="1185" t="s">
        <v>1562</v>
      </c>
    </row>
    <row r="531" spans="1:18" s="1159" customFormat="1" ht="75" x14ac:dyDescent="0.3">
      <c r="A531" s="1182">
        <v>2022525</v>
      </c>
      <c r="B531" s="1182">
        <v>7658</v>
      </c>
      <c r="C531" s="1265" t="s">
        <v>679</v>
      </c>
      <c r="D531" s="1227" t="s">
        <v>698</v>
      </c>
      <c r="E531" s="1236">
        <v>80111600</v>
      </c>
      <c r="F531" s="1185" t="s">
        <v>1135</v>
      </c>
      <c r="G531" s="1245" t="s">
        <v>1495</v>
      </c>
      <c r="H531" s="1246" t="s">
        <v>1495</v>
      </c>
      <c r="I531" s="1239" t="s">
        <v>1556</v>
      </c>
      <c r="J531" s="1240" t="s">
        <v>1535</v>
      </c>
      <c r="K531" s="1184" t="s">
        <v>674</v>
      </c>
      <c r="L531" s="1183" t="s">
        <v>675</v>
      </c>
      <c r="M531" s="1186">
        <f>54050000-2350000</f>
        <v>51700000</v>
      </c>
      <c r="N531" s="1185" t="s">
        <v>724</v>
      </c>
      <c r="O531" s="1185" t="s">
        <v>1562</v>
      </c>
    </row>
    <row r="532" spans="1:18" s="1159" customFormat="1" ht="75" x14ac:dyDescent="0.3">
      <c r="A532" s="1182">
        <v>2022526</v>
      </c>
      <c r="B532" s="1182">
        <v>7658</v>
      </c>
      <c r="C532" s="1265" t="s">
        <v>679</v>
      </c>
      <c r="D532" s="1227" t="s">
        <v>698</v>
      </c>
      <c r="E532" s="1236">
        <v>80111600</v>
      </c>
      <c r="F532" s="1185" t="s">
        <v>1136</v>
      </c>
      <c r="G532" s="1245" t="s">
        <v>1495</v>
      </c>
      <c r="H532" s="1246" t="s">
        <v>1495</v>
      </c>
      <c r="I532" s="1239" t="s">
        <v>1556</v>
      </c>
      <c r="J532" s="1240" t="s">
        <v>1535</v>
      </c>
      <c r="K532" s="1184" t="s">
        <v>674</v>
      </c>
      <c r="L532" s="1183" t="s">
        <v>675</v>
      </c>
      <c r="M532" s="1186">
        <f>28175000-1225000</f>
        <v>26950000</v>
      </c>
      <c r="N532" s="1185" t="s">
        <v>724</v>
      </c>
      <c r="O532" s="1185" t="s">
        <v>1562</v>
      </c>
    </row>
    <row r="533" spans="1:18" s="1159" customFormat="1" ht="75" x14ac:dyDescent="0.3">
      <c r="A533" s="1182">
        <v>2022527</v>
      </c>
      <c r="B533" s="1182">
        <v>7658</v>
      </c>
      <c r="C533" s="1265" t="s">
        <v>679</v>
      </c>
      <c r="D533" s="1227" t="s">
        <v>698</v>
      </c>
      <c r="E533" s="1236">
        <v>80111600</v>
      </c>
      <c r="F533" s="1185" t="s">
        <v>1137</v>
      </c>
      <c r="G533" s="1245" t="s">
        <v>1495</v>
      </c>
      <c r="H533" s="1246" t="s">
        <v>1495</v>
      </c>
      <c r="I533" s="1239" t="s">
        <v>1556</v>
      </c>
      <c r="J533" s="1240" t="s">
        <v>1535</v>
      </c>
      <c r="K533" s="1184" t="s">
        <v>674</v>
      </c>
      <c r="L533" s="1183" t="s">
        <v>675</v>
      </c>
      <c r="M533" s="1188">
        <f>36685000+28175000-6435000</f>
        <v>58425000</v>
      </c>
      <c r="N533" s="1185" t="s">
        <v>724</v>
      </c>
      <c r="O533" s="1185" t="s">
        <v>1562</v>
      </c>
      <c r="P533" s="1248"/>
    </row>
    <row r="534" spans="1:18" s="1159" customFormat="1" ht="75" x14ac:dyDescent="0.3">
      <c r="A534" s="1182">
        <v>2022528</v>
      </c>
      <c r="B534" s="1182">
        <v>7658</v>
      </c>
      <c r="C534" s="1265" t="s">
        <v>679</v>
      </c>
      <c r="D534" s="1227" t="s">
        <v>698</v>
      </c>
      <c r="E534" s="1236">
        <v>80111600</v>
      </c>
      <c r="F534" s="1185" t="s">
        <v>1138</v>
      </c>
      <c r="G534" s="1245" t="s">
        <v>1495</v>
      </c>
      <c r="H534" s="1246" t="s">
        <v>1495</v>
      </c>
      <c r="I534" s="1239" t="s">
        <v>1556</v>
      </c>
      <c r="J534" s="1240" t="s">
        <v>1535</v>
      </c>
      <c r="K534" s="1184" t="s">
        <v>674</v>
      </c>
      <c r="L534" s="1183" t="s">
        <v>675</v>
      </c>
      <c r="M534" s="1186">
        <f>51750000-2250000</f>
        <v>49500000</v>
      </c>
      <c r="N534" s="1185" t="s">
        <v>724</v>
      </c>
      <c r="O534" s="1185" t="s">
        <v>1562</v>
      </c>
    </row>
    <row r="535" spans="1:18" s="1159" customFormat="1" ht="75" x14ac:dyDescent="0.3">
      <c r="A535" s="1182">
        <v>2022529</v>
      </c>
      <c r="B535" s="1182">
        <v>7658</v>
      </c>
      <c r="C535" s="1265" t="s">
        <v>679</v>
      </c>
      <c r="D535" s="1227" t="s">
        <v>698</v>
      </c>
      <c r="E535" s="1236">
        <v>80111600</v>
      </c>
      <c r="F535" s="1185" t="s">
        <v>1139</v>
      </c>
      <c r="G535" s="1245" t="s">
        <v>1495</v>
      </c>
      <c r="H535" s="1246" t="s">
        <v>1495</v>
      </c>
      <c r="I535" s="1239" t="s">
        <v>1556</v>
      </c>
      <c r="J535" s="1240" t="s">
        <v>1535</v>
      </c>
      <c r="K535" s="1184" t="s">
        <v>674</v>
      </c>
      <c r="L535" s="1184" t="s">
        <v>675</v>
      </c>
      <c r="M535" s="1188">
        <f>48300000+20700000-1200000</f>
        <v>67800000</v>
      </c>
      <c r="N535" s="1185" t="s">
        <v>724</v>
      </c>
      <c r="O535" s="1185" t="s">
        <v>1562</v>
      </c>
      <c r="P535" s="1248"/>
    </row>
    <row r="536" spans="1:18" s="1159" customFormat="1" ht="75" x14ac:dyDescent="0.3">
      <c r="A536" s="1182">
        <v>2022530</v>
      </c>
      <c r="B536" s="1182">
        <v>7658</v>
      </c>
      <c r="C536" s="1265" t="s">
        <v>679</v>
      </c>
      <c r="D536" s="1227" t="s">
        <v>698</v>
      </c>
      <c r="E536" s="1236">
        <v>80111600</v>
      </c>
      <c r="F536" s="1185" t="s">
        <v>1119</v>
      </c>
      <c r="G536" s="1245" t="s">
        <v>1495</v>
      </c>
      <c r="H536" s="1246" t="s">
        <v>1495</v>
      </c>
      <c r="I536" s="1239" t="s">
        <v>1556</v>
      </c>
      <c r="J536" s="1240" t="s">
        <v>1535</v>
      </c>
      <c r="K536" s="1184" t="s">
        <v>674</v>
      </c>
      <c r="L536" s="1183" t="s">
        <v>675</v>
      </c>
      <c r="M536" s="1186">
        <f>82915000-3605000</f>
        <v>79310000</v>
      </c>
      <c r="N536" s="1185" t="s">
        <v>724</v>
      </c>
      <c r="O536" s="1185" t="s">
        <v>1562</v>
      </c>
    </row>
    <row r="537" spans="1:18" s="1159" customFormat="1" ht="75" x14ac:dyDescent="0.3">
      <c r="A537" s="1182">
        <v>2022531</v>
      </c>
      <c r="B537" s="1182">
        <v>7658</v>
      </c>
      <c r="C537" s="1265" t="s">
        <v>679</v>
      </c>
      <c r="D537" s="1227" t="s">
        <v>698</v>
      </c>
      <c r="E537" s="1236">
        <v>80111600</v>
      </c>
      <c r="F537" s="1185" t="s">
        <v>1140</v>
      </c>
      <c r="G537" s="1245" t="s">
        <v>1495</v>
      </c>
      <c r="H537" s="1246" t="s">
        <v>1495</v>
      </c>
      <c r="I537" s="1239" t="s">
        <v>1556</v>
      </c>
      <c r="J537" s="1240" t="s">
        <v>1535</v>
      </c>
      <c r="K537" s="1184" t="s">
        <v>674</v>
      </c>
      <c r="L537" s="1183" t="s">
        <v>675</v>
      </c>
      <c r="M537" s="1186">
        <f>45655000-1985000</f>
        <v>43670000</v>
      </c>
      <c r="N537" s="1185" t="s">
        <v>1651</v>
      </c>
      <c r="O537" s="1185" t="s">
        <v>1562</v>
      </c>
    </row>
    <row r="538" spans="1:18" s="1159" customFormat="1" ht="75" x14ac:dyDescent="0.3">
      <c r="A538" s="1182">
        <v>2022532</v>
      </c>
      <c r="B538" s="1182">
        <v>7658</v>
      </c>
      <c r="C538" s="1265" t="s">
        <v>679</v>
      </c>
      <c r="D538" s="1227" t="s">
        <v>698</v>
      </c>
      <c r="E538" s="1236">
        <v>80111600</v>
      </c>
      <c r="F538" s="1185" t="s">
        <v>1141</v>
      </c>
      <c r="G538" s="1245" t="s">
        <v>1495</v>
      </c>
      <c r="H538" s="1246" t="s">
        <v>1495</v>
      </c>
      <c r="I538" s="1239" t="s">
        <v>1556</v>
      </c>
      <c r="J538" s="1240" t="s">
        <v>1535</v>
      </c>
      <c r="K538" s="1184" t="s">
        <v>674</v>
      </c>
      <c r="L538" s="1183" t="s">
        <v>675</v>
      </c>
      <c r="M538" s="1186">
        <f>47380000-2060000</f>
        <v>45320000</v>
      </c>
      <c r="N538" s="1185" t="s">
        <v>1651</v>
      </c>
      <c r="O538" s="1185" t="s">
        <v>1562</v>
      </c>
    </row>
    <row r="539" spans="1:18" s="1159" customFormat="1" ht="90" x14ac:dyDescent="0.3">
      <c r="A539" s="1182">
        <v>2022533</v>
      </c>
      <c r="B539" s="1182">
        <v>7658</v>
      </c>
      <c r="C539" s="1265" t="s">
        <v>679</v>
      </c>
      <c r="D539" s="1227" t="s">
        <v>698</v>
      </c>
      <c r="E539" s="1236">
        <v>80111600</v>
      </c>
      <c r="F539" s="1185" t="s">
        <v>1142</v>
      </c>
      <c r="G539" s="1245" t="s">
        <v>1495</v>
      </c>
      <c r="H539" s="1246" t="s">
        <v>1495</v>
      </c>
      <c r="I539" s="1239" t="s">
        <v>1556</v>
      </c>
      <c r="J539" s="1240" t="s">
        <v>1535</v>
      </c>
      <c r="K539" s="1184" t="s">
        <v>674</v>
      </c>
      <c r="L539" s="1183" t="s">
        <v>675</v>
      </c>
      <c r="M539" s="1186">
        <f>54050000-2350000</f>
        <v>51700000</v>
      </c>
      <c r="N539" s="1185" t="s">
        <v>1651</v>
      </c>
      <c r="O539" s="1185" t="s">
        <v>1562</v>
      </c>
    </row>
    <row r="540" spans="1:18" s="1159" customFormat="1" ht="75" x14ac:dyDescent="0.3">
      <c r="A540" s="1182">
        <v>2022534</v>
      </c>
      <c r="B540" s="1182">
        <v>7658</v>
      </c>
      <c r="C540" s="1265" t="s">
        <v>679</v>
      </c>
      <c r="D540" s="1227" t="s">
        <v>698</v>
      </c>
      <c r="E540" s="1236">
        <v>80111600</v>
      </c>
      <c r="F540" s="1185" t="s">
        <v>1143</v>
      </c>
      <c r="G540" s="1245" t="s">
        <v>1495</v>
      </c>
      <c r="H540" s="1246" t="s">
        <v>1495</v>
      </c>
      <c r="I540" s="1239" t="s">
        <v>1556</v>
      </c>
      <c r="J540" s="1240" t="s">
        <v>1535</v>
      </c>
      <c r="K540" s="1184" t="s">
        <v>674</v>
      </c>
      <c r="L540" s="1183" t="s">
        <v>780</v>
      </c>
      <c r="M540" s="1186">
        <f>88550000-3850000</f>
        <v>84700000</v>
      </c>
      <c r="N540" s="1185" t="s">
        <v>724</v>
      </c>
      <c r="O540" s="1185" t="s">
        <v>1562</v>
      </c>
    </row>
    <row r="541" spans="1:18" s="1159" customFormat="1" ht="75" x14ac:dyDescent="0.3">
      <c r="A541" s="1182">
        <v>2022535</v>
      </c>
      <c r="B541" s="1182">
        <v>7658</v>
      </c>
      <c r="C541" s="1265" t="s">
        <v>679</v>
      </c>
      <c r="D541" s="1227" t="s">
        <v>698</v>
      </c>
      <c r="E541" s="1236">
        <v>80111600</v>
      </c>
      <c r="F541" s="1185" t="s">
        <v>1144</v>
      </c>
      <c r="G541" s="1245" t="s">
        <v>1495</v>
      </c>
      <c r="H541" s="1246" t="s">
        <v>1495</v>
      </c>
      <c r="I541" s="1239" t="s">
        <v>1556</v>
      </c>
      <c r="J541" s="1240" t="s">
        <v>1535</v>
      </c>
      <c r="K541" s="1184" t="s">
        <v>674</v>
      </c>
      <c r="L541" s="1183" t="s">
        <v>675</v>
      </c>
      <c r="M541" s="1186">
        <f>38525000-1675000</f>
        <v>36850000</v>
      </c>
      <c r="N541" s="1185" t="s">
        <v>724</v>
      </c>
      <c r="O541" s="1185" t="s">
        <v>1562</v>
      </c>
    </row>
    <row r="542" spans="1:18" s="1159" customFormat="1" ht="75" x14ac:dyDescent="0.3">
      <c r="A542" s="1182">
        <v>2022536</v>
      </c>
      <c r="B542" s="1182">
        <v>7658</v>
      </c>
      <c r="C542" s="1265" t="s">
        <v>679</v>
      </c>
      <c r="D542" s="1227" t="s">
        <v>698</v>
      </c>
      <c r="E542" s="1236">
        <v>80111600</v>
      </c>
      <c r="F542" s="1185" t="s">
        <v>1145</v>
      </c>
      <c r="G542" s="1245" t="s">
        <v>1495</v>
      </c>
      <c r="H542" s="1246" t="s">
        <v>1495</v>
      </c>
      <c r="I542" s="1239" t="s">
        <v>1556</v>
      </c>
      <c r="J542" s="1240" t="s">
        <v>1535</v>
      </c>
      <c r="K542" s="1184" t="s">
        <v>674</v>
      </c>
      <c r="L542" s="1183" t="s">
        <v>675</v>
      </c>
      <c r="M542" s="1186">
        <f>38525000-1125000</f>
        <v>37400000</v>
      </c>
      <c r="N542" s="1185" t="s">
        <v>724</v>
      </c>
      <c r="O542" s="1185" t="s">
        <v>1562</v>
      </c>
    </row>
    <row r="543" spans="1:18" s="1159" customFormat="1" ht="75" x14ac:dyDescent="0.3">
      <c r="A543" s="1182">
        <v>2022537</v>
      </c>
      <c r="B543" s="1182">
        <v>7658</v>
      </c>
      <c r="C543" s="1265" t="s">
        <v>679</v>
      </c>
      <c r="D543" s="1227" t="s">
        <v>698</v>
      </c>
      <c r="E543" s="1236">
        <v>80111600</v>
      </c>
      <c r="F543" s="1185" t="s">
        <v>1146</v>
      </c>
      <c r="G543" s="1245" t="s">
        <v>1495</v>
      </c>
      <c r="H543" s="1246" t="s">
        <v>1495</v>
      </c>
      <c r="I543" s="1239" t="s">
        <v>1556</v>
      </c>
      <c r="J543" s="1240" t="s">
        <v>1535</v>
      </c>
      <c r="K543" s="1184" t="s">
        <v>674</v>
      </c>
      <c r="L543" s="1184" t="s">
        <v>675</v>
      </c>
      <c r="M543" s="1186">
        <f>48300000+13225000+7475000-3000000</f>
        <v>66000000</v>
      </c>
      <c r="N543" s="1185" t="s">
        <v>1651</v>
      </c>
      <c r="O543" s="1185" t="s">
        <v>1562</v>
      </c>
    </row>
    <row r="544" spans="1:18" s="1159" customFormat="1" ht="75" x14ac:dyDescent="0.3">
      <c r="A544" s="1182">
        <v>2022538</v>
      </c>
      <c r="B544" s="1182">
        <v>7658</v>
      </c>
      <c r="C544" s="1182" t="s">
        <v>679</v>
      </c>
      <c r="D544" s="1227" t="s">
        <v>698</v>
      </c>
      <c r="E544" s="1236">
        <v>80111600</v>
      </c>
      <c r="F544" s="1185" t="s">
        <v>1147</v>
      </c>
      <c r="G544" s="1245" t="s">
        <v>1495</v>
      </c>
      <c r="H544" s="1246" t="s">
        <v>1495</v>
      </c>
      <c r="I544" s="1239" t="s">
        <v>1556</v>
      </c>
      <c r="J544" s="1240" t="s">
        <v>1535</v>
      </c>
      <c r="K544" s="1184" t="s">
        <v>674</v>
      </c>
      <c r="L544" s="1183" t="s">
        <v>675</v>
      </c>
      <c r="M544" s="1186">
        <f>65550000-23200000</f>
        <v>42350000</v>
      </c>
      <c r="N544" s="1185" t="s">
        <v>724</v>
      </c>
      <c r="O544" s="1185" t="s">
        <v>1562</v>
      </c>
    </row>
    <row r="545" spans="1:18" s="1159" customFormat="1" ht="75" x14ac:dyDescent="0.3">
      <c r="A545" s="1182">
        <v>2022539</v>
      </c>
      <c r="B545" s="1182">
        <v>7658</v>
      </c>
      <c r="C545" s="1182" t="s">
        <v>679</v>
      </c>
      <c r="D545" s="1227" t="s">
        <v>698</v>
      </c>
      <c r="E545" s="1236">
        <v>80111600</v>
      </c>
      <c r="F545" s="1185" t="s">
        <v>1148</v>
      </c>
      <c r="G545" s="1245" t="s">
        <v>1495</v>
      </c>
      <c r="H545" s="1246" t="s">
        <v>1495</v>
      </c>
      <c r="I545" s="1239" t="s">
        <v>1556</v>
      </c>
      <c r="J545" s="1240" t="s">
        <v>1535</v>
      </c>
      <c r="K545" s="1184" t="s">
        <v>674</v>
      </c>
      <c r="L545" s="1183" t="s">
        <v>675</v>
      </c>
      <c r="M545" s="1186">
        <f>69000000-3000000</f>
        <v>66000000</v>
      </c>
      <c r="N545" s="1185" t="s">
        <v>724</v>
      </c>
      <c r="O545" s="1185" t="s">
        <v>1562</v>
      </c>
    </row>
    <row r="546" spans="1:18" s="1159" customFormat="1" ht="75" x14ac:dyDescent="0.3">
      <c r="A546" s="1182">
        <v>2022540</v>
      </c>
      <c r="B546" s="1182">
        <v>7658</v>
      </c>
      <c r="C546" s="1182" t="s">
        <v>679</v>
      </c>
      <c r="D546" s="1227" t="s">
        <v>698</v>
      </c>
      <c r="E546" s="1236">
        <v>80111600</v>
      </c>
      <c r="F546" s="1185" t="s">
        <v>1149</v>
      </c>
      <c r="G546" s="1245" t="s">
        <v>1495</v>
      </c>
      <c r="H546" s="1246" t="s">
        <v>1495</v>
      </c>
      <c r="I546" s="1239" t="s">
        <v>1556</v>
      </c>
      <c r="J546" s="1240" t="s">
        <v>1535</v>
      </c>
      <c r="K546" s="1184" t="s">
        <v>674</v>
      </c>
      <c r="L546" s="1183" t="s">
        <v>675</v>
      </c>
      <c r="M546" s="1186">
        <f>39100000-3900000</f>
        <v>35200000</v>
      </c>
      <c r="N546" s="1185" t="s">
        <v>724</v>
      </c>
      <c r="O546" s="1185" t="s">
        <v>1562</v>
      </c>
    </row>
    <row r="547" spans="1:18" s="1159" customFormat="1" ht="75" x14ac:dyDescent="0.3">
      <c r="A547" s="1182">
        <v>2022541</v>
      </c>
      <c r="B547" s="1182">
        <v>7658</v>
      </c>
      <c r="C547" s="1182" t="s">
        <v>679</v>
      </c>
      <c r="D547" s="1227" t="s">
        <v>698</v>
      </c>
      <c r="E547" s="1236">
        <v>80111600</v>
      </c>
      <c r="F547" s="1185" t="s">
        <v>1150</v>
      </c>
      <c r="G547" s="1245" t="s">
        <v>1495</v>
      </c>
      <c r="H547" s="1246" t="s">
        <v>1495</v>
      </c>
      <c r="I547" s="1239" t="s">
        <v>1556</v>
      </c>
      <c r="J547" s="1240" t="s">
        <v>1535</v>
      </c>
      <c r="K547" s="1184" t="s">
        <v>674</v>
      </c>
      <c r="L547" s="1183" t="s">
        <v>675</v>
      </c>
      <c r="M547" s="1186">
        <f>36685000-1595000</f>
        <v>35090000</v>
      </c>
      <c r="N547" s="1185" t="s">
        <v>724</v>
      </c>
      <c r="O547" s="1185" t="s">
        <v>1562</v>
      </c>
    </row>
    <row r="548" spans="1:18" ht="60" x14ac:dyDescent="0.25">
      <c r="A548" s="1172">
        <v>2022542</v>
      </c>
      <c r="B548" s="1270" t="s">
        <v>459</v>
      </c>
      <c r="C548" s="1270"/>
      <c r="D548" s="1190" t="s">
        <v>689</v>
      </c>
      <c r="E548" s="1221" t="s">
        <v>1151</v>
      </c>
      <c r="F548" s="1197" t="s">
        <v>1152</v>
      </c>
      <c r="G548" s="1268" t="s">
        <v>1617</v>
      </c>
      <c r="H548" s="1268" t="s">
        <v>1617</v>
      </c>
      <c r="I548" s="1268" t="s">
        <v>1662</v>
      </c>
      <c r="J548" s="1268" t="s">
        <v>1512</v>
      </c>
      <c r="K548" s="1176" t="s">
        <v>43</v>
      </c>
      <c r="L548" s="1271"/>
      <c r="M548" s="1249">
        <v>4200000</v>
      </c>
      <c r="N548" s="1175"/>
      <c r="O548" s="1175"/>
    </row>
    <row r="549" spans="1:18" ht="60" x14ac:dyDescent="0.25">
      <c r="A549" s="1172">
        <v>2022543</v>
      </c>
      <c r="B549" s="1270" t="s">
        <v>459</v>
      </c>
      <c r="C549" s="1270"/>
      <c r="D549" s="1190" t="s">
        <v>689</v>
      </c>
      <c r="E549" s="1221" t="s">
        <v>1151</v>
      </c>
      <c r="F549" s="1197" t="s">
        <v>1153</v>
      </c>
      <c r="G549" s="1268" t="s">
        <v>1618</v>
      </c>
      <c r="H549" s="1268" t="s">
        <v>1618</v>
      </c>
      <c r="I549" s="1268" t="s">
        <v>1663</v>
      </c>
      <c r="J549" s="1268" t="s">
        <v>1512</v>
      </c>
      <c r="K549" s="1176" t="s">
        <v>43</v>
      </c>
      <c r="L549" s="1271"/>
      <c r="M549" s="1249">
        <v>6799000</v>
      </c>
      <c r="N549" s="1175"/>
      <c r="O549" s="1175"/>
    </row>
    <row r="550" spans="1:18" ht="60" x14ac:dyDescent="0.25">
      <c r="A550" s="1172">
        <v>2022544</v>
      </c>
      <c r="B550" s="1270" t="s">
        <v>459</v>
      </c>
      <c r="C550" s="1270"/>
      <c r="D550" s="1190" t="s">
        <v>689</v>
      </c>
      <c r="E550" s="1221" t="s">
        <v>1151</v>
      </c>
      <c r="F550" s="1197" t="s">
        <v>1154</v>
      </c>
      <c r="G550" s="1268" t="s">
        <v>1617</v>
      </c>
      <c r="H550" s="1268" t="s">
        <v>1617</v>
      </c>
      <c r="I550" s="1268" t="s">
        <v>1593</v>
      </c>
      <c r="J550" s="1268" t="s">
        <v>1564</v>
      </c>
      <c r="K550" s="1176" t="s">
        <v>43</v>
      </c>
      <c r="L550" s="1271"/>
      <c r="M550" s="1249">
        <v>10000000</v>
      </c>
      <c r="N550" s="1175"/>
      <c r="O550" s="1175"/>
    </row>
    <row r="551" spans="1:18" ht="60" x14ac:dyDescent="0.25">
      <c r="A551" s="1172">
        <v>2022545</v>
      </c>
      <c r="B551" s="1270" t="s">
        <v>459</v>
      </c>
      <c r="C551" s="1270"/>
      <c r="D551" s="1190" t="s">
        <v>689</v>
      </c>
      <c r="E551" s="1221" t="s">
        <v>1151</v>
      </c>
      <c r="F551" s="1197" t="s">
        <v>1155</v>
      </c>
      <c r="G551" s="1268" t="s">
        <v>1617</v>
      </c>
      <c r="H551" s="1268" t="s">
        <v>1617</v>
      </c>
      <c r="I551" s="1268" t="s">
        <v>1559</v>
      </c>
      <c r="J551" s="1268" t="s">
        <v>1564</v>
      </c>
      <c r="K551" s="1176" t="s">
        <v>43</v>
      </c>
      <c r="L551" s="1271"/>
      <c r="M551" s="1249">
        <v>87000000</v>
      </c>
      <c r="N551" s="1175"/>
      <c r="O551" s="1175"/>
    </row>
    <row r="552" spans="1:18" ht="60" x14ac:dyDescent="0.25">
      <c r="A552" s="1172">
        <v>2022546</v>
      </c>
      <c r="B552" s="1270" t="s">
        <v>459</v>
      </c>
      <c r="C552" s="1270"/>
      <c r="D552" s="1190" t="s">
        <v>689</v>
      </c>
      <c r="E552" s="1221" t="s">
        <v>1151</v>
      </c>
      <c r="F552" s="1197" t="s">
        <v>1152</v>
      </c>
      <c r="G552" s="1268" t="s">
        <v>1617</v>
      </c>
      <c r="H552" s="1268" t="s">
        <v>1617</v>
      </c>
      <c r="I552" s="1268" t="s">
        <v>1662</v>
      </c>
      <c r="J552" s="1268" t="s">
        <v>1512</v>
      </c>
      <c r="K552" s="1176" t="s">
        <v>43</v>
      </c>
      <c r="L552" s="1271"/>
      <c r="M552" s="1249">
        <v>5600000</v>
      </c>
      <c r="N552" s="1175"/>
      <c r="O552" s="1175"/>
    </row>
    <row r="553" spans="1:18" ht="60" x14ac:dyDescent="0.25">
      <c r="A553" s="1172">
        <v>2022547</v>
      </c>
      <c r="B553" s="1270" t="s">
        <v>459</v>
      </c>
      <c r="C553" s="1270"/>
      <c r="D553" s="1190" t="s">
        <v>689</v>
      </c>
      <c r="E553" s="1221" t="s">
        <v>1151</v>
      </c>
      <c r="F553" s="1197" t="s">
        <v>1156</v>
      </c>
      <c r="G553" s="1268" t="s">
        <v>1618</v>
      </c>
      <c r="H553" s="1268" t="s">
        <v>1618</v>
      </c>
      <c r="I553" s="1268" t="s">
        <v>1663</v>
      </c>
      <c r="J553" s="1268" t="s">
        <v>1512</v>
      </c>
      <c r="K553" s="1176" t="s">
        <v>43</v>
      </c>
      <c r="L553" s="1271"/>
      <c r="M553" s="1249">
        <v>28400000</v>
      </c>
      <c r="N553" s="1175"/>
      <c r="O553" s="1175"/>
    </row>
    <row r="554" spans="1:18" ht="120" x14ac:dyDescent="0.25">
      <c r="A554" s="1182">
        <v>2022548</v>
      </c>
      <c r="B554" s="1272" t="s">
        <v>459</v>
      </c>
      <c r="C554" s="1273"/>
      <c r="D554" s="1227" t="s">
        <v>689</v>
      </c>
      <c r="E554" s="1274" t="s">
        <v>1157</v>
      </c>
      <c r="F554" s="1275" t="s">
        <v>1158</v>
      </c>
      <c r="G554" s="1265" t="s">
        <v>1617</v>
      </c>
      <c r="H554" s="1265" t="s">
        <v>1617</v>
      </c>
      <c r="I554" s="1265" t="s">
        <v>1559</v>
      </c>
      <c r="J554" s="1265" t="s">
        <v>1564</v>
      </c>
      <c r="K554" s="1184" t="s">
        <v>43</v>
      </c>
      <c r="L554" s="1276"/>
      <c r="M554" s="1188">
        <f>100000000-20000000</f>
        <v>80000000</v>
      </c>
      <c r="N554" s="1185"/>
      <c r="O554" s="1185"/>
      <c r="R554" s="1159"/>
    </row>
    <row r="555" spans="1:18" ht="120" x14ac:dyDescent="0.25">
      <c r="A555" s="1182">
        <v>2022549</v>
      </c>
      <c r="B555" s="1272" t="s">
        <v>459</v>
      </c>
      <c r="C555" s="1273"/>
      <c r="D555" s="1227" t="s">
        <v>689</v>
      </c>
      <c r="E555" s="1274" t="s">
        <v>1157</v>
      </c>
      <c r="F555" s="1275" t="s">
        <v>1159</v>
      </c>
      <c r="G555" s="1265" t="s">
        <v>1618</v>
      </c>
      <c r="H555" s="1265" t="s">
        <v>1618</v>
      </c>
      <c r="I555" s="1265" t="s">
        <v>1663</v>
      </c>
      <c r="J555" s="1265" t="s">
        <v>1512</v>
      </c>
      <c r="K555" s="1184" t="s">
        <v>43</v>
      </c>
      <c r="L555" s="1276"/>
      <c r="M555" s="1188">
        <f>10000000+20000000</f>
        <v>30000000</v>
      </c>
      <c r="N555" s="1185"/>
      <c r="O555" s="1185"/>
      <c r="R555" s="1159"/>
    </row>
    <row r="556" spans="1:18" ht="60" x14ac:dyDescent="0.25">
      <c r="A556" s="1172">
        <v>2022550</v>
      </c>
      <c r="B556" s="1270" t="s">
        <v>459</v>
      </c>
      <c r="C556" s="1270"/>
      <c r="D556" s="1190" t="s">
        <v>689</v>
      </c>
      <c r="E556" s="1221" t="s">
        <v>1151</v>
      </c>
      <c r="F556" s="1197" t="s">
        <v>971</v>
      </c>
      <c r="G556" s="1268" t="s">
        <v>1617</v>
      </c>
      <c r="H556" s="1268" t="s">
        <v>1617</v>
      </c>
      <c r="I556" s="1268" t="s">
        <v>1559</v>
      </c>
      <c r="J556" s="1268" t="s">
        <v>1564</v>
      </c>
      <c r="K556" s="1176" t="s">
        <v>43</v>
      </c>
      <c r="L556" s="1271"/>
      <c r="M556" s="1249">
        <v>42542000</v>
      </c>
      <c r="N556" s="1175"/>
      <c r="O556" s="1175"/>
    </row>
    <row r="557" spans="1:18" ht="60" x14ac:dyDescent="0.25">
      <c r="A557" s="1172">
        <v>2022551</v>
      </c>
      <c r="B557" s="1270" t="s">
        <v>459</v>
      </c>
      <c r="C557" s="1270"/>
      <c r="D557" s="1190" t="s">
        <v>689</v>
      </c>
      <c r="E557" s="1221" t="s">
        <v>1151</v>
      </c>
      <c r="F557" s="1197" t="s">
        <v>1154</v>
      </c>
      <c r="G557" s="1268" t="s">
        <v>1617</v>
      </c>
      <c r="H557" s="1268" t="s">
        <v>1617</v>
      </c>
      <c r="I557" s="1268" t="s">
        <v>1593</v>
      </c>
      <c r="J557" s="1268" t="s">
        <v>1564</v>
      </c>
      <c r="K557" s="1176" t="s">
        <v>43</v>
      </c>
      <c r="L557" s="1271"/>
      <c r="M557" s="1249">
        <v>2345000</v>
      </c>
      <c r="N557" s="1175"/>
      <c r="O557" s="1175"/>
    </row>
    <row r="558" spans="1:18" ht="60" x14ac:dyDescent="0.25">
      <c r="A558" s="1172">
        <v>2022552</v>
      </c>
      <c r="B558" s="1270" t="s">
        <v>459</v>
      </c>
      <c r="C558" s="1270"/>
      <c r="D558" s="1190" t="s">
        <v>689</v>
      </c>
      <c r="E558" s="1221" t="s">
        <v>1151</v>
      </c>
      <c r="F558" s="1197" t="s">
        <v>1154</v>
      </c>
      <c r="G558" s="1268" t="s">
        <v>1617</v>
      </c>
      <c r="H558" s="1268" t="s">
        <v>1617</v>
      </c>
      <c r="I558" s="1268" t="s">
        <v>1593</v>
      </c>
      <c r="J558" s="1268" t="s">
        <v>1564</v>
      </c>
      <c r="K558" s="1176" t="s">
        <v>43</v>
      </c>
      <c r="L558" s="1271"/>
      <c r="M558" s="1249">
        <v>1450000</v>
      </c>
      <c r="N558" s="1175"/>
      <c r="O558" s="1175"/>
    </row>
    <row r="559" spans="1:18" ht="60" x14ac:dyDescent="0.25">
      <c r="A559" s="1172">
        <v>2022553</v>
      </c>
      <c r="B559" s="1270" t="s">
        <v>459</v>
      </c>
      <c r="C559" s="1270"/>
      <c r="D559" s="1190" t="s">
        <v>689</v>
      </c>
      <c r="E559" s="1221" t="s">
        <v>1151</v>
      </c>
      <c r="F559" s="1197" t="s">
        <v>971</v>
      </c>
      <c r="G559" s="1268" t="s">
        <v>1617</v>
      </c>
      <c r="H559" s="1268" t="s">
        <v>1617</v>
      </c>
      <c r="I559" s="1268" t="s">
        <v>1559</v>
      </c>
      <c r="J559" s="1268" t="s">
        <v>1564</v>
      </c>
      <c r="K559" s="1176" t="s">
        <v>43</v>
      </c>
      <c r="L559" s="1271"/>
      <c r="M559" s="1249">
        <v>11550000</v>
      </c>
      <c r="N559" s="1175"/>
      <c r="O559" s="1175"/>
    </row>
    <row r="560" spans="1:18" ht="60" x14ac:dyDescent="0.25">
      <c r="A560" s="1172">
        <v>2022554</v>
      </c>
      <c r="B560" s="1270" t="s">
        <v>459</v>
      </c>
      <c r="C560" s="1270"/>
      <c r="D560" s="1190" t="s">
        <v>689</v>
      </c>
      <c r="E560" s="1221" t="s">
        <v>1151</v>
      </c>
      <c r="F560" s="1197" t="s">
        <v>1152</v>
      </c>
      <c r="G560" s="1268" t="s">
        <v>1617</v>
      </c>
      <c r="H560" s="1268" t="s">
        <v>1617</v>
      </c>
      <c r="I560" s="1268" t="s">
        <v>1662</v>
      </c>
      <c r="J560" s="1268" t="s">
        <v>1512</v>
      </c>
      <c r="K560" s="1176" t="s">
        <v>43</v>
      </c>
      <c r="L560" s="1271"/>
      <c r="M560" s="1249">
        <v>2800000</v>
      </c>
      <c r="N560" s="1175"/>
      <c r="O560" s="1175"/>
    </row>
    <row r="561" spans="1:15" ht="60" x14ac:dyDescent="0.25">
      <c r="A561" s="1172">
        <v>2022555</v>
      </c>
      <c r="B561" s="1270" t="s">
        <v>459</v>
      </c>
      <c r="C561" s="1270"/>
      <c r="D561" s="1190" t="s">
        <v>689</v>
      </c>
      <c r="E561" s="1221" t="s">
        <v>1151</v>
      </c>
      <c r="F561" s="1197" t="s">
        <v>1160</v>
      </c>
      <c r="G561" s="1268" t="s">
        <v>1618</v>
      </c>
      <c r="H561" s="1268" t="s">
        <v>1618</v>
      </c>
      <c r="I561" s="1268" t="s">
        <v>1663</v>
      </c>
      <c r="J561" s="1268" t="s">
        <v>1512</v>
      </c>
      <c r="K561" s="1176" t="s">
        <v>43</v>
      </c>
      <c r="L561" s="1271"/>
      <c r="M561" s="1249">
        <v>5204000</v>
      </c>
      <c r="N561" s="1175"/>
      <c r="O561" s="1175"/>
    </row>
    <row r="562" spans="1:15" ht="60" x14ac:dyDescent="0.25">
      <c r="A562" s="1172">
        <v>2022556</v>
      </c>
      <c r="B562" s="1270" t="s">
        <v>459</v>
      </c>
      <c r="C562" s="1270"/>
      <c r="D562" s="1190" t="s">
        <v>689</v>
      </c>
      <c r="E562" s="1221" t="s">
        <v>1151</v>
      </c>
      <c r="F562" s="1197" t="s">
        <v>1154</v>
      </c>
      <c r="G562" s="1268" t="s">
        <v>1617</v>
      </c>
      <c r="H562" s="1268" t="s">
        <v>1617</v>
      </c>
      <c r="I562" s="1268" t="s">
        <v>1593</v>
      </c>
      <c r="J562" s="1268" t="s">
        <v>1564</v>
      </c>
      <c r="K562" s="1176" t="s">
        <v>43</v>
      </c>
      <c r="L562" s="1271"/>
      <c r="M562" s="1249">
        <v>1308000</v>
      </c>
      <c r="N562" s="1175"/>
      <c r="O562" s="1175"/>
    </row>
    <row r="563" spans="1:15" ht="60" x14ac:dyDescent="0.25">
      <c r="A563" s="1172">
        <v>2022557</v>
      </c>
      <c r="B563" s="1270" t="s">
        <v>459</v>
      </c>
      <c r="C563" s="1270"/>
      <c r="D563" s="1190" t="s">
        <v>689</v>
      </c>
      <c r="E563" s="1221" t="s">
        <v>1151</v>
      </c>
      <c r="F563" s="1197" t="s">
        <v>971</v>
      </c>
      <c r="G563" s="1268" t="s">
        <v>1617</v>
      </c>
      <c r="H563" s="1268" t="s">
        <v>1617</v>
      </c>
      <c r="I563" s="1268" t="s">
        <v>1559</v>
      </c>
      <c r="J563" s="1268" t="s">
        <v>1564</v>
      </c>
      <c r="K563" s="1176" t="s">
        <v>43</v>
      </c>
      <c r="L563" s="1271"/>
      <c r="M563" s="1249">
        <v>14692000</v>
      </c>
      <c r="N563" s="1175"/>
      <c r="O563" s="1175"/>
    </row>
    <row r="564" spans="1:15" ht="60" x14ac:dyDescent="0.25">
      <c r="A564" s="1172">
        <v>2022558</v>
      </c>
      <c r="B564" s="1270" t="s">
        <v>459</v>
      </c>
      <c r="C564" s="1270"/>
      <c r="D564" s="1190" t="s">
        <v>689</v>
      </c>
      <c r="E564" s="1221" t="s">
        <v>1151</v>
      </c>
      <c r="F564" s="1197" t="s">
        <v>1161</v>
      </c>
      <c r="G564" s="1268" t="s">
        <v>1617</v>
      </c>
      <c r="H564" s="1268" t="s">
        <v>1617</v>
      </c>
      <c r="I564" s="1268" t="s">
        <v>1662</v>
      </c>
      <c r="J564" s="1268" t="s">
        <v>1512</v>
      </c>
      <c r="K564" s="1176" t="s">
        <v>43</v>
      </c>
      <c r="L564" s="1271"/>
      <c r="M564" s="1249">
        <v>1400000</v>
      </c>
      <c r="N564" s="1175"/>
      <c r="O564" s="1175"/>
    </row>
    <row r="565" spans="1:15" ht="60" x14ac:dyDescent="0.25">
      <c r="A565" s="1172">
        <v>2022559</v>
      </c>
      <c r="B565" s="1270" t="s">
        <v>459</v>
      </c>
      <c r="C565" s="1270"/>
      <c r="D565" s="1190" t="s">
        <v>689</v>
      </c>
      <c r="E565" s="1221" t="s">
        <v>1151</v>
      </c>
      <c r="F565" s="1197" t="s">
        <v>1160</v>
      </c>
      <c r="G565" s="1268" t="s">
        <v>1618</v>
      </c>
      <c r="H565" s="1268" t="s">
        <v>1618</v>
      </c>
      <c r="I565" s="1268" t="s">
        <v>1663</v>
      </c>
      <c r="J565" s="1268" t="s">
        <v>1512</v>
      </c>
      <c r="K565" s="1176" t="s">
        <v>43</v>
      </c>
      <c r="L565" s="1271"/>
      <c r="M565" s="1249">
        <v>9600000</v>
      </c>
      <c r="N565" s="1175"/>
      <c r="O565" s="1175"/>
    </row>
    <row r="566" spans="1:15" ht="120" x14ac:dyDescent="0.25">
      <c r="A566" s="1172">
        <v>2022560</v>
      </c>
      <c r="B566" s="1270" t="s">
        <v>459</v>
      </c>
      <c r="C566" s="1270"/>
      <c r="D566" s="1190" t="s">
        <v>689</v>
      </c>
      <c r="E566" s="1270" t="s">
        <v>1162</v>
      </c>
      <c r="F566" s="1197" t="s">
        <v>1163</v>
      </c>
      <c r="G566" s="1268" t="s">
        <v>1637</v>
      </c>
      <c r="H566" s="1268" t="s">
        <v>1637</v>
      </c>
      <c r="I566" s="1268" t="s">
        <v>1664</v>
      </c>
      <c r="J566" s="1268" t="s">
        <v>1665</v>
      </c>
      <c r="K566" s="1176" t="s">
        <v>43</v>
      </c>
      <c r="L566" s="1271"/>
      <c r="M566" s="1249">
        <v>79500000</v>
      </c>
      <c r="N566" s="1175"/>
      <c r="O566" s="1175"/>
    </row>
    <row r="567" spans="1:15" ht="135" x14ac:dyDescent="0.25">
      <c r="A567" s="1172">
        <v>2022561</v>
      </c>
      <c r="B567" s="1270" t="s">
        <v>459</v>
      </c>
      <c r="C567" s="1270"/>
      <c r="D567" s="1190" t="s">
        <v>689</v>
      </c>
      <c r="E567" s="1270" t="s">
        <v>1162</v>
      </c>
      <c r="F567" s="1197" t="s">
        <v>1164</v>
      </c>
      <c r="G567" s="1268" t="s">
        <v>1624</v>
      </c>
      <c r="H567" s="1268" t="s">
        <v>1624</v>
      </c>
      <c r="I567" s="1268" t="s">
        <v>1666</v>
      </c>
      <c r="J567" s="1268" t="s">
        <v>1665</v>
      </c>
      <c r="K567" s="1176" t="s">
        <v>43</v>
      </c>
      <c r="L567" s="1271"/>
      <c r="M567" s="1249">
        <v>41500000</v>
      </c>
      <c r="N567" s="1175"/>
      <c r="O567" s="1175"/>
    </row>
    <row r="568" spans="1:15" ht="45" x14ac:dyDescent="0.25">
      <c r="A568" s="1172">
        <v>2022562</v>
      </c>
      <c r="B568" s="1270" t="s">
        <v>459</v>
      </c>
      <c r="C568" s="1270"/>
      <c r="D568" s="1190" t="s">
        <v>689</v>
      </c>
      <c r="E568" s="1270" t="s">
        <v>1165</v>
      </c>
      <c r="F568" s="1197" t="s">
        <v>1166</v>
      </c>
      <c r="G568" s="1268" t="s">
        <v>1624</v>
      </c>
      <c r="H568" s="1268" t="s">
        <v>1624</v>
      </c>
      <c r="I568" s="1268" t="s">
        <v>1667</v>
      </c>
      <c r="J568" s="1268" t="s">
        <v>1668</v>
      </c>
      <c r="K568" s="1176" t="s">
        <v>43</v>
      </c>
      <c r="L568" s="1271"/>
      <c r="M568" s="1249">
        <v>1500000000</v>
      </c>
      <c r="N568" s="1175"/>
      <c r="O568" s="1175"/>
    </row>
    <row r="569" spans="1:15" ht="45" x14ac:dyDescent="0.25">
      <c r="A569" s="1172">
        <v>2022563</v>
      </c>
      <c r="B569" s="1270" t="s">
        <v>459</v>
      </c>
      <c r="C569" s="1270"/>
      <c r="D569" s="1190" t="s">
        <v>689</v>
      </c>
      <c r="E569" s="1270" t="s">
        <v>1165</v>
      </c>
      <c r="F569" s="1197" t="s">
        <v>1166</v>
      </c>
      <c r="G569" s="1268" t="s">
        <v>1624</v>
      </c>
      <c r="H569" s="1268" t="s">
        <v>1624</v>
      </c>
      <c r="I569" s="1268" t="s">
        <v>1667</v>
      </c>
      <c r="J569" s="1268" t="s">
        <v>1668</v>
      </c>
      <c r="K569" s="1176" t="s">
        <v>43</v>
      </c>
      <c r="L569" s="1271"/>
      <c r="M569" s="1249">
        <v>550000000</v>
      </c>
      <c r="N569" s="1175"/>
      <c r="O569" s="1175"/>
    </row>
    <row r="570" spans="1:15" ht="45" x14ac:dyDescent="0.25">
      <c r="A570" s="1172">
        <v>2022564</v>
      </c>
      <c r="B570" s="1270" t="s">
        <v>459</v>
      </c>
      <c r="C570" s="1270"/>
      <c r="D570" s="1190" t="s">
        <v>689</v>
      </c>
      <c r="E570" s="1270" t="s">
        <v>1165</v>
      </c>
      <c r="F570" s="1197" t="s">
        <v>1166</v>
      </c>
      <c r="G570" s="1268" t="s">
        <v>1624</v>
      </c>
      <c r="H570" s="1268" t="s">
        <v>1624</v>
      </c>
      <c r="I570" s="1268" t="s">
        <v>1667</v>
      </c>
      <c r="J570" s="1268" t="s">
        <v>1668</v>
      </c>
      <c r="K570" s="1176" t="s">
        <v>43</v>
      </c>
      <c r="L570" s="1271"/>
      <c r="M570" s="1249">
        <v>733000000</v>
      </c>
      <c r="N570" s="1175"/>
      <c r="O570" s="1175"/>
    </row>
    <row r="571" spans="1:15" ht="45" x14ac:dyDescent="0.25">
      <c r="A571" s="1172">
        <v>2022565</v>
      </c>
      <c r="B571" s="1270" t="s">
        <v>459</v>
      </c>
      <c r="C571" s="1270"/>
      <c r="D571" s="1190" t="s">
        <v>689</v>
      </c>
      <c r="E571" s="1270" t="s">
        <v>1165</v>
      </c>
      <c r="F571" s="1197" t="s">
        <v>1166</v>
      </c>
      <c r="G571" s="1268" t="s">
        <v>1624</v>
      </c>
      <c r="H571" s="1268" t="s">
        <v>1624</v>
      </c>
      <c r="I571" s="1268" t="s">
        <v>1667</v>
      </c>
      <c r="J571" s="1268" t="s">
        <v>1668</v>
      </c>
      <c r="K571" s="1176" t="s">
        <v>43</v>
      </c>
      <c r="L571" s="1271"/>
      <c r="M571" s="1249">
        <v>150000000</v>
      </c>
      <c r="N571" s="1175"/>
      <c r="O571" s="1175"/>
    </row>
    <row r="572" spans="1:15" ht="45" x14ac:dyDescent="0.25">
      <c r="A572" s="1172">
        <v>2022566</v>
      </c>
      <c r="B572" s="1270" t="s">
        <v>459</v>
      </c>
      <c r="C572" s="1270"/>
      <c r="D572" s="1190" t="s">
        <v>689</v>
      </c>
      <c r="E572" s="1270" t="s">
        <v>1165</v>
      </c>
      <c r="F572" s="1197" t="s">
        <v>1166</v>
      </c>
      <c r="G572" s="1268" t="s">
        <v>1624</v>
      </c>
      <c r="H572" s="1268" t="s">
        <v>1624</v>
      </c>
      <c r="I572" s="1268" t="s">
        <v>1667</v>
      </c>
      <c r="J572" s="1268" t="s">
        <v>1668</v>
      </c>
      <c r="K572" s="1176" t="s">
        <v>43</v>
      </c>
      <c r="L572" s="1271"/>
      <c r="M572" s="1249">
        <v>300000000</v>
      </c>
      <c r="N572" s="1175"/>
      <c r="O572" s="1175"/>
    </row>
    <row r="573" spans="1:15" ht="45" x14ac:dyDescent="0.25">
      <c r="A573" s="1172">
        <v>2022567</v>
      </c>
      <c r="B573" s="1270" t="s">
        <v>459</v>
      </c>
      <c r="C573" s="1270"/>
      <c r="D573" s="1190" t="s">
        <v>689</v>
      </c>
      <c r="E573" s="1270" t="s">
        <v>1165</v>
      </c>
      <c r="F573" s="1197" t="s">
        <v>1166</v>
      </c>
      <c r="G573" s="1268" t="s">
        <v>1624</v>
      </c>
      <c r="H573" s="1268" t="s">
        <v>1624</v>
      </c>
      <c r="I573" s="1268" t="s">
        <v>1667</v>
      </c>
      <c r="J573" s="1268" t="s">
        <v>1668</v>
      </c>
      <c r="K573" s="1176" t="s">
        <v>43</v>
      </c>
      <c r="L573" s="1271"/>
      <c r="M573" s="1249">
        <v>67000000</v>
      </c>
      <c r="N573" s="1175"/>
      <c r="O573" s="1175"/>
    </row>
    <row r="574" spans="1:15" ht="45" x14ac:dyDescent="0.25">
      <c r="A574" s="1172">
        <v>2022568</v>
      </c>
      <c r="B574" s="1270" t="s">
        <v>459</v>
      </c>
      <c r="C574" s="1270"/>
      <c r="D574" s="1190" t="s">
        <v>689</v>
      </c>
      <c r="E574" s="1270" t="s">
        <v>1167</v>
      </c>
      <c r="F574" s="1197" t="s">
        <v>1168</v>
      </c>
      <c r="G574" s="1268" t="s">
        <v>1632</v>
      </c>
      <c r="H574" s="1268" t="s">
        <v>1632</v>
      </c>
      <c r="I574" s="1268" t="s">
        <v>1664</v>
      </c>
      <c r="J574" s="1268" t="s">
        <v>1665</v>
      </c>
      <c r="K574" s="1176" t="s">
        <v>43</v>
      </c>
      <c r="L574" s="1271"/>
      <c r="M574" s="1249">
        <v>124000000</v>
      </c>
      <c r="N574" s="1175"/>
      <c r="O574" s="1175"/>
    </row>
    <row r="575" spans="1:15" ht="45" x14ac:dyDescent="0.25">
      <c r="A575" s="1172">
        <v>2022569</v>
      </c>
      <c r="B575" s="1270" t="s">
        <v>459</v>
      </c>
      <c r="C575" s="1270"/>
      <c r="D575" s="1190" t="s">
        <v>689</v>
      </c>
      <c r="E575" s="1270" t="s">
        <v>1167</v>
      </c>
      <c r="F575" s="1197" t="s">
        <v>1169</v>
      </c>
      <c r="G575" s="1268" t="s">
        <v>1617</v>
      </c>
      <c r="H575" s="1268" t="s">
        <v>1617</v>
      </c>
      <c r="I575" s="1268" t="s">
        <v>1667</v>
      </c>
      <c r="J575" s="1268" t="s">
        <v>1665</v>
      </c>
      <c r="K575" s="1176" t="s">
        <v>43</v>
      </c>
      <c r="L575" s="1271"/>
      <c r="M575" s="1249">
        <v>109000000</v>
      </c>
      <c r="N575" s="1175"/>
      <c r="O575" s="1175"/>
    </row>
    <row r="576" spans="1:15" ht="45" x14ac:dyDescent="0.25">
      <c r="A576" s="1172">
        <v>2022570</v>
      </c>
      <c r="B576" s="1270" t="s">
        <v>459</v>
      </c>
      <c r="C576" s="1270"/>
      <c r="D576" s="1190" t="s">
        <v>689</v>
      </c>
      <c r="E576" s="1270" t="s">
        <v>778</v>
      </c>
      <c r="F576" s="1197" t="s">
        <v>1170</v>
      </c>
      <c r="G576" s="1268" t="s">
        <v>1638</v>
      </c>
      <c r="H576" s="1268" t="s">
        <v>1638</v>
      </c>
      <c r="I576" s="1268" t="s">
        <v>1669</v>
      </c>
      <c r="J576" s="1268" t="s">
        <v>1665</v>
      </c>
      <c r="K576" s="1176" t="s">
        <v>43</v>
      </c>
      <c r="L576" s="1271"/>
      <c r="M576" s="1249">
        <v>350000000</v>
      </c>
      <c r="N576" s="1175"/>
      <c r="O576" s="1175"/>
    </row>
    <row r="577" spans="1:18" ht="60" x14ac:dyDescent="0.25">
      <c r="A577" s="1182">
        <v>2022571</v>
      </c>
      <c r="B577" s="1273" t="s">
        <v>459</v>
      </c>
      <c r="C577" s="1273"/>
      <c r="D577" s="1227" t="s">
        <v>689</v>
      </c>
      <c r="E577" s="1273" t="s">
        <v>965</v>
      </c>
      <c r="F577" s="1275" t="s">
        <v>1171</v>
      </c>
      <c r="G577" s="1265" t="s">
        <v>1625</v>
      </c>
      <c r="H577" s="1265" t="s">
        <v>1625</v>
      </c>
      <c r="I577" s="1265" t="s">
        <v>1675</v>
      </c>
      <c r="J577" s="1265" t="s">
        <v>1668</v>
      </c>
      <c r="K577" s="1184" t="s">
        <v>43</v>
      </c>
      <c r="L577" s="1276"/>
      <c r="M577" s="1188">
        <v>756263000</v>
      </c>
      <c r="N577" s="1185"/>
      <c r="O577" s="1185"/>
      <c r="R577" s="1159"/>
    </row>
    <row r="578" spans="1:18" ht="45" x14ac:dyDescent="0.25">
      <c r="A578" s="1172">
        <v>2022572</v>
      </c>
      <c r="B578" s="1270" t="s">
        <v>459</v>
      </c>
      <c r="C578" s="1270"/>
      <c r="D578" s="1190" t="s">
        <v>689</v>
      </c>
      <c r="E578" s="1270" t="s">
        <v>1151</v>
      </c>
      <c r="F578" s="1197" t="s">
        <v>1154</v>
      </c>
      <c r="G578" s="1268" t="s">
        <v>1617</v>
      </c>
      <c r="H578" s="1268" t="s">
        <v>1617</v>
      </c>
      <c r="I578" s="1268" t="s">
        <v>1593</v>
      </c>
      <c r="J578" s="1268" t="s">
        <v>1564</v>
      </c>
      <c r="K578" s="1176" t="s">
        <v>43</v>
      </c>
      <c r="L578" s="1271"/>
      <c r="M578" s="1249">
        <v>37063000</v>
      </c>
      <c r="N578" s="1175"/>
      <c r="O578" s="1175"/>
    </row>
    <row r="579" spans="1:18" ht="45" x14ac:dyDescent="0.25">
      <c r="A579" s="1172">
        <v>2022573</v>
      </c>
      <c r="B579" s="1270" t="s">
        <v>459</v>
      </c>
      <c r="C579" s="1270"/>
      <c r="D579" s="1190" t="s">
        <v>689</v>
      </c>
      <c r="E579" s="1270" t="s">
        <v>1151</v>
      </c>
      <c r="F579" s="1197" t="s">
        <v>971</v>
      </c>
      <c r="G579" s="1268" t="s">
        <v>1617</v>
      </c>
      <c r="H579" s="1268" t="s">
        <v>1617</v>
      </c>
      <c r="I579" s="1268" t="s">
        <v>1559</v>
      </c>
      <c r="J579" s="1268" t="s">
        <v>1564</v>
      </c>
      <c r="K579" s="1176" t="s">
        <v>43</v>
      </c>
      <c r="L579" s="1271"/>
      <c r="M579" s="1249">
        <v>382937000</v>
      </c>
      <c r="N579" s="1175"/>
      <c r="O579" s="1175"/>
    </row>
    <row r="580" spans="1:18" ht="45" x14ac:dyDescent="0.25">
      <c r="A580" s="1172">
        <v>2022574</v>
      </c>
      <c r="B580" s="1270" t="s">
        <v>459</v>
      </c>
      <c r="C580" s="1270"/>
      <c r="D580" s="1190" t="s">
        <v>689</v>
      </c>
      <c r="E580" s="1270" t="s">
        <v>1172</v>
      </c>
      <c r="F580" s="1197" t="s">
        <v>1671</v>
      </c>
      <c r="G580" s="1268" t="s">
        <v>1617</v>
      </c>
      <c r="H580" s="1268" t="s">
        <v>1617</v>
      </c>
      <c r="I580" s="1268" t="s">
        <v>1663</v>
      </c>
      <c r="J580" s="1268" t="s">
        <v>1665</v>
      </c>
      <c r="K580" s="1176" t="s">
        <v>43</v>
      </c>
      <c r="L580" s="1271"/>
      <c r="M580" s="1249">
        <v>4019274</v>
      </c>
      <c r="N580" s="1175"/>
      <c r="O580" s="1175"/>
    </row>
    <row r="581" spans="1:18" ht="45" x14ac:dyDescent="0.25">
      <c r="A581" s="1172">
        <v>2022575</v>
      </c>
      <c r="B581" s="1270" t="s">
        <v>459</v>
      </c>
      <c r="C581" s="1270"/>
      <c r="D581" s="1190" t="s">
        <v>689</v>
      </c>
      <c r="E581" s="1270" t="s">
        <v>1174</v>
      </c>
      <c r="F581" s="1197" t="s">
        <v>1175</v>
      </c>
      <c r="G581" s="1268" t="s">
        <v>1617</v>
      </c>
      <c r="H581" s="1268" t="s">
        <v>1617</v>
      </c>
      <c r="I581" s="1268" t="s">
        <v>1672</v>
      </c>
      <c r="J581" s="1268" t="s">
        <v>1665</v>
      </c>
      <c r="K581" s="1176" t="s">
        <v>43</v>
      </c>
      <c r="L581" s="1271"/>
      <c r="M581" s="1249">
        <v>8664250</v>
      </c>
      <c r="N581" s="1175"/>
      <c r="O581" s="1175"/>
    </row>
    <row r="582" spans="1:18" ht="45" x14ac:dyDescent="0.25">
      <c r="A582" s="1172">
        <v>2022576</v>
      </c>
      <c r="B582" s="1270" t="s">
        <v>459</v>
      </c>
      <c r="C582" s="1270"/>
      <c r="D582" s="1190" t="s">
        <v>689</v>
      </c>
      <c r="E582" s="1270" t="s">
        <v>1172</v>
      </c>
      <c r="F582" s="1197" t="s">
        <v>1176</v>
      </c>
      <c r="G582" s="1268" t="s">
        <v>1632</v>
      </c>
      <c r="H582" s="1268" t="s">
        <v>1632</v>
      </c>
      <c r="I582" s="1268" t="s">
        <v>1673</v>
      </c>
      <c r="J582" s="1268" t="s">
        <v>1665</v>
      </c>
      <c r="K582" s="1176" t="s">
        <v>43</v>
      </c>
      <c r="L582" s="1271"/>
      <c r="M582" s="1249">
        <v>13335750</v>
      </c>
      <c r="N582" s="1175"/>
      <c r="O582" s="1175"/>
    </row>
    <row r="583" spans="1:18" ht="45" x14ac:dyDescent="0.25">
      <c r="A583" s="1172">
        <v>2022577</v>
      </c>
      <c r="B583" s="1270" t="s">
        <v>459</v>
      </c>
      <c r="C583" s="1270"/>
      <c r="D583" s="1190" t="s">
        <v>689</v>
      </c>
      <c r="E583" s="1270" t="s">
        <v>1174</v>
      </c>
      <c r="F583" s="1197" t="s">
        <v>1173</v>
      </c>
      <c r="G583" s="1268" t="s">
        <v>1635</v>
      </c>
      <c r="H583" s="1268" t="s">
        <v>1635</v>
      </c>
      <c r="I583" s="1268" t="s">
        <v>1663</v>
      </c>
      <c r="J583" s="1268" t="s">
        <v>1665</v>
      </c>
      <c r="K583" s="1176" t="s">
        <v>43</v>
      </c>
      <c r="L583" s="1271"/>
      <c r="M583" s="1249">
        <v>3980726</v>
      </c>
      <c r="N583" s="1175"/>
      <c r="O583" s="1175"/>
    </row>
    <row r="584" spans="1:18" ht="60" x14ac:dyDescent="0.25">
      <c r="A584" s="1172">
        <v>2022578</v>
      </c>
      <c r="B584" s="1270" t="s">
        <v>459</v>
      </c>
      <c r="C584" s="1270"/>
      <c r="D584" s="1190" t="s">
        <v>689</v>
      </c>
      <c r="E584" s="1270" t="s">
        <v>803</v>
      </c>
      <c r="F584" s="1197" t="s">
        <v>804</v>
      </c>
      <c r="G584" s="1268" t="s">
        <v>1617</v>
      </c>
      <c r="H584" s="1268" t="s">
        <v>1617</v>
      </c>
      <c r="I584" s="1268">
        <v>0</v>
      </c>
      <c r="J584" s="1268" t="s">
        <v>1674</v>
      </c>
      <c r="K584" s="1176" t="s">
        <v>43</v>
      </c>
      <c r="L584" s="1271"/>
      <c r="M584" s="1249">
        <v>20000000</v>
      </c>
      <c r="N584" s="1175"/>
      <c r="O584" s="1175"/>
    </row>
    <row r="585" spans="1:18" ht="45" x14ac:dyDescent="0.25">
      <c r="A585" s="1172">
        <v>2022579</v>
      </c>
      <c r="B585" s="1270" t="s">
        <v>459</v>
      </c>
      <c r="C585" s="1270"/>
      <c r="D585" s="1190" t="s">
        <v>689</v>
      </c>
      <c r="E585" s="1270" t="s">
        <v>803</v>
      </c>
      <c r="F585" s="1197" t="s">
        <v>1177</v>
      </c>
      <c r="G585" s="1268" t="s">
        <v>1617</v>
      </c>
      <c r="H585" s="1268" t="s">
        <v>1617</v>
      </c>
      <c r="I585" s="1268" t="s">
        <v>1675</v>
      </c>
      <c r="J585" s="1268" t="s">
        <v>1674</v>
      </c>
      <c r="K585" s="1176" t="s">
        <v>43</v>
      </c>
      <c r="L585" s="1271"/>
      <c r="M585" s="1249">
        <v>130000000</v>
      </c>
      <c r="N585" s="1175"/>
      <c r="O585" s="1175"/>
    </row>
    <row r="586" spans="1:18" ht="30" x14ac:dyDescent="0.25">
      <c r="A586" s="1172">
        <v>2022580</v>
      </c>
      <c r="B586" s="1270" t="s">
        <v>459</v>
      </c>
      <c r="C586" s="1270"/>
      <c r="D586" s="1190" t="s">
        <v>682</v>
      </c>
      <c r="E586" s="1270" t="s">
        <v>778</v>
      </c>
      <c r="F586" s="1197" t="s">
        <v>1178</v>
      </c>
      <c r="G586" s="1277" t="s">
        <v>1617</v>
      </c>
      <c r="H586" s="1277" t="s">
        <v>1617</v>
      </c>
      <c r="I586" s="1268" t="s">
        <v>1676</v>
      </c>
      <c r="J586" s="1268" t="s">
        <v>1665</v>
      </c>
      <c r="K586" s="1176" t="s">
        <v>43</v>
      </c>
      <c r="L586" s="1271"/>
      <c r="M586" s="1249">
        <v>85650000</v>
      </c>
      <c r="N586" s="1175"/>
      <c r="O586" s="1175"/>
    </row>
    <row r="587" spans="1:18" ht="45" x14ac:dyDescent="0.25">
      <c r="A587" s="1172">
        <v>2022581</v>
      </c>
      <c r="B587" s="1270" t="s">
        <v>459</v>
      </c>
      <c r="C587" s="1270"/>
      <c r="D587" s="1190" t="s">
        <v>682</v>
      </c>
      <c r="E587" s="1270" t="s">
        <v>778</v>
      </c>
      <c r="F587" s="1197" t="s">
        <v>1179</v>
      </c>
      <c r="G587" s="1277" t="s">
        <v>1617</v>
      </c>
      <c r="H587" s="1277" t="s">
        <v>1617</v>
      </c>
      <c r="I587" s="1268" t="s">
        <v>1676</v>
      </c>
      <c r="J587" s="1268" t="s">
        <v>1665</v>
      </c>
      <c r="K587" s="1176" t="s">
        <v>43</v>
      </c>
      <c r="L587" s="1271"/>
      <c r="M587" s="1249">
        <v>55350000</v>
      </c>
      <c r="N587" s="1175"/>
      <c r="O587" s="1175"/>
    </row>
    <row r="588" spans="1:18" ht="45" x14ac:dyDescent="0.25">
      <c r="A588" s="1172">
        <v>2022582</v>
      </c>
      <c r="B588" s="1270" t="s">
        <v>459</v>
      </c>
      <c r="C588" s="1270"/>
      <c r="D588" s="1190" t="s">
        <v>682</v>
      </c>
      <c r="E588" s="1270" t="s">
        <v>778</v>
      </c>
      <c r="F588" s="1197" t="s">
        <v>1180</v>
      </c>
      <c r="G588" s="1277" t="s">
        <v>1617</v>
      </c>
      <c r="H588" s="1277" t="s">
        <v>1617</v>
      </c>
      <c r="I588" s="1268" t="s">
        <v>1563</v>
      </c>
      <c r="J588" s="1268" t="s">
        <v>1665</v>
      </c>
      <c r="K588" s="1176" t="s">
        <v>43</v>
      </c>
      <c r="L588" s="1271"/>
      <c r="M588" s="1249">
        <v>99000000</v>
      </c>
      <c r="N588" s="1175"/>
      <c r="O588" s="1175"/>
    </row>
    <row r="589" spans="1:18" ht="75" x14ac:dyDescent="0.25">
      <c r="A589" s="1172">
        <v>2022583</v>
      </c>
      <c r="B589" s="1270" t="s">
        <v>459</v>
      </c>
      <c r="C589" s="1270"/>
      <c r="D589" s="1190" t="s">
        <v>698</v>
      </c>
      <c r="E589" s="1270" t="s">
        <v>1181</v>
      </c>
      <c r="F589" s="1197" t="s">
        <v>1182</v>
      </c>
      <c r="G589" s="1277" t="s">
        <v>1617</v>
      </c>
      <c r="H589" s="1277" t="s">
        <v>1617</v>
      </c>
      <c r="I589" s="1268" t="s">
        <v>1543</v>
      </c>
      <c r="J589" s="1268" t="s">
        <v>1677</v>
      </c>
      <c r="K589" s="1176" t="s">
        <v>43</v>
      </c>
      <c r="L589" s="1271"/>
      <c r="M589" s="1249">
        <v>22000000</v>
      </c>
      <c r="N589" s="1175"/>
      <c r="O589" s="1175"/>
    </row>
    <row r="590" spans="1:18" ht="30" x14ac:dyDescent="0.25">
      <c r="A590" s="1172">
        <v>2022584</v>
      </c>
      <c r="B590" s="1270" t="s">
        <v>459</v>
      </c>
      <c r="C590" s="1270"/>
      <c r="D590" s="1190" t="s">
        <v>701</v>
      </c>
      <c r="E590" s="1270" t="s">
        <v>1183</v>
      </c>
      <c r="F590" s="1197" t="s">
        <v>1184</v>
      </c>
      <c r="G590" s="1268" t="s">
        <v>1624</v>
      </c>
      <c r="H590" s="1268" t="s">
        <v>1624</v>
      </c>
      <c r="I590" s="1268" t="s">
        <v>1663</v>
      </c>
      <c r="J590" s="1268" t="s">
        <v>1665</v>
      </c>
      <c r="K590" s="1176" t="s">
        <v>43</v>
      </c>
      <c r="L590" s="1271"/>
      <c r="M590" s="1249">
        <v>700102000</v>
      </c>
      <c r="N590" s="1175"/>
      <c r="O590" s="1175"/>
    </row>
    <row r="591" spans="1:18" ht="180" x14ac:dyDescent="0.25">
      <c r="A591" s="1172">
        <v>2022585</v>
      </c>
      <c r="B591" s="1270" t="s">
        <v>459</v>
      </c>
      <c r="C591" s="1270"/>
      <c r="D591" s="1190" t="s">
        <v>695</v>
      </c>
      <c r="E591" s="1270" t="s">
        <v>1678</v>
      </c>
      <c r="F591" s="1197" t="s">
        <v>1679</v>
      </c>
      <c r="G591" s="1268" t="s">
        <v>1632</v>
      </c>
      <c r="H591" s="1268" t="s">
        <v>1632</v>
      </c>
      <c r="I591" s="1268" t="s">
        <v>1663</v>
      </c>
      <c r="J591" s="1268" t="s">
        <v>1668</v>
      </c>
      <c r="K591" s="1176" t="s">
        <v>43</v>
      </c>
      <c r="L591" s="1271"/>
      <c r="M591" s="1249">
        <v>40000000</v>
      </c>
      <c r="N591" s="1175"/>
      <c r="O591" s="1175"/>
      <c r="R591" s="330"/>
    </row>
    <row r="592" spans="1:18" ht="45" x14ac:dyDescent="0.25">
      <c r="A592" s="1172">
        <v>2022586</v>
      </c>
      <c r="B592" s="1270" t="s">
        <v>459</v>
      </c>
      <c r="C592" s="1270"/>
      <c r="D592" s="1190" t="s">
        <v>695</v>
      </c>
      <c r="E592" s="1270" t="s">
        <v>1185</v>
      </c>
      <c r="F592" s="1197" t="s">
        <v>1186</v>
      </c>
      <c r="G592" s="1268" t="s">
        <v>1618</v>
      </c>
      <c r="H592" s="1268" t="s">
        <v>1618</v>
      </c>
      <c r="I592" s="1268" t="s">
        <v>1673</v>
      </c>
      <c r="J592" s="1268" t="s">
        <v>1668</v>
      </c>
      <c r="K592" s="1176" t="s">
        <v>43</v>
      </c>
      <c r="L592" s="1271"/>
      <c r="M592" s="1249">
        <v>870000000</v>
      </c>
      <c r="N592" s="1175"/>
      <c r="O592" s="1175"/>
    </row>
    <row r="593" spans="1:18" ht="30" x14ac:dyDescent="0.25">
      <c r="A593" s="1172">
        <v>2022587</v>
      </c>
      <c r="B593" s="1270" t="s">
        <v>459</v>
      </c>
      <c r="C593" s="1270"/>
      <c r="D593" s="1190" t="s">
        <v>695</v>
      </c>
      <c r="E593" s="1270" t="s">
        <v>1187</v>
      </c>
      <c r="F593" s="1197" t="s">
        <v>1188</v>
      </c>
      <c r="G593" s="1268" t="s">
        <v>1680</v>
      </c>
      <c r="H593" s="1268" t="s">
        <v>1680</v>
      </c>
      <c r="I593" s="1268" t="s">
        <v>1189</v>
      </c>
      <c r="J593" s="1268"/>
      <c r="K593" s="1176" t="s">
        <v>43</v>
      </c>
      <c r="L593" s="1271"/>
      <c r="M593" s="1249">
        <v>150000000</v>
      </c>
      <c r="N593" s="1175"/>
      <c r="O593" s="1175"/>
    </row>
    <row r="594" spans="1:18" ht="30" x14ac:dyDescent="0.25">
      <c r="A594" s="1172">
        <v>2022588</v>
      </c>
      <c r="B594" s="1270" t="s">
        <v>459</v>
      </c>
      <c r="C594" s="1270"/>
      <c r="D594" s="1190" t="s">
        <v>695</v>
      </c>
      <c r="E594" s="1270" t="s">
        <v>1190</v>
      </c>
      <c r="F594" s="1197" t="s">
        <v>1191</v>
      </c>
      <c r="G594" s="1268" t="s">
        <v>1637</v>
      </c>
      <c r="H594" s="1268" t="s">
        <v>1637</v>
      </c>
      <c r="I594" s="1268" t="s">
        <v>1664</v>
      </c>
      <c r="J594" s="1268" t="s">
        <v>1674</v>
      </c>
      <c r="K594" s="1176" t="s">
        <v>43</v>
      </c>
      <c r="L594" s="1271"/>
      <c r="M594" s="1249">
        <v>250000000</v>
      </c>
      <c r="N594" s="1175"/>
      <c r="O594" s="1175"/>
    </row>
    <row r="595" spans="1:18" ht="75" x14ac:dyDescent="0.25">
      <c r="A595" s="1182">
        <v>2022589</v>
      </c>
      <c r="B595" s="1273" t="s">
        <v>459</v>
      </c>
      <c r="C595" s="1273"/>
      <c r="D595" s="1227" t="s">
        <v>695</v>
      </c>
      <c r="E595" s="1273" t="s">
        <v>1192</v>
      </c>
      <c r="F595" s="1275" t="s">
        <v>1193</v>
      </c>
      <c r="G595" s="1265" t="s">
        <v>1618</v>
      </c>
      <c r="H595" s="1265" t="s">
        <v>1618</v>
      </c>
      <c r="I595" s="1265" t="s">
        <v>1673</v>
      </c>
      <c r="J595" s="1265" t="s">
        <v>1677</v>
      </c>
      <c r="K595" s="1184" t="s">
        <v>43</v>
      </c>
      <c r="L595" s="1276"/>
      <c r="M595" s="1188">
        <f>50000000-29250000</f>
        <v>20750000</v>
      </c>
      <c r="N595" s="1185"/>
      <c r="O595" s="1185"/>
      <c r="R595" s="1159"/>
    </row>
    <row r="596" spans="1:18" ht="60" x14ac:dyDescent="0.25">
      <c r="A596" s="1172">
        <v>2022590</v>
      </c>
      <c r="B596" s="1270" t="s">
        <v>459</v>
      </c>
      <c r="C596" s="1270"/>
      <c r="D596" s="1190" t="s">
        <v>695</v>
      </c>
      <c r="E596" s="1270" t="s">
        <v>1189</v>
      </c>
      <c r="F596" s="1197" t="s">
        <v>1194</v>
      </c>
      <c r="G596" s="1268" t="s">
        <v>1624</v>
      </c>
      <c r="H596" s="1268" t="s">
        <v>1624</v>
      </c>
      <c r="I596" s="1268" t="s">
        <v>1667</v>
      </c>
      <c r="J596" s="1268" t="s">
        <v>1681</v>
      </c>
      <c r="K596" s="1176" t="s">
        <v>43</v>
      </c>
      <c r="L596" s="1271"/>
      <c r="M596" s="1249">
        <v>2476000000</v>
      </c>
      <c r="N596" s="1175"/>
      <c r="O596" s="1175"/>
    </row>
    <row r="597" spans="1:18" ht="84" customHeight="1" x14ac:dyDescent="0.25">
      <c r="A597" s="1172">
        <v>2022591</v>
      </c>
      <c r="B597" s="1270" t="s">
        <v>459</v>
      </c>
      <c r="C597" s="1270"/>
      <c r="D597" s="1173" t="s">
        <v>671</v>
      </c>
      <c r="E597" s="1270" t="s">
        <v>1195</v>
      </c>
      <c r="F597" s="1197" t="s">
        <v>1682</v>
      </c>
      <c r="G597" s="1268" t="s">
        <v>1617</v>
      </c>
      <c r="H597" s="1268" t="s">
        <v>1617</v>
      </c>
      <c r="I597" s="1268" t="s">
        <v>1683</v>
      </c>
      <c r="J597" s="1268" t="s">
        <v>1665</v>
      </c>
      <c r="K597" s="1176" t="s">
        <v>43</v>
      </c>
      <c r="L597" s="1271"/>
      <c r="M597" s="1249">
        <v>35000000</v>
      </c>
      <c r="N597" s="1175"/>
      <c r="O597" s="1175"/>
    </row>
    <row r="598" spans="1:18" ht="45" x14ac:dyDescent="0.25">
      <c r="A598" s="1172">
        <v>2022592</v>
      </c>
      <c r="B598" s="1270" t="s">
        <v>459</v>
      </c>
      <c r="C598" s="1270"/>
      <c r="D598" s="1173" t="s">
        <v>671</v>
      </c>
      <c r="E598" s="1270" t="s">
        <v>1195</v>
      </c>
      <c r="F598" s="1197" t="s">
        <v>1197</v>
      </c>
      <c r="G598" s="1268" t="s">
        <v>1617</v>
      </c>
      <c r="H598" s="1268" t="s">
        <v>1617</v>
      </c>
      <c r="I598" s="1268" t="s">
        <v>1683</v>
      </c>
      <c r="J598" s="1268" t="s">
        <v>1684</v>
      </c>
      <c r="K598" s="1176" t="s">
        <v>43</v>
      </c>
      <c r="L598" s="1271"/>
      <c r="M598" s="1249">
        <v>19810000</v>
      </c>
      <c r="N598" s="1175"/>
      <c r="O598" s="1175"/>
    </row>
    <row r="599" spans="1:18" ht="45" x14ac:dyDescent="0.25">
      <c r="A599" s="1172">
        <v>2022593</v>
      </c>
      <c r="B599" s="1270" t="s">
        <v>459</v>
      </c>
      <c r="C599" s="1270"/>
      <c r="D599" s="1173" t="s">
        <v>671</v>
      </c>
      <c r="E599" s="1270" t="s">
        <v>1198</v>
      </c>
      <c r="F599" s="1197" t="s">
        <v>1199</v>
      </c>
      <c r="G599" s="1268" t="s">
        <v>1617</v>
      </c>
      <c r="H599" s="1268" t="s">
        <v>1617</v>
      </c>
      <c r="I599" s="1268" t="s">
        <v>1685</v>
      </c>
      <c r="J599" s="1268" t="s">
        <v>1665</v>
      </c>
      <c r="K599" s="1176" t="s">
        <v>43</v>
      </c>
      <c r="L599" s="1271"/>
      <c r="M599" s="1249">
        <v>10000000</v>
      </c>
      <c r="N599" s="1175"/>
      <c r="O599" s="1175"/>
      <c r="R599" s="1278"/>
    </row>
    <row r="600" spans="1:18" ht="30" x14ac:dyDescent="0.25">
      <c r="A600" s="1172">
        <v>2022594</v>
      </c>
      <c r="B600" s="1270" t="s">
        <v>459</v>
      </c>
      <c r="C600" s="1270"/>
      <c r="D600" s="1173" t="s">
        <v>671</v>
      </c>
      <c r="E600" s="1270" t="s">
        <v>1200</v>
      </c>
      <c r="F600" s="1197" t="s">
        <v>1686</v>
      </c>
      <c r="G600" s="1268" t="s">
        <v>1617</v>
      </c>
      <c r="H600" s="1268" t="s">
        <v>1617</v>
      </c>
      <c r="I600" s="1268" t="s">
        <v>1663</v>
      </c>
      <c r="J600" s="1268" t="s">
        <v>1665</v>
      </c>
      <c r="K600" s="1176" t="s">
        <v>43</v>
      </c>
      <c r="L600" s="1271"/>
      <c r="M600" s="1249">
        <v>8386190</v>
      </c>
      <c r="N600" s="1175"/>
      <c r="O600" s="1175"/>
    </row>
    <row r="601" spans="1:18" ht="30" x14ac:dyDescent="0.25">
      <c r="A601" s="1172">
        <v>2022595</v>
      </c>
      <c r="B601" s="1270" t="s">
        <v>459</v>
      </c>
      <c r="C601" s="1270"/>
      <c r="D601" s="1173" t="s">
        <v>671</v>
      </c>
      <c r="E601" s="1270" t="s">
        <v>1202</v>
      </c>
      <c r="F601" s="1197" t="s">
        <v>1203</v>
      </c>
      <c r="G601" s="1268" t="s">
        <v>1638</v>
      </c>
      <c r="H601" s="1268" t="s">
        <v>1638</v>
      </c>
      <c r="I601" s="1268" t="s">
        <v>1667</v>
      </c>
      <c r="J601" s="1268" t="s">
        <v>1665</v>
      </c>
      <c r="K601" s="1176" t="s">
        <v>43</v>
      </c>
      <c r="L601" s="1271"/>
      <c r="M601" s="1249">
        <v>35000000</v>
      </c>
      <c r="N601" s="1175"/>
      <c r="O601" s="1175"/>
    </row>
    <row r="602" spans="1:18" ht="45" x14ac:dyDescent="0.25">
      <c r="A602" s="1172">
        <v>2022596</v>
      </c>
      <c r="B602" s="1270" t="s">
        <v>459</v>
      </c>
      <c r="C602" s="1270"/>
      <c r="D602" s="1173" t="s">
        <v>671</v>
      </c>
      <c r="E602" s="1270" t="s">
        <v>1204</v>
      </c>
      <c r="F602" s="1197" t="s">
        <v>1687</v>
      </c>
      <c r="G602" s="1268" t="s">
        <v>1637</v>
      </c>
      <c r="H602" s="1268" t="s">
        <v>1637</v>
      </c>
      <c r="I602" s="1268" t="s">
        <v>1683</v>
      </c>
      <c r="J602" s="1268" t="s">
        <v>1564</v>
      </c>
      <c r="K602" s="1176" t="s">
        <v>43</v>
      </c>
      <c r="L602" s="1271"/>
      <c r="M602" s="1249">
        <v>35000000</v>
      </c>
      <c r="N602" s="1175"/>
      <c r="O602" s="1175"/>
    </row>
    <row r="603" spans="1:18" ht="75" x14ac:dyDescent="0.25">
      <c r="A603" s="1182">
        <v>2022597</v>
      </c>
      <c r="B603" s="1273" t="s">
        <v>459</v>
      </c>
      <c r="C603" s="1273"/>
      <c r="D603" s="1279" t="s">
        <v>671</v>
      </c>
      <c r="E603" s="1273" t="s">
        <v>1206</v>
      </c>
      <c r="F603" s="1275" t="s">
        <v>1207</v>
      </c>
      <c r="G603" s="1265" t="s">
        <v>1618</v>
      </c>
      <c r="H603" s="1265" t="s">
        <v>1618</v>
      </c>
      <c r="I603" s="1265" t="s">
        <v>1663</v>
      </c>
      <c r="J603" s="1265" t="s">
        <v>1564</v>
      </c>
      <c r="K603" s="1184" t="s">
        <v>43</v>
      </c>
      <c r="L603" s="1276"/>
      <c r="M603" s="1188">
        <f>300000000-81890487</f>
        <v>218109513</v>
      </c>
      <c r="N603" s="1185"/>
      <c r="O603" s="1185"/>
      <c r="R603" s="1159"/>
    </row>
    <row r="604" spans="1:18" ht="60" x14ac:dyDescent="0.25">
      <c r="A604" s="1172">
        <v>2022598</v>
      </c>
      <c r="B604" s="1270" t="s">
        <v>459</v>
      </c>
      <c r="C604" s="1270"/>
      <c r="D604" s="1173" t="s">
        <v>671</v>
      </c>
      <c r="E604" s="1270" t="s">
        <v>1208</v>
      </c>
      <c r="F604" s="1197" t="s">
        <v>1209</v>
      </c>
      <c r="G604" s="1268" t="s">
        <v>1617</v>
      </c>
      <c r="H604" s="1268" t="s">
        <v>1617</v>
      </c>
      <c r="I604" s="1268" t="s">
        <v>1689</v>
      </c>
      <c r="J604" s="1268" t="s">
        <v>1665</v>
      </c>
      <c r="K604" s="1176" t="s">
        <v>43</v>
      </c>
      <c r="L604" s="1271"/>
      <c r="M604" s="1249">
        <v>120473160</v>
      </c>
      <c r="N604" s="1175"/>
      <c r="O604" s="1175"/>
    </row>
    <row r="605" spans="1:18" ht="45" x14ac:dyDescent="0.25">
      <c r="A605" s="1172">
        <v>2022599</v>
      </c>
      <c r="B605" s="1270" t="s">
        <v>459</v>
      </c>
      <c r="C605" s="1270"/>
      <c r="D605" s="1173" t="s">
        <v>671</v>
      </c>
      <c r="E605" s="1270" t="s">
        <v>1208</v>
      </c>
      <c r="F605" s="1197" t="s">
        <v>1211</v>
      </c>
      <c r="G605" s="1268" t="s">
        <v>1632</v>
      </c>
      <c r="H605" s="1268" t="s">
        <v>1632</v>
      </c>
      <c r="I605" s="1268" t="s">
        <v>1690</v>
      </c>
      <c r="J605" s="1268" t="s">
        <v>1665</v>
      </c>
      <c r="K605" s="1176" t="s">
        <v>43</v>
      </c>
      <c r="L605" s="1271"/>
      <c r="M605" s="1249">
        <v>171518585</v>
      </c>
      <c r="N605" s="1175"/>
      <c r="O605" s="1175"/>
    </row>
    <row r="606" spans="1:18" ht="30" x14ac:dyDescent="0.25">
      <c r="A606" s="1172">
        <v>2022600</v>
      </c>
      <c r="B606" s="1270" t="s">
        <v>459</v>
      </c>
      <c r="C606" s="1270"/>
      <c r="D606" s="1173" t="s">
        <v>671</v>
      </c>
      <c r="E606" s="1270" t="s">
        <v>1189</v>
      </c>
      <c r="F606" s="1197" t="s">
        <v>1212</v>
      </c>
      <c r="G606" s="1268" t="s">
        <v>1189</v>
      </c>
      <c r="H606" s="1268" t="s">
        <v>1189</v>
      </c>
      <c r="I606" s="1268" t="s">
        <v>1189</v>
      </c>
      <c r="J606" s="1268" t="s">
        <v>1189</v>
      </c>
      <c r="K606" s="1176"/>
      <c r="L606" s="1271"/>
      <c r="M606" s="1249">
        <v>1613810</v>
      </c>
      <c r="N606" s="1175"/>
      <c r="O606" s="1175"/>
    </row>
    <row r="607" spans="1:18" ht="30" x14ac:dyDescent="0.25">
      <c r="A607" s="1172">
        <v>2022601</v>
      </c>
      <c r="B607" s="1270" t="s">
        <v>459</v>
      </c>
      <c r="C607" s="1270"/>
      <c r="D607" s="1173" t="s">
        <v>671</v>
      </c>
      <c r="E607" s="1270" t="s">
        <v>1189</v>
      </c>
      <c r="F607" s="1197" t="s">
        <v>1213</v>
      </c>
      <c r="G607" s="1268" t="s">
        <v>1189</v>
      </c>
      <c r="H607" s="1268" t="s">
        <v>1189</v>
      </c>
      <c r="I607" s="1268" t="s">
        <v>1189</v>
      </c>
      <c r="J607" s="1268" t="s">
        <v>1189</v>
      </c>
      <c r="K607" s="1176"/>
      <c r="L607" s="1271"/>
      <c r="M607" s="1249">
        <v>8008255</v>
      </c>
      <c r="N607" s="1175"/>
      <c r="O607" s="1175"/>
    </row>
    <row r="608" spans="1:18" s="330" customFormat="1" ht="105" x14ac:dyDescent="0.25">
      <c r="A608" s="1172">
        <v>2022602</v>
      </c>
      <c r="B608" s="1280">
        <v>7637</v>
      </c>
      <c r="C608" s="1268" t="s">
        <v>643</v>
      </c>
      <c r="D608" s="1173" t="s">
        <v>671</v>
      </c>
      <c r="E608" s="1280">
        <v>80111600</v>
      </c>
      <c r="F608" s="1197" t="s">
        <v>1214</v>
      </c>
      <c r="G608" s="1268" t="s">
        <v>1495</v>
      </c>
      <c r="H608" s="1268" t="s">
        <v>1495</v>
      </c>
      <c r="I608" s="1268" t="s">
        <v>1691</v>
      </c>
      <c r="J608" s="1268" t="s">
        <v>1535</v>
      </c>
      <c r="K608" s="1176" t="s">
        <v>674</v>
      </c>
      <c r="L608" s="1281" t="s">
        <v>675</v>
      </c>
      <c r="M608" s="1249">
        <v>3500000</v>
      </c>
      <c r="N608" s="1175" t="s">
        <v>732</v>
      </c>
      <c r="O608" s="1175" t="s">
        <v>1497</v>
      </c>
      <c r="R608" s="1207"/>
    </row>
    <row r="609" spans="1:18" ht="90" x14ac:dyDescent="0.25">
      <c r="A609" s="1172">
        <v>2022603</v>
      </c>
      <c r="B609" s="1172">
        <v>7655</v>
      </c>
      <c r="C609" s="1172" t="s">
        <v>668</v>
      </c>
      <c r="D609" s="1190" t="s">
        <v>671</v>
      </c>
      <c r="E609" s="1172">
        <v>80111600</v>
      </c>
      <c r="F609" s="1192" t="s">
        <v>1215</v>
      </c>
      <c r="G609" s="1193" t="s">
        <v>1495</v>
      </c>
      <c r="H609" s="1212" t="s">
        <v>1495</v>
      </c>
      <c r="I609" s="1215" t="s">
        <v>1537</v>
      </c>
      <c r="J609" s="1195" t="s">
        <v>1535</v>
      </c>
      <c r="K609" s="1176" t="s">
        <v>674</v>
      </c>
      <c r="L609" s="1176" t="s">
        <v>675</v>
      </c>
      <c r="M609" s="1179">
        <v>42000000</v>
      </c>
      <c r="N609" s="1214" t="s">
        <v>726</v>
      </c>
      <c r="O609" s="1206" t="s">
        <v>1536</v>
      </c>
      <c r="R609" s="1159"/>
    </row>
    <row r="610" spans="1:18" ht="60" x14ac:dyDescent="0.25">
      <c r="A610" s="1172">
        <v>2022604</v>
      </c>
      <c r="B610" s="1172">
        <v>7655</v>
      </c>
      <c r="C610" s="1172" t="s">
        <v>668</v>
      </c>
      <c r="D610" s="1190" t="s">
        <v>682</v>
      </c>
      <c r="E610" s="1172">
        <v>80111600</v>
      </c>
      <c r="F610" s="1192" t="s">
        <v>1216</v>
      </c>
      <c r="G610" s="1224">
        <v>44578</v>
      </c>
      <c r="H610" s="1224">
        <v>44578</v>
      </c>
      <c r="I610" s="1194" t="s">
        <v>1692</v>
      </c>
      <c r="J610" s="1195" t="s">
        <v>1535</v>
      </c>
      <c r="K610" s="1176" t="s">
        <v>674</v>
      </c>
      <c r="L610" s="1176" t="s">
        <v>675</v>
      </c>
      <c r="M610" s="1179">
        <v>28175000</v>
      </c>
      <c r="N610" s="1197" t="s">
        <v>730</v>
      </c>
      <c r="O610" s="1197" t="s">
        <v>1536</v>
      </c>
      <c r="R610" s="1159"/>
    </row>
    <row r="611" spans="1:18" ht="60" x14ac:dyDescent="0.25">
      <c r="A611" s="1172">
        <v>2022605</v>
      </c>
      <c r="B611" s="1172">
        <v>7655</v>
      </c>
      <c r="C611" s="1172" t="s">
        <v>668</v>
      </c>
      <c r="D611" s="1190" t="s">
        <v>671</v>
      </c>
      <c r="E611" s="1172">
        <v>80111600</v>
      </c>
      <c r="F611" s="1192" t="s">
        <v>1217</v>
      </c>
      <c r="G611" s="1193" t="s">
        <v>1495</v>
      </c>
      <c r="H611" s="1212" t="s">
        <v>1495</v>
      </c>
      <c r="I611" s="1282" t="s">
        <v>1541</v>
      </c>
      <c r="J611" s="1195" t="s">
        <v>1535</v>
      </c>
      <c r="K611" s="1176" t="s">
        <v>674</v>
      </c>
      <c r="L611" s="1176" t="s">
        <v>675</v>
      </c>
      <c r="M611" s="1179">
        <f>10*4500000</f>
        <v>45000000</v>
      </c>
      <c r="N611" s="1197" t="s">
        <v>730</v>
      </c>
      <c r="O611" s="1206" t="s">
        <v>1536</v>
      </c>
      <c r="R611" s="1159"/>
    </row>
    <row r="612" spans="1:18" ht="60" x14ac:dyDescent="0.25">
      <c r="A612" s="1172">
        <v>2022606</v>
      </c>
      <c r="B612" s="1172">
        <v>7655</v>
      </c>
      <c r="C612" s="1172" t="s">
        <v>668</v>
      </c>
      <c r="D612" s="1190" t="s">
        <v>682</v>
      </c>
      <c r="E612" s="1172">
        <v>80111600</v>
      </c>
      <c r="F612" s="1197" t="s">
        <v>1218</v>
      </c>
      <c r="G612" s="1283">
        <v>44582</v>
      </c>
      <c r="H612" s="1283">
        <v>44582</v>
      </c>
      <c r="I612" s="1268" t="s">
        <v>1663</v>
      </c>
      <c r="J612" s="1195" t="s">
        <v>1535</v>
      </c>
      <c r="K612" s="1176" t="s">
        <v>674</v>
      </c>
      <c r="L612" s="1176" t="s">
        <v>675</v>
      </c>
      <c r="M612" s="1179">
        <v>19200000</v>
      </c>
      <c r="N612" s="1197" t="s">
        <v>730</v>
      </c>
      <c r="O612" s="1206" t="s">
        <v>1536</v>
      </c>
      <c r="R612" s="1159"/>
    </row>
    <row r="613" spans="1:18" ht="105" x14ac:dyDescent="0.25">
      <c r="A613" s="1172">
        <v>2022607</v>
      </c>
      <c r="B613" s="1280" t="s">
        <v>97</v>
      </c>
      <c r="C613" s="1280" t="s">
        <v>97</v>
      </c>
      <c r="D613" s="1190" t="s">
        <v>689</v>
      </c>
      <c r="E613" s="1270" t="s">
        <v>1219</v>
      </c>
      <c r="F613" s="1197" t="s">
        <v>1220</v>
      </c>
      <c r="G613" s="1277">
        <v>44606</v>
      </c>
      <c r="H613" s="1268"/>
      <c r="I613" s="1268" t="s">
        <v>1693</v>
      </c>
      <c r="J613" s="1268" t="s">
        <v>1694</v>
      </c>
      <c r="K613" s="1176" t="s">
        <v>97</v>
      </c>
      <c r="L613" s="1271" t="s">
        <v>97</v>
      </c>
      <c r="M613" s="1249">
        <v>0</v>
      </c>
      <c r="N613" s="1175" t="s">
        <v>97</v>
      </c>
      <c r="O613" s="1175" t="s">
        <v>97</v>
      </c>
    </row>
    <row r="614" spans="1:18" ht="105" x14ac:dyDescent="0.25">
      <c r="A614" s="1191">
        <v>2022608</v>
      </c>
      <c r="B614" s="1191">
        <v>7637</v>
      </c>
      <c r="C614" s="1191" t="s">
        <v>643</v>
      </c>
      <c r="D614" s="1243" t="s">
        <v>671</v>
      </c>
      <c r="E614" s="1284">
        <v>80111600</v>
      </c>
      <c r="F614" s="1243" t="s">
        <v>1221</v>
      </c>
      <c r="G614" s="1285" t="s">
        <v>1495</v>
      </c>
      <c r="H614" s="1285" t="s">
        <v>1495</v>
      </c>
      <c r="I614" s="1285">
        <v>10</v>
      </c>
      <c r="J614" s="1285" t="s">
        <v>1496</v>
      </c>
      <c r="K614" s="1285" t="s">
        <v>674</v>
      </c>
      <c r="L614" s="1286" t="s">
        <v>675</v>
      </c>
      <c r="M614" s="1196">
        <v>23400000</v>
      </c>
      <c r="N614" s="1287" t="s">
        <v>732</v>
      </c>
      <c r="O614" s="1287" t="s">
        <v>1497</v>
      </c>
      <c r="R614" s="1159"/>
    </row>
    <row r="615" spans="1:18" s="1278" customFormat="1" ht="60" x14ac:dyDescent="0.3">
      <c r="A615" s="1182">
        <v>2022609</v>
      </c>
      <c r="B615" s="1182">
        <v>7658</v>
      </c>
      <c r="C615" s="1265" t="s">
        <v>679</v>
      </c>
      <c r="D615" s="1182" t="s">
        <v>692</v>
      </c>
      <c r="E615" s="1182" t="s">
        <v>1528</v>
      </c>
      <c r="F615" s="1182" t="s">
        <v>1223</v>
      </c>
      <c r="G615" s="1182" t="s">
        <v>1495</v>
      </c>
      <c r="H615" s="1182" t="s">
        <v>1495</v>
      </c>
      <c r="I615" s="1182" t="s">
        <v>1695</v>
      </c>
      <c r="J615" s="1182" t="s">
        <v>1629</v>
      </c>
      <c r="K615" s="1182" t="s">
        <v>674</v>
      </c>
      <c r="L615" s="1182" t="s">
        <v>675</v>
      </c>
      <c r="M615" s="1288">
        <f>181080376-104794000</f>
        <v>76286376</v>
      </c>
      <c r="N615" s="1182" t="s">
        <v>741</v>
      </c>
      <c r="O615" s="1182" t="s">
        <v>1620</v>
      </c>
      <c r="R615" s="1159"/>
    </row>
    <row r="616" spans="1:18" ht="105" x14ac:dyDescent="0.25">
      <c r="A616" s="1172">
        <v>2022610</v>
      </c>
      <c r="B616" s="1270" t="s">
        <v>459</v>
      </c>
      <c r="C616" s="1270"/>
      <c r="D616" s="1173" t="s">
        <v>671</v>
      </c>
      <c r="E616" s="1172" t="s">
        <v>1206</v>
      </c>
      <c r="F616" s="1197" t="s">
        <v>1224</v>
      </c>
      <c r="G616" s="1268" t="s">
        <v>1624</v>
      </c>
      <c r="H616" s="1268" t="s">
        <v>1624</v>
      </c>
      <c r="I616" s="1289" t="s">
        <v>1696</v>
      </c>
      <c r="J616" s="1268" t="s">
        <v>1564</v>
      </c>
      <c r="K616" s="1176" t="s">
        <v>43</v>
      </c>
      <c r="L616" s="1271"/>
      <c r="M616" s="1249">
        <v>81890487</v>
      </c>
      <c r="N616" s="1175"/>
      <c r="O616" s="1175"/>
    </row>
    <row r="617" spans="1:18" ht="75.599999999999994" customHeight="1" x14ac:dyDescent="0.25">
      <c r="A617" s="1272">
        <v>2022611</v>
      </c>
      <c r="B617" s="1265">
        <v>7658</v>
      </c>
      <c r="C617" s="1265" t="s">
        <v>679</v>
      </c>
      <c r="D617" s="1265" t="s">
        <v>692</v>
      </c>
      <c r="E617" s="1290"/>
      <c r="F617" s="1273" t="s">
        <v>1111</v>
      </c>
      <c r="G617" s="1291"/>
      <c r="H617" s="1291"/>
      <c r="I617" s="1291"/>
      <c r="J617" s="1291"/>
      <c r="K617" s="1182" t="s">
        <v>674</v>
      </c>
      <c r="L617" s="1183" t="s">
        <v>675</v>
      </c>
      <c r="M617" s="1188">
        <v>560000</v>
      </c>
      <c r="N617" s="1185" t="s">
        <v>741</v>
      </c>
      <c r="O617" s="1185" t="s">
        <v>1620</v>
      </c>
      <c r="R617" s="1159"/>
    </row>
    <row r="618" spans="1:18" ht="125.4" customHeight="1" x14ac:dyDescent="0.25">
      <c r="A618" s="1272">
        <v>2022612</v>
      </c>
      <c r="B618" s="1265">
        <v>7637</v>
      </c>
      <c r="C618" s="1265" t="s">
        <v>643</v>
      </c>
      <c r="D618" s="1265" t="s">
        <v>671</v>
      </c>
      <c r="E618" s="1265" t="s">
        <v>1206</v>
      </c>
      <c r="F618" s="1274" t="s">
        <v>1207</v>
      </c>
      <c r="G618" s="1272" t="s">
        <v>1618</v>
      </c>
      <c r="H618" s="1272" t="s">
        <v>1618</v>
      </c>
      <c r="I618" s="1272" t="s">
        <v>1663</v>
      </c>
      <c r="J618" s="1274" t="s">
        <v>1564</v>
      </c>
      <c r="K618" s="1182" t="s">
        <v>674</v>
      </c>
      <c r="L618" s="1183" t="s">
        <v>735</v>
      </c>
      <c r="M618" s="1188">
        <v>55735449</v>
      </c>
      <c r="N618" s="1187" t="s">
        <v>732</v>
      </c>
      <c r="O618" s="1187" t="s">
        <v>1497</v>
      </c>
      <c r="R618" s="1180"/>
    </row>
    <row r="619" spans="1:18" ht="75" x14ac:dyDescent="0.3">
      <c r="A619" s="1272">
        <v>2022613</v>
      </c>
      <c r="B619" s="1292">
        <v>7658</v>
      </c>
      <c r="C619" s="1292" t="s">
        <v>679</v>
      </c>
      <c r="D619" s="1292" t="s">
        <v>698</v>
      </c>
      <c r="E619" s="1293"/>
      <c r="F619" s="1185" t="s">
        <v>1225</v>
      </c>
      <c r="G619" s="1292" t="s">
        <v>1501</v>
      </c>
      <c r="H619" s="1292" t="s">
        <v>1501</v>
      </c>
      <c r="I619" s="1294" t="s">
        <v>97</v>
      </c>
      <c r="J619" s="1294" t="s">
        <v>97</v>
      </c>
      <c r="K619" s="1292" t="s">
        <v>674</v>
      </c>
      <c r="L619" s="1295" t="s">
        <v>1704</v>
      </c>
      <c r="M619" s="1186">
        <v>35781881</v>
      </c>
      <c r="N619" s="1185" t="s">
        <v>1651</v>
      </c>
      <c r="O619" s="1185" t="s">
        <v>1562</v>
      </c>
      <c r="P619" s="1296"/>
      <c r="R619" s="1159"/>
    </row>
    <row r="620" spans="1:18" ht="75" x14ac:dyDescent="0.3">
      <c r="A620" s="1272">
        <v>2022614</v>
      </c>
      <c r="B620" s="1292">
        <v>7658</v>
      </c>
      <c r="C620" s="1292" t="s">
        <v>679</v>
      </c>
      <c r="D620" s="1292" t="s">
        <v>698</v>
      </c>
      <c r="E620" s="1293"/>
      <c r="F620" s="1185" t="s">
        <v>1226</v>
      </c>
      <c r="G620" s="1292" t="s">
        <v>1501</v>
      </c>
      <c r="H620" s="1292" t="s">
        <v>1501</v>
      </c>
      <c r="I620" s="1294" t="s">
        <v>97</v>
      </c>
      <c r="J620" s="1294" t="s">
        <v>97</v>
      </c>
      <c r="K620" s="1292" t="s">
        <v>674</v>
      </c>
      <c r="L620" s="1295" t="s">
        <v>1705</v>
      </c>
      <c r="M620" s="1186">
        <f>27886255+576000</f>
        <v>28462255</v>
      </c>
      <c r="N620" s="1185" t="s">
        <v>1651</v>
      </c>
      <c r="O620" s="1185" t="s">
        <v>1562</v>
      </c>
      <c r="P620" s="1296"/>
      <c r="R620" s="1159"/>
    </row>
    <row r="621" spans="1:18" ht="75" x14ac:dyDescent="0.3">
      <c r="A621" s="1272">
        <v>2022615</v>
      </c>
      <c r="B621" s="1292">
        <v>7658</v>
      </c>
      <c r="C621" s="1292" t="s">
        <v>679</v>
      </c>
      <c r="D621" s="1292" t="s">
        <v>698</v>
      </c>
      <c r="E621" s="1293"/>
      <c r="F621" s="1185" t="s">
        <v>1228</v>
      </c>
      <c r="G621" s="1292" t="s">
        <v>1501</v>
      </c>
      <c r="H621" s="1292" t="s">
        <v>1501</v>
      </c>
      <c r="I621" s="1294" t="s">
        <v>97</v>
      </c>
      <c r="J621" s="1294" t="s">
        <v>97</v>
      </c>
      <c r="K621" s="1292" t="s">
        <v>674</v>
      </c>
      <c r="L621" s="1295" t="s">
        <v>1706</v>
      </c>
      <c r="M621" s="1186">
        <v>46885058</v>
      </c>
      <c r="N621" s="1185" t="s">
        <v>724</v>
      </c>
      <c r="O621" s="1185" t="s">
        <v>1562</v>
      </c>
      <c r="P621" s="1296"/>
      <c r="R621" s="1159"/>
    </row>
    <row r="622" spans="1:18" ht="75" x14ac:dyDescent="0.3">
      <c r="A622" s="1272">
        <v>2022616</v>
      </c>
      <c r="B622" s="1292">
        <v>7658</v>
      </c>
      <c r="C622" s="1292" t="s">
        <v>679</v>
      </c>
      <c r="D622" s="1292" t="s">
        <v>698</v>
      </c>
      <c r="E622" s="1293"/>
      <c r="F622" s="1185" t="s">
        <v>1229</v>
      </c>
      <c r="G622" s="1292" t="s">
        <v>1501</v>
      </c>
      <c r="H622" s="1292" t="s">
        <v>1501</v>
      </c>
      <c r="I622" s="1294" t="s">
        <v>97</v>
      </c>
      <c r="J622" s="1294" t="s">
        <v>97</v>
      </c>
      <c r="K622" s="1292" t="s">
        <v>674</v>
      </c>
      <c r="L622" s="1295" t="s">
        <v>1707</v>
      </c>
      <c r="M622" s="1186">
        <v>432800</v>
      </c>
      <c r="N622" s="1185" t="s">
        <v>1651</v>
      </c>
      <c r="O622" s="1185" t="s">
        <v>1562</v>
      </c>
      <c r="P622" s="1296"/>
      <c r="R622" s="1159"/>
    </row>
    <row r="623" spans="1:18" ht="90" x14ac:dyDescent="0.25">
      <c r="A623" s="1272">
        <v>2022617</v>
      </c>
      <c r="B623" s="1292">
        <v>7658</v>
      </c>
      <c r="C623" s="1292" t="s">
        <v>679</v>
      </c>
      <c r="D623" s="1292" t="s">
        <v>698</v>
      </c>
      <c r="E623" s="1292" t="s">
        <v>1102</v>
      </c>
      <c r="F623" s="1185" t="s">
        <v>1231</v>
      </c>
      <c r="G623" s="1292" t="s">
        <v>1505</v>
      </c>
      <c r="H623" s="1292" t="s">
        <v>1505</v>
      </c>
      <c r="I623" s="1292" t="s">
        <v>1654</v>
      </c>
      <c r="J623" s="1292" t="s">
        <v>1605</v>
      </c>
      <c r="K623" s="1292" t="s">
        <v>674</v>
      </c>
      <c r="L623" s="1297" t="s">
        <v>994</v>
      </c>
      <c r="M623" s="1186">
        <v>175000000</v>
      </c>
      <c r="N623" s="1185" t="s">
        <v>724</v>
      </c>
      <c r="O623" s="1185" t="s">
        <v>1562</v>
      </c>
      <c r="P623" s="1296"/>
      <c r="R623" s="1159"/>
    </row>
    <row r="624" spans="1:18" ht="60" x14ac:dyDescent="0.25">
      <c r="A624" s="1272">
        <v>2022618</v>
      </c>
      <c r="B624" s="1273" t="s">
        <v>459</v>
      </c>
      <c r="C624" s="1273" t="s">
        <v>459</v>
      </c>
      <c r="D624" s="1265" t="s">
        <v>695</v>
      </c>
      <c r="E624" s="1265" t="s">
        <v>1708</v>
      </c>
      <c r="F624" s="1274" t="s">
        <v>1232</v>
      </c>
      <c r="G624" s="1272" t="s">
        <v>1618</v>
      </c>
      <c r="H624" s="1272" t="s">
        <v>1625</v>
      </c>
      <c r="I624" s="1272" t="s">
        <v>1672</v>
      </c>
      <c r="J624" s="1265" t="s">
        <v>1677</v>
      </c>
      <c r="K624" s="1265" t="s">
        <v>770</v>
      </c>
      <c r="L624" s="1265"/>
      <c r="M624" s="1186">
        <v>29250000</v>
      </c>
      <c r="N624" s="1291"/>
      <c r="O624" s="1291"/>
      <c r="R624" s="1159"/>
    </row>
    <row r="625" spans="1:18" ht="105" x14ac:dyDescent="0.25">
      <c r="A625" s="1272">
        <v>2022619</v>
      </c>
      <c r="B625" s="1272">
        <v>7637</v>
      </c>
      <c r="C625" s="1274" t="s">
        <v>643</v>
      </c>
      <c r="D625" s="1274" t="s">
        <v>671</v>
      </c>
      <c r="E625" s="1290" t="s">
        <v>1233</v>
      </c>
      <c r="F625" s="1274" t="s">
        <v>1234</v>
      </c>
      <c r="G625" s="1272" t="s">
        <v>1625</v>
      </c>
      <c r="H625" s="1272" t="s">
        <v>1637</v>
      </c>
      <c r="I625" s="1272">
        <v>12</v>
      </c>
      <c r="J625" s="1274" t="s">
        <v>1512</v>
      </c>
      <c r="K625" s="1274" t="s">
        <v>674</v>
      </c>
      <c r="L625" s="1265" t="s">
        <v>729</v>
      </c>
      <c r="M625" s="1186">
        <v>8000000</v>
      </c>
      <c r="N625" s="1274" t="s">
        <v>732</v>
      </c>
      <c r="O625" s="1274" t="s">
        <v>1497</v>
      </c>
      <c r="R625" s="1159"/>
    </row>
    <row r="626" spans="1:18" ht="102.75" customHeight="1" x14ac:dyDescent="0.25">
      <c r="A626" s="1272">
        <v>2022620</v>
      </c>
      <c r="B626" s="1272">
        <v>7658</v>
      </c>
      <c r="C626" s="1274" t="s">
        <v>679</v>
      </c>
      <c r="D626" s="1274" t="s">
        <v>698</v>
      </c>
      <c r="E626" s="1265" t="s">
        <v>1709</v>
      </c>
      <c r="F626" s="1274" t="s">
        <v>1236</v>
      </c>
      <c r="G626" s="1272" t="s">
        <v>1501</v>
      </c>
      <c r="H626" s="1272" t="s">
        <v>1501</v>
      </c>
      <c r="I626" s="1272" t="s">
        <v>1652</v>
      </c>
      <c r="J626" s="1274" t="s">
        <v>1605</v>
      </c>
      <c r="K626" s="1274" t="s">
        <v>674</v>
      </c>
      <c r="L626" s="1265" t="s">
        <v>994</v>
      </c>
      <c r="M626" s="1186">
        <v>8000000</v>
      </c>
      <c r="N626" s="1274" t="s">
        <v>724</v>
      </c>
      <c r="O626" s="1274" t="s">
        <v>1562</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9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900-000000000000}">
      <formula1>tec</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740"/>
  <sheetViews>
    <sheetView workbookViewId="0">
      <selection activeCell="A2" sqref="A2:XFD2"/>
    </sheetView>
  </sheetViews>
  <sheetFormatPr baseColWidth="10" defaultColWidth="9.109375" defaultRowHeight="14.4" x14ac:dyDescent="0.3"/>
  <cols>
    <col min="1" max="1" width="10.5546875" style="806" customWidth="1"/>
    <col min="2" max="2" width="28" style="806" customWidth="1"/>
    <col min="3" max="3" width="18" style="806" customWidth="1"/>
    <col min="4" max="4" width="8" style="806" customWidth="1"/>
    <col min="5" max="5" width="11.44140625" style="806" customWidth="1"/>
    <col min="6" max="6" width="5.6640625" style="806" customWidth="1"/>
    <col min="7" max="7" width="10.109375" style="806" customWidth="1"/>
    <col min="8" max="8" width="22.109375" style="806" customWidth="1"/>
    <col min="9" max="9" width="15.44140625" style="806" customWidth="1"/>
    <col min="10" max="10" width="20.88671875" style="806" customWidth="1"/>
    <col min="11" max="11" width="9.6640625" style="806" customWidth="1"/>
    <col min="12" max="12" width="7" style="806" customWidth="1"/>
    <col min="13" max="13" width="4" style="806" customWidth="1"/>
    <col min="14" max="14" width="5.44140625" style="806" customWidth="1"/>
    <col min="15" max="15" width="41.88671875" style="806" customWidth="1"/>
    <col min="16" max="16" width="13.5546875" style="806" customWidth="1"/>
    <col min="17" max="17" width="26.44140625" style="806" customWidth="1"/>
    <col min="18" max="18" width="9.109375" style="806" customWidth="1"/>
  </cols>
  <sheetData>
    <row r="1" spans="1:18" ht="17.399999999999999" x14ac:dyDescent="0.3">
      <c r="A1" s="805" t="s">
        <v>1710</v>
      </c>
      <c r="B1" s="805"/>
      <c r="C1" s="805"/>
      <c r="D1" s="805"/>
      <c r="E1" s="805"/>
      <c r="F1" s="805"/>
      <c r="G1" s="805"/>
      <c r="H1" s="805"/>
      <c r="I1" s="805"/>
      <c r="J1" s="805"/>
      <c r="K1" s="805"/>
      <c r="L1" s="805"/>
      <c r="M1" s="805"/>
      <c r="N1" s="805"/>
      <c r="O1" s="805"/>
      <c r="P1" s="805"/>
      <c r="Q1" s="805"/>
      <c r="R1" s="805"/>
    </row>
    <row r="2" spans="1:18" s="810" customFormat="1" x14ac:dyDescent="0.3">
      <c r="A2" s="807" t="s">
        <v>649</v>
      </c>
      <c r="B2" s="808" t="s">
        <v>1711</v>
      </c>
      <c r="C2" s="808" t="s">
        <v>657</v>
      </c>
      <c r="D2" s="808" t="s">
        <v>1712</v>
      </c>
      <c r="E2" s="808" t="s">
        <v>1713</v>
      </c>
      <c r="F2" s="808" t="s">
        <v>1714</v>
      </c>
      <c r="G2" s="808" t="s">
        <v>1715</v>
      </c>
      <c r="H2" s="808" t="s">
        <v>654</v>
      </c>
      <c r="I2" s="808" t="s">
        <v>655</v>
      </c>
      <c r="J2" s="808" t="s">
        <v>1716</v>
      </c>
      <c r="K2" s="808" t="s">
        <v>1717</v>
      </c>
      <c r="L2" s="808" t="s">
        <v>1718</v>
      </c>
      <c r="M2" s="808" t="s">
        <v>1719</v>
      </c>
      <c r="N2" s="808" t="s">
        <v>1720</v>
      </c>
      <c r="O2" s="808" t="s">
        <v>1721</v>
      </c>
      <c r="P2" s="808" t="s">
        <v>1722</v>
      </c>
      <c r="Q2" s="808" t="s">
        <v>1723</v>
      </c>
      <c r="R2" s="809"/>
    </row>
    <row r="3" spans="1:18" x14ac:dyDescent="0.3">
      <c r="A3" s="811" t="s">
        <v>1724</v>
      </c>
      <c r="B3" s="811" t="s">
        <v>1725</v>
      </c>
      <c r="C3" s="812">
        <v>20000000</v>
      </c>
      <c r="D3" s="811" t="s">
        <v>1611</v>
      </c>
      <c r="E3" s="811" t="s">
        <v>1611</v>
      </c>
      <c r="F3" s="811" t="s">
        <v>1726</v>
      </c>
      <c r="G3" s="811" t="s">
        <v>1727</v>
      </c>
      <c r="H3" s="811" t="s">
        <v>1728</v>
      </c>
      <c r="I3" s="811" t="s">
        <v>1729</v>
      </c>
      <c r="J3" s="813">
        <v>20000000</v>
      </c>
      <c r="K3" s="811" t="s">
        <v>1730</v>
      </c>
      <c r="L3" s="811" t="s">
        <v>1189</v>
      </c>
      <c r="M3" s="811" t="s">
        <v>1710</v>
      </c>
      <c r="N3" s="811" t="s">
        <v>1710</v>
      </c>
      <c r="O3" s="811" t="s">
        <v>1731</v>
      </c>
      <c r="P3" s="811" t="s">
        <v>1732</v>
      </c>
      <c r="Q3" s="811" t="s">
        <v>1733</v>
      </c>
    </row>
    <row r="4" spans="1:18" x14ac:dyDescent="0.3">
      <c r="A4" s="811" t="s">
        <v>1724</v>
      </c>
      <c r="B4" s="811" t="s">
        <v>1734</v>
      </c>
      <c r="C4" s="812">
        <v>47200000</v>
      </c>
      <c r="D4" s="811" t="s">
        <v>1611</v>
      </c>
      <c r="E4" s="811" t="s">
        <v>1611</v>
      </c>
      <c r="F4" s="811" t="s">
        <v>1726</v>
      </c>
      <c r="G4" s="811" t="s">
        <v>1727</v>
      </c>
      <c r="H4" s="811" t="s">
        <v>1728</v>
      </c>
      <c r="I4" s="811" t="s">
        <v>1729</v>
      </c>
      <c r="J4" s="813">
        <v>47200000</v>
      </c>
      <c r="K4" s="811" t="s">
        <v>1730</v>
      </c>
      <c r="L4" s="811" t="s">
        <v>1189</v>
      </c>
      <c r="M4" s="811" t="s">
        <v>1710</v>
      </c>
      <c r="N4" s="811" t="s">
        <v>1710</v>
      </c>
      <c r="O4" s="811" t="s">
        <v>1731</v>
      </c>
      <c r="P4" s="811" t="s">
        <v>1732</v>
      </c>
      <c r="Q4" s="811" t="s">
        <v>1733</v>
      </c>
    </row>
    <row r="5" spans="1:18" x14ac:dyDescent="0.3">
      <c r="A5" s="811" t="s">
        <v>1735</v>
      </c>
      <c r="B5" s="811" t="s">
        <v>1736</v>
      </c>
      <c r="C5" s="812">
        <v>20000000</v>
      </c>
      <c r="D5" s="811" t="s">
        <v>1509</v>
      </c>
      <c r="E5" s="811" t="s">
        <v>1509</v>
      </c>
      <c r="F5" s="811" t="s">
        <v>1737</v>
      </c>
      <c r="G5" s="811" t="s">
        <v>1727</v>
      </c>
      <c r="H5" s="811" t="s">
        <v>1738</v>
      </c>
      <c r="I5" s="811" t="s">
        <v>1729</v>
      </c>
      <c r="J5" s="813">
        <v>20000000</v>
      </c>
      <c r="K5" s="811" t="s">
        <v>1730</v>
      </c>
      <c r="L5" s="811" t="s">
        <v>1189</v>
      </c>
      <c r="M5" s="811" t="s">
        <v>1710</v>
      </c>
      <c r="N5" s="811" t="s">
        <v>1710</v>
      </c>
      <c r="O5" s="811" t="s">
        <v>432</v>
      </c>
      <c r="P5" s="811" t="s">
        <v>1732</v>
      </c>
      <c r="Q5" s="811" t="s">
        <v>1739</v>
      </c>
    </row>
    <row r="6" spans="1:18" x14ac:dyDescent="0.3">
      <c r="A6" s="811" t="s">
        <v>1724</v>
      </c>
      <c r="B6" s="811" t="s">
        <v>1740</v>
      </c>
      <c r="C6" s="812">
        <v>23162500</v>
      </c>
      <c r="D6" s="811" t="s">
        <v>1611</v>
      </c>
      <c r="E6" s="811" t="s">
        <v>1611</v>
      </c>
      <c r="F6" s="811" t="s">
        <v>1741</v>
      </c>
      <c r="G6" s="811" t="s">
        <v>1727</v>
      </c>
      <c r="H6" s="811" t="s">
        <v>1728</v>
      </c>
      <c r="I6" s="811" t="s">
        <v>1729</v>
      </c>
      <c r="J6" s="813">
        <v>23162500</v>
      </c>
      <c r="K6" s="811" t="s">
        <v>1730</v>
      </c>
      <c r="L6" s="811" t="s">
        <v>1189</v>
      </c>
      <c r="M6" s="811" t="s">
        <v>1710</v>
      </c>
      <c r="N6" s="811" t="s">
        <v>1710</v>
      </c>
      <c r="O6" s="811" t="s">
        <v>1742</v>
      </c>
      <c r="P6" s="811" t="s">
        <v>1732</v>
      </c>
      <c r="Q6" s="811" t="s">
        <v>1743</v>
      </c>
    </row>
    <row r="7" spans="1:18" x14ac:dyDescent="0.3">
      <c r="A7" s="811" t="s">
        <v>1724</v>
      </c>
      <c r="B7" s="811" t="s">
        <v>1744</v>
      </c>
      <c r="C7" s="812">
        <v>23162500</v>
      </c>
      <c r="D7" s="811" t="s">
        <v>1611</v>
      </c>
      <c r="E7" s="811" t="s">
        <v>1611</v>
      </c>
      <c r="F7" s="811" t="s">
        <v>1741</v>
      </c>
      <c r="G7" s="811" t="s">
        <v>1727</v>
      </c>
      <c r="H7" s="811" t="s">
        <v>1728</v>
      </c>
      <c r="I7" s="811" t="s">
        <v>1729</v>
      </c>
      <c r="J7" s="813">
        <v>23162500</v>
      </c>
      <c r="K7" s="811" t="s">
        <v>1730</v>
      </c>
      <c r="L7" s="811" t="s">
        <v>1189</v>
      </c>
      <c r="M7" s="811" t="s">
        <v>1710</v>
      </c>
      <c r="N7" s="811" t="s">
        <v>1710</v>
      </c>
      <c r="O7" s="811" t="s">
        <v>1742</v>
      </c>
      <c r="P7" s="811" t="s">
        <v>1732</v>
      </c>
      <c r="Q7" s="811" t="s">
        <v>1743</v>
      </c>
    </row>
    <row r="8" spans="1:18" x14ac:dyDescent="0.3">
      <c r="A8" s="811" t="s">
        <v>1745</v>
      </c>
      <c r="B8" s="811" t="s">
        <v>1746</v>
      </c>
      <c r="C8" s="812">
        <v>161928000</v>
      </c>
      <c r="D8" s="811" t="s">
        <v>1611</v>
      </c>
      <c r="E8" s="811" t="s">
        <v>1611</v>
      </c>
      <c r="F8" s="811" t="s">
        <v>1747</v>
      </c>
      <c r="G8" s="811" t="s">
        <v>1727</v>
      </c>
      <c r="H8" s="811" t="s">
        <v>1728</v>
      </c>
      <c r="I8" s="811" t="s">
        <v>1729</v>
      </c>
      <c r="J8" s="813">
        <v>161928000</v>
      </c>
      <c r="K8" s="811" t="s">
        <v>1730</v>
      </c>
      <c r="L8" s="811" t="s">
        <v>1189</v>
      </c>
      <c r="M8" s="811" t="s">
        <v>1710</v>
      </c>
      <c r="N8" s="811" t="s">
        <v>1710</v>
      </c>
      <c r="O8" s="811" t="s">
        <v>1731</v>
      </c>
      <c r="P8" s="811" t="s">
        <v>1732</v>
      </c>
      <c r="Q8" s="811" t="s">
        <v>1733</v>
      </c>
    </row>
    <row r="9" spans="1:18" x14ac:dyDescent="0.3">
      <c r="A9" s="811" t="s">
        <v>1745</v>
      </c>
      <c r="B9" s="811" t="s">
        <v>1748</v>
      </c>
      <c r="C9" s="812">
        <v>325067484</v>
      </c>
      <c r="D9" s="811" t="s">
        <v>1611</v>
      </c>
      <c r="E9" s="811" t="s">
        <v>1611</v>
      </c>
      <c r="F9" s="811" t="s">
        <v>1747</v>
      </c>
      <c r="G9" s="811" t="s">
        <v>1727</v>
      </c>
      <c r="H9" s="811" t="s">
        <v>1728</v>
      </c>
      <c r="I9" s="811" t="s">
        <v>1729</v>
      </c>
      <c r="J9" s="813">
        <v>325067484</v>
      </c>
      <c r="K9" s="811" t="s">
        <v>1730</v>
      </c>
      <c r="L9" s="811" t="s">
        <v>1189</v>
      </c>
      <c r="M9" s="811" t="s">
        <v>1710</v>
      </c>
      <c r="N9" s="811" t="s">
        <v>1710</v>
      </c>
      <c r="O9" s="811" t="s">
        <v>1731</v>
      </c>
      <c r="P9" s="811" t="s">
        <v>1732</v>
      </c>
      <c r="Q9" s="811" t="s">
        <v>1733</v>
      </c>
    </row>
    <row r="10" spans="1:18" x14ac:dyDescent="0.3">
      <c r="A10" s="811" t="s">
        <v>1745</v>
      </c>
      <c r="B10" s="811" t="s">
        <v>1749</v>
      </c>
      <c r="C10" s="812">
        <v>135660000</v>
      </c>
      <c r="D10" s="811" t="s">
        <v>1611</v>
      </c>
      <c r="E10" s="811" t="s">
        <v>1611</v>
      </c>
      <c r="F10" s="811" t="s">
        <v>1737</v>
      </c>
      <c r="G10" s="811" t="s">
        <v>1727</v>
      </c>
      <c r="H10" s="811" t="s">
        <v>1728</v>
      </c>
      <c r="I10" s="811" t="s">
        <v>1729</v>
      </c>
      <c r="J10" s="813">
        <v>135660000</v>
      </c>
      <c r="K10" s="811" t="s">
        <v>1730</v>
      </c>
      <c r="L10" s="811" t="s">
        <v>1189</v>
      </c>
      <c r="M10" s="811" t="s">
        <v>1710</v>
      </c>
      <c r="N10" s="811" t="s">
        <v>1710</v>
      </c>
      <c r="O10" s="811" t="s">
        <v>1731</v>
      </c>
      <c r="P10" s="811" t="s">
        <v>1732</v>
      </c>
      <c r="Q10" s="811" t="s">
        <v>1733</v>
      </c>
    </row>
    <row r="11" spans="1:18" x14ac:dyDescent="0.3">
      <c r="A11" s="811" t="s">
        <v>1745</v>
      </c>
      <c r="B11" s="811" t="s">
        <v>1750</v>
      </c>
      <c r="C11" s="812">
        <v>330000000</v>
      </c>
      <c r="D11" s="811" t="s">
        <v>1611</v>
      </c>
      <c r="E11" s="811" t="s">
        <v>1611</v>
      </c>
      <c r="F11" s="811" t="s">
        <v>1747</v>
      </c>
      <c r="G11" s="811" t="s">
        <v>1727</v>
      </c>
      <c r="H11" s="811" t="s">
        <v>1728</v>
      </c>
      <c r="I11" s="811" t="s">
        <v>1729</v>
      </c>
      <c r="J11" s="813">
        <v>330000000</v>
      </c>
      <c r="K11" s="811" t="s">
        <v>1730</v>
      </c>
      <c r="L11" s="811" t="s">
        <v>1189</v>
      </c>
      <c r="M11" s="811" t="s">
        <v>1710</v>
      </c>
      <c r="N11" s="811" t="s">
        <v>1710</v>
      </c>
      <c r="O11" s="811" t="s">
        <v>1731</v>
      </c>
      <c r="P11" s="811" t="s">
        <v>1732</v>
      </c>
      <c r="Q11" s="811" t="s">
        <v>1733</v>
      </c>
    </row>
    <row r="12" spans="1:18" x14ac:dyDescent="0.3">
      <c r="A12" s="811" t="s">
        <v>1745</v>
      </c>
      <c r="B12" s="811" t="s">
        <v>1751</v>
      </c>
      <c r="C12" s="812">
        <v>251328000</v>
      </c>
      <c r="D12" s="811" t="s">
        <v>1502</v>
      </c>
      <c r="E12" s="811" t="s">
        <v>1502</v>
      </c>
      <c r="F12" s="811" t="s">
        <v>1747</v>
      </c>
      <c r="G12" s="811" t="s">
        <v>1727</v>
      </c>
      <c r="H12" s="811" t="s">
        <v>1728</v>
      </c>
      <c r="I12" s="811" t="s">
        <v>1729</v>
      </c>
      <c r="J12" s="813">
        <v>251328000</v>
      </c>
      <c r="K12" s="811" t="s">
        <v>1730</v>
      </c>
      <c r="L12" s="811" t="s">
        <v>1189</v>
      </c>
      <c r="M12" s="811" t="s">
        <v>1710</v>
      </c>
      <c r="N12" s="811" t="s">
        <v>1710</v>
      </c>
      <c r="O12" s="811" t="s">
        <v>1731</v>
      </c>
      <c r="P12" s="811" t="s">
        <v>1732</v>
      </c>
      <c r="Q12" s="811" t="s">
        <v>1733</v>
      </c>
    </row>
    <row r="13" spans="1:18" x14ac:dyDescent="0.3">
      <c r="A13" s="811" t="s">
        <v>1745</v>
      </c>
      <c r="B13" s="811" t="s">
        <v>1752</v>
      </c>
      <c r="C13" s="812">
        <v>180000000</v>
      </c>
      <c r="D13" s="811" t="s">
        <v>1502</v>
      </c>
      <c r="E13" s="811" t="s">
        <v>1502</v>
      </c>
      <c r="F13" s="811" t="s">
        <v>1747</v>
      </c>
      <c r="G13" s="811" t="s">
        <v>1727</v>
      </c>
      <c r="H13" s="811" t="s">
        <v>1728</v>
      </c>
      <c r="I13" s="811" t="s">
        <v>1729</v>
      </c>
      <c r="J13" s="813">
        <v>180000000</v>
      </c>
      <c r="K13" s="811" t="s">
        <v>1730</v>
      </c>
      <c r="L13" s="811" t="s">
        <v>1189</v>
      </c>
      <c r="M13" s="811" t="s">
        <v>1710</v>
      </c>
      <c r="N13" s="811" t="s">
        <v>1710</v>
      </c>
      <c r="O13" s="811" t="s">
        <v>1731</v>
      </c>
      <c r="P13" s="811" t="s">
        <v>1732</v>
      </c>
      <c r="Q13" s="811" t="s">
        <v>1733</v>
      </c>
    </row>
    <row r="14" spans="1:18" x14ac:dyDescent="0.3">
      <c r="A14" s="811" t="s">
        <v>1745</v>
      </c>
      <c r="B14" s="811" t="s">
        <v>1753</v>
      </c>
      <c r="C14" s="812">
        <v>240000000</v>
      </c>
      <c r="D14" s="811" t="s">
        <v>1502</v>
      </c>
      <c r="E14" s="811" t="s">
        <v>1502</v>
      </c>
      <c r="F14" s="811" t="s">
        <v>1747</v>
      </c>
      <c r="G14" s="811" t="s">
        <v>1727</v>
      </c>
      <c r="H14" s="811" t="s">
        <v>1728</v>
      </c>
      <c r="I14" s="811" t="s">
        <v>1729</v>
      </c>
      <c r="J14" s="813">
        <v>240000000</v>
      </c>
      <c r="K14" s="811" t="s">
        <v>1730</v>
      </c>
      <c r="L14" s="811" t="s">
        <v>1189</v>
      </c>
      <c r="M14" s="811" t="s">
        <v>1710</v>
      </c>
      <c r="N14" s="811" t="s">
        <v>1710</v>
      </c>
      <c r="O14" s="811" t="s">
        <v>1731</v>
      </c>
      <c r="P14" s="811" t="s">
        <v>1732</v>
      </c>
      <c r="Q14" s="811" t="s">
        <v>1733</v>
      </c>
    </row>
    <row r="15" spans="1:18" x14ac:dyDescent="0.3">
      <c r="A15" s="811" t="s">
        <v>1745</v>
      </c>
      <c r="B15" s="811" t="s">
        <v>1754</v>
      </c>
      <c r="C15" s="812">
        <v>300000000</v>
      </c>
      <c r="D15" s="811" t="s">
        <v>1502</v>
      </c>
      <c r="E15" s="811" t="s">
        <v>1502</v>
      </c>
      <c r="F15" s="811" t="s">
        <v>1747</v>
      </c>
      <c r="G15" s="811" t="s">
        <v>1727</v>
      </c>
      <c r="H15" s="811" t="s">
        <v>1728</v>
      </c>
      <c r="I15" s="811" t="s">
        <v>1729</v>
      </c>
      <c r="J15" s="813">
        <v>300000000</v>
      </c>
      <c r="K15" s="811" t="s">
        <v>1730</v>
      </c>
      <c r="L15" s="811" t="s">
        <v>1189</v>
      </c>
      <c r="M15" s="811" t="s">
        <v>1710</v>
      </c>
      <c r="N15" s="811" t="s">
        <v>1710</v>
      </c>
      <c r="O15" s="811" t="s">
        <v>1731</v>
      </c>
      <c r="P15" s="811" t="s">
        <v>1732</v>
      </c>
      <c r="Q15" s="811" t="s">
        <v>1733</v>
      </c>
    </row>
    <row r="16" spans="1:18" x14ac:dyDescent="0.3">
      <c r="A16" s="811" t="s">
        <v>1724</v>
      </c>
      <c r="B16" s="811" t="s">
        <v>1755</v>
      </c>
      <c r="C16" s="812">
        <v>85698000</v>
      </c>
      <c r="D16" s="811" t="s">
        <v>1501</v>
      </c>
      <c r="E16" s="811" t="s">
        <v>1501</v>
      </c>
      <c r="F16" s="811" t="s">
        <v>1741</v>
      </c>
      <c r="G16" s="811" t="s">
        <v>1727</v>
      </c>
      <c r="H16" s="811" t="s">
        <v>1728</v>
      </c>
      <c r="I16" s="811" t="s">
        <v>1729</v>
      </c>
      <c r="J16" s="813">
        <v>85698000</v>
      </c>
      <c r="K16" s="811" t="s">
        <v>1730</v>
      </c>
      <c r="L16" s="811" t="s">
        <v>1189</v>
      </c>
      <c r="M16" s="811" t="s">
        <v>1710</v>
      </c>
      <c r="N16" s="811" t="s">
        <v>1710</v>
      </c>
      <c r="O16" s="811" t="s">
        <v>1756</v>
      </c>
      <c r="P16" s="811" t="s">
        <v>1732</v>
      </c>
      <c r="Q16" s="811" t="s">
        <v>1757</v>
      </c>
    </row>
    <row r="17" spans="1:17" x14ac:dyDescent="0.3">
      <c r="A17" s="811" t="s">
        <v>1724</v>
      </c>
      <c r="B17" s="811" t="s">
        <v>1758</v>
      </c>
      <c r="C17" s="812">
        <v>96000000</v>
      </c>
      <c r="D17" s="811" t="s">
        <v>1611</v>
      </c>
      <c r="E17" s="811" t="s">
        <v>1611</v>
      </c>
      <c r="F17" s="811" t="s">
        <v>1726</v>
      </c>
      <c r="G17" s="811" t="s">
        <v>1727</v>
      </c>
      <c r="H17" s="811" t="s">
        <v>1728</v>
      </c>
      <c r="I17" s="811" t="s">
        <v>1729</v>
      </c>
      <c r="J17" s="813">
        <v>96000000</v>
      </c>
      <c r="K17" s="811" t="s">
        <v>1730</v>
      </c>
      <c r="L17" s="811" t="s">
        <v>1189</v>
      </c>
      <c r="M17" s="811" t="s">
        <v>1710</v>
      </c>
      <c r="N17" s="811" t="s">
        <v>1710</v>
      </c>
      <c r="O17" s="811" t="s">
        <v>1756</v>
      </c>
      <c r="P17" s="811" t="s">
        <v>1732</v>
      </c>
      <c r="Q17" s="811" t="s">
        <v>1757</v>
      </c>
    </row>
    <row r="18" spans="1:17" x14ac:dyDescent="0.3">
      <c r="A18" s="811" t="s">
        <v>1724</v>
      </c>
      <c r="B18" s="811" t="s">
        <v>1759</v>
      </c>
      <c r="C18" s="812">
        <v>58300000</v>
      </c>
      <c r="D18" s="811" t="s">
        <v>1505</v>
      </c>
      <c r="E18" s="811" t="s">
        <v>1505</v>
      </c>
      <c r="F18" s="811" t="s">
        <v>1760</v>
      </c>
      <c r="G18" s="811" t="s">
        <v>1727</v>
      </c>
      <c r="H18" s="811" t="s">
        <v>1728</v>
      </c>
      <c r="I18" s="811" t="s">
        <v>1729</v>
      </c>
      <c r="J18" s="813">
        <v>58300000</v>
      </c>
      <c r="K18" s="811" t="s">
        <v>1730</v>
      </c>
      <c r="L18" s="811" t="s">
        <v>1189</v>
      </c>
      <c r="M18" s="811" t="s">
        <v>1710</v>
      </c>
      <c r="N18" s="811" t="s">
        <v>1710</v>
      </c>
      <c r="O18" s="811" t="s">
        <v>1761</v>
      </c>
      <c r="P18" s="811" t="s">
        <v>1732</v>
      </c>
      <c r="Q18" s="811" t="s">
        <v>1733</v>
      </c>
    </row>
    <row r="19" spans="1:17" x14ac:dyDescent="0.3">
      <c r="A19" s="811" t="s">
        <v>1724</v>
      </c>
      <c r="B19" s="811" t="s">
        <v>1762</v>
      </c>
      <c r="C19" s="812">
        <v>58300000</v>
      </c>
      <c r="D19" s="811" t="s">
        <v>1505</v>
      </c>
      <c r="E19" s="811" t="s">
        <v>1505</v>
      </c>
      <c r="F19" s="811" t="s">
        <v>1760</v>
      </c>
      <c r="G19" s="811" t="s">
        <v>1727</v>
      </c>
      <c r="H19" s="811" t="s">
        <v>1728</v>
      </c>
      <c r="I19" s="811" t="s">
        <v>1729</v>
      </c>
      <c r="J19" s="813">
        <v>58300000</v>
      </c>
      <c r="K19" s="811" t="s">
        <v>1730</v>
      </c>
      <c r="L19" s="811" t="s">
        <v>1189</v>
      </c>
      <c r="M19" s="811" t="s">
        <v>1710</v>
      </c>
      <c r="N19" s="811" t="s">
        <v>1710</v>
      </c>
      <c r="O19" s="811" t="s">
        <v>1761</v>
      </c>
      <c r="P19" s="811" t="s">
        <v>1732</v>
      </c>
      <c r="Q19" s="811" t="s">
        <v>1733</v>
      </c>
    </row>
    <row r="20" spans="1:17" x14ac:dyDescent="0.3">
      <c r="A20" s="811" t="s">
        <v>1724</v>
      </c>
      <c r="B20" s="811" t="s">
        <v>1762</v>
      </c>
      <c r="C20" s="812">
        <v>43780000</v>
      </c>
      <c r="D20" s="811" t="s">
        <v>1505</v>
      </c>
      <c r="E20" s="811" t="s">
        <v>1505</v>
      </c>
      <c r="F20" s="811" t="s">
        <v>1747</v>
      </c>
      <c r="G20" s="811" t="s">
        <v>1727</v>
      </c>
      <c r="H20" s="811" t="s">
        <v>1728</v>
      </c>
      <c r="I20" s="811" t="s">
        <v>1729</v>
      </c>
      <c r="J20" s="813">
        <v>43780000</v>
      </c>
      <c r="K20" s="811" t="s">
        <v>1730</v>
      </c>
      <c r="L20" s="811" t="s">
        <v>1189</v>
      </c>
      <c r="M20" s="811" t="s">
        <v>1710</v>
      </c>
      <c r="N20" s="811" t="s">
        <v>1710</v>
      </c>
      <c r="O20" s="811" t="s">
        <v>1761</v>
      </c>
      <c r="P20" s="811" t="s">
        <v>1732</v>
      </c>
      <c r="Q20" s="811" t="s">
        <v>1733</v>
      </c>
    </row>
    <row r="21" spans="1:17" x14ac:dyDescent="0.3">
      <c r="A21" s="811" t="s">
        <v>1724</v>
      </c>
      <c r="B21" s="811" t="s">
        <v>1762</v>
      </c>
      <c r="C21" s="812">
        <v>53900000</v>
      </c>
      <c r="D21" s="811" t="s">
        <v>1505</v>
      </c>
      <c r="E21" s="811" t="s">
        <v>1505</v>
      </c>
      <c r="F21" s="811" t="s">
        <v>1747</v>
      </c>
      <c r="G21" s="811" t="s">
        <v>1727</v>
      </c>
      <c r="H21" s="811" t="s">
        <v>1728</v>
      </c>
      <c r="I21" s="811" t="s">
        <v>1729</v>
      </c>
      <c r="J21" s="813">
        <v>53900000</v>
      </c>
      <c r="K21" s="811" t="s">
        <v>1730</v>
      </c>
      <c r="L21" s="811" t="s">
        <v>1189</v>
      </c>
      <c r="M21" s="811" t="s">
        <v>1710</v>
      </c>
      <c r="N21" s="811" t="s">
        <v>1710</v>
      </c>
      <c r="O21" s="811" t="s">
        <v>1761</v>
      </c>
      <c r="P21" s="811" t="s">
        <v>1732</v>
      </c>
      <c r="Q21" s="811" t="s">
        <v>1733</v>
      </c>
    </row>
    <row r="22" spans="1:17" x14ac:dyDescent="0.3">
      <c r="A22" s="811" t="s">
        <v>1724</v>
      </c>
      <c r="B22" s="811" t="s">
        <v>1762</v>
      </c>
      <c r="C22" s="812">
        <v>58300000</v>
      </c>
      <c r="D22" s="811" t="s">
        <v>1505</v>
      </c>
      <c r="E22" s="811" t="s">
        <v>1505</v>
      </c>
      <c r="F22" s="811" t="s">
        <v>1747</v>
      </c>
      <c r="G22" s="811" t="s">
        <v>1727</v>
      </c>
      <c r="H22" s="811" t="s">
        <v>1728</v>
      </c>
      <c r="I22" s="811" t="s">
        <v>1729</v>
      </c>
      <c r="J22" s="813">
        <v>58300000</v>
      </c>
      <c r="K22" s="811" t="s">
        <v>1730</v>
      </c>
      <c r="L22" s="811" t="s">
        <v>1189</v>
      </c>
      <c r="M22" s="811" t="s">
        <v>1710</v>
      </c>
      <c r="N22" s="811" t="s">
        <v>1710</v>
      </c>
      <c r="O22" s="811" t="s">
        <v>1761</v>
      </c>
      <c r="P22" s="811" t="s">
        <v>1732</v>
      </c>
      <c r="Q22" s="811" t="s">
        <v>1733</v>
      </c>
    </row>
    <row r="23" spans="1:17" x14ac:dyDescent="0.3">
      <c r="A23" s="811" t="s">
        <v>1724</v>
      </c>
      <c r="B23" s="811" t="s">
        <v>1762</v>
      </c>
      <c r="C23" s="812">
        <v>43780000</v>
      </c>
      <c r="D23" s="811" t="s">
        <v>1505</v>
      </c>
      <c r="E23" s="811" t="s">
        <v>1505</v>
      </c>
      <c r="F23" s="811" t="s">
        <v>1747</v>
      </c>
      <c r="G23" s="811" t="s">
        <v>1727</v>
      </c>
      <c r="H23" s="811" t="s">
        <v>1728</v>
      </c>
      <c r="I23" s="811" t="s">
        <v>1729</v>
      </c>
      <c r="J23" s="813">
        <v>43780000</v>
      </c>
      <c r="K23" s="811" t="s">
        <v>1730</v>
      </c>
      <c r="L23" s="811" t="s">
        <v>1189</v>
      </c>
      <c r="M23" s="811" t="s">
        <v>1710</v>
      </c>
      <c r="N23" s="811" t="s">
        <v>1710</v>
      </c>
      <c r="O23" s="811" t="s">
        <v>1761</v>
      </c>
      <c r="P23" s="811" t="s">
        <v>1732</v>
      </c>
      <c r="Q23" s="811" t="s">
        <v>1733</v>
      </c>
    </row>
    <row r="24" spans="1:17" x14ac:dyDescent="0.3">
      <c r="A24" s="811" t="s">
        <v>1724</v>
      </c>
      <c r="B24" s="811" t="s">
        <v>1763</v>
      </c>
      <c r="C24" s="812">
        <v>44330000</v>
      </c>
      <c r="D24" s="811" t="s">
        <v>1505</v>
      </c>
      <c r="E24" s="811" t="s">
        <v>1505</v>
      </c>
      <c r="F24" s="811" t="s">
        <v>1747</v>
      </c>
      <c r="G24" s="811" t="s">
        <v>1727</v>
      </c>
      <c r="H24" s="811" t="s">
        <v>1728</v>
      </c>
      <c r="I24" s="811" t="s">
        <v>1729</v>
      </c>
      <c r="J24" s="813">
        <v>44330000</v>
      </c>
      <c r="K24" s="811" t="s">
        <v>1730</v>
      </c>
      <c r="L24" s="811" t="s">
        <v>1189</v>
      </c>
      <c r="M24" s="811" t="s">
        <v>1710</v>
      </c>
      <c r="N24" s="811" t="s">
        <v>1710</v>
      </c>
      <c r="O24" s="811" t="s">
        <v>1761</v>
      </c>
      <c r="P24" s="811" t="s">
        <v>1732</v>
      </c>
      <c r="Q24" s="811" t="s">
        <v>1733</v>
      </c>
    </row>
    <row r="25" spans="1:17" x14ac:dyDescent="0.3">
      <c r="A25" s="811" t="s">
        <v>1724</v>
      </c>
      <c r="B25" s="811" t="s">
        <v>1763</v>
      </c>
      <c r="C25" s="812">
        <v>58300000</v>
      </c>
      <c r="D25" s="811" t="s">
        <v>1505</v>
      </c>
      <c r="E25" s="811" t="s">
        <v>1505</v>
      </c>
      <c r="F25" s="811" t="s">
        <v>1764</v>
      </c>
      <c r="G25" s="811" t="s">
        <v>1727</v>
      </c>
      <c r="H25" s="811" t="s">
        <v>1728</v>
      </c>
      <c r="I25" s="811" t="s">
        <v>1729</v>
      </c>
      <c r="J25" s="813">
        <v>58300000</v>
      </c>
      <c r="K25" s="811" t="s">
        <v>1730</v>
      </c>
      <c r="L25" s="811" t="s">
        <v>1189</v>
      </c>
      <c r="M25" s="811" t="s">
        <v>1710</v>
      </c>
      <c r="N25" s="811" t="s">
        <v>1710</v>
      </c>
      <c r="O25" s="811" t="s">
        <v>1761</v>
      </c>
      <c r="P25" s="811" t="s">
        <v>1732</v>
      </c>
      <c r="Q25" s="811" t="s">
        <v>1733</v>
      </c>
    </row>
    <row r="26" spans="1:17" x14ac:dyDescent="0.3">
      <c r="A26" s="811" t="s">
        <v>1724</v>
      </c>
      <c r="B26" s="811" t="s">
        <v>1765</v>
      </c>
      <c r="C26" s="812">
        <v>47736000</v>
      </c>
      <c r="D26" s="811" t="s">
        <v>1505</v>
      </c>
      <c r="E26" s="811" t="s">
        <v>1505</v>
      </c>
      <c r="F26" s="811" t="s">
        <v>1747</v>
      </c>
      <c r="G26" s="811" t="s">
        <v>1727</v>
      </c>
      <c r="H26" s="811" t="s">
        <v>1728</v>
      </c>
      <c r="I26" s="811" t="s">
        <v>1729</v>
      </c>
      <c r="J26" s="813">
        <v>47736000</v>
      </c>
      <c r="K26" s="811" t="s">
        <v>1730</v>
      </c>
      <c r="L26" s="811" t="s">
        <v>1189</v>
      </c>
      <c r="M26" s="811" t="s">
        <v>1710</v>
      </c>
      <c r="N26" s="811" t="s">
        <v>1710</v>
      </c>
      <c r="O26" s="811" t="s">
        <v>1761</v>
      </c>
      <c r="P26" s="811" t="s">
        <v>1732</v>
      </c>
      <c r="Q26" s="811" t="s">
        <v>1733</v>
      </c>
    </row>
    <row r="27" spans="1:17" x14ac:dyDescent="0.3">
      <c r="A27" s="811" t="s">
        <v>1724</v>
      </c>
      <c r="B27" s="811" t="s">
        <v>1765</v>
      </c>
      <c r="C27" s="812">
        <v>112604000</v>
      </c>
      <c r="D27" s="811" t="s">
        <v>1505</v>
      </c>
      <c r="E27" s="811" t="s">
        <v>1505</v>
      </c>
      <c r="F27" s="811" t="s">
        <v>1747</v>
      </c>
      <c r="G27" s="811" t="s">
        <v>1727</v>
      </c>
      <c r="H27" s="811" t="s">
        <v>1728</v>
      </c>
      <c r="I27" s="811" t="s">
        <v>1729</v>
      </c>
      <c r="J27" s="813">
        <v>112604000</v>
      </c>
      <c r="K27" s="811" t="s">
        <v>1730</v>
      </c>
      <c r="L27" s="811" t="s">
        <v>1189</v>
      </c>
      <c r="M27" s="811" t="s">
        <v>1710</v>
      </c>
      <c r="N27" s="811" t="s">
        <v>1710</v>
      </c>
      <c r="O27" s="811" t="s">
        <v>1761</v>
      </c>
      <c r="P27" s="811" t="s">
        <v>1732</v>
      </c>
      <c r="Q27" s="811" t="s">
        <v>1733</v>
      </c>
    </row>
    <row r="28" spans="1:17" x14ac:dyDescent="0.3">
      <c r="A28" s="811" t="s">
        <v>1724</v>
      </c>
      <c r="B28" s="811" t="s">
        <v>1766</v>
      </c>
      <c r="C28" s="812">
        <v>58300000</v>
      </c>
      <c r="D28" s="811" t="s">
        <v>1505</v>
      </c>
      <c r="E28" s="811" t="s">
        <v>1505</v>
      </c>
      <c r="F28" s="811" t="s">
        <v>1760</v>
      </c>
      <c r="G28" s="811" t="s">
        <v>1727</v>
      </c>
      <c r="H28" s="811" t="s">
        <v>1728</v>
      </c>
      <c r="I28" s="811" t="s">
        <v>1729</v>
      </c>
      <c r="J28" s="813">
        <v>58300000</v>
      </c>
      <c r="K28" s="811" t="s">
        <v>1730</v>
      </c>
      <c r="L28" s="811" t="s">
        <v>1189</v>
      </c>
      <c r="M28" s="811" t="s">
        <v>1710</v>
      </c>
      <c r="N28" s="811" t="s">
        <v>1710</v>
      </c>
      <c r="O28" s="811" t="s">
        <v>1761</v>
      </c>
      <c r="P28" s="811" t="s">
        <v>1732</v>
      </c>
      <c r="Q28" s="811" t="s">
        <v>1733</v>
      </c>
    </row>
    <row r="29" spans="1:17" x14ac:dyDescent="0.3">
      <c r="A29" s="811" t="s">
        <v>1767</v>
      </c>
      <c r="B29" s="811" t="s">
        <v>1768</v>
      </c>
      <c r="C29" s="814" t="s">
        <v>1710</v>
      </c>
      <c r="D29" s="811" t="s">
        <v>1501</v>
      </c>
      <c r="E29" s="811" t="s">
        <v>1501</v>
      </c>
      <c r="F29" s="811" t="s">
        <v>1737</v>
      </c>
      <c r="G29" s="811" t="s">
        <v>1727</v>
      </c>
      <c r="H29" s="811" t="s">
        <v>1728</v>
      </c>
      <c r="I29" s="811" t="s">
        <v>1729</v>
      </c>
      <c r="J29" s="811" t="s">
        <v>1710</v>
      </c>
      <c r="K29" s="811" t="s">
        <v>1730</v>
      </c>
      <c r="L29" s="811" t="s">
        <v>1189</v>
      </c>
      <c r="M29" s="811" t="s">
        <v>1710</v>
      </c>
      <c r="N29" s="811" t="s">
        <v>1710</v>
      </c>
      <c r="O29" s="811" t="s">
        <v>1761</v>
      </c>
      <c r="P29" s="811" t="s">
        <v>1732</v>
      </c>
      <c r="Q29" s="811" t="s">
        <v>1733</v>
      </c>
    </row>
    <row r="30" spans="1:17" x14ac:dyDescent="0.3">
      <c r="A30" s="811" t="s">
        <v>1769</v>
      </c>
      <c r="B30" s="811" t="s">
        <v>1770</v>
      </c>
      <c r="C30" s="812">
        <v>59054190</v>
      </c>
      <c r="D30" s="811" t="s">
        <v>1510</v>
      </c>
      <c r="E30" s="811" t="s">
        <v>1510</v>
      </c>
      <c r="F30" s="811" t="s">
        <v>1737</v>
      </c>
      <c r="G30" s="811" t="s">
        <v>1727</v>
      </c>
      <c r="H30" s="811" t="s">
        <v>1650</v>
      </c>
      <c r="I30" s="811" t="s">
        <v>1729</v>
      </c>
      <c r="J30" s="813">
        <v>59054190</v>
      </c>
      <c r="K30" s="811" t="s">
        <v>1730</v>
      </c>
      <c r="L30" s="811" t="s">
        <v>1189</v>
      </c>
      <c r="M30" s="811" t="s">
        <v>1710</v>
      </c>
      <c r="N30" s="811" t="s">
        <v>1710</v>
      </c>
      <c r="O30" s="811" t="s">
        <v>1771</v>
      </c>
      <c r="P30" s="811" t="s">
        <v>1732</v>
      </c>
      <c r="Q30" s="811" t="s">
        <v>1757</v>
      </c>
    </row>
    <row r="31" spans="1:17" x14ac:dyDescent="0.3">
      <c r="A31" s="811" t="s">
        <v>1724</v>
      </c>
      <c r="B31" s="811" t="s">
        <v>1772</v>
      </c>
      <c r="C31" s="812">
        <v>59500000</v>
      </c>
      <c r="D31" s="811" t="s">
        <v>1501</v>
      </c>
      <c r="E31" s="811" t="s">
        <v>1611</v>
      </c>
      <c r="F31" s="811" t="s">
        <v>1773</v>
      </c>
      <c r="G31" s="811" t="s">
        <v>1727</v>
      </c>
      <c r="H31" s="811" t="s">
        <v>1728</v>
      </c>
      <c r="I31" s="811" t="s">
        <v>1729</v>
      </c>
      <c r="J31" s="813">
        <v>59500000</v>
      </c>
      <c r="K31" s="811" t="s">
        <v>1730</v>
      </c>
      <c r="L31" s="811" t="s">
        <v>1189</v>
      </c>
      <c r="M31" s="811" t="s">
        <v>1710</v>
      </c>
      <c r="N31" s="811" t="s">
        <v>1710</v>
      </c>
      <c r="O31" s="811" t="s">
        <v>1774</v>
      </c>
      <c r="P31" s="811" t="s">
        <v>1732</v>
      </c>
      <c r="Q31" s="811" t="s">
        <v>1775</v>
      </c>
    </row>
    <row r="32" spans="1:17" x14ac:dyDescent="0.3">
      <c r="A32" s="811" t="s">
        <v>1724</v>
      </c>
      <c r="B32" s="811" t="s">
        <v>1776</v>
      </c>
      <c r="C32" s="812">
        <v>27000000</v>
      </c>
      <c r="D32" s="811" t="s">
        <v>1509</v>
      </c>
      <c r="E32" s="811" t="s">
        <v>1509</v>
      </c>
      <c r="F32" s="811" t="s">
        <v>1737</v>
      </c>
      <c r="G32" s="811" t="s">
        <v>1727</v>
      </c>
      <c r="H32" s="811" t="s">
        <v>1728</v>
      </c>
      <c r="I32" s="811" t="s">
        <v>1729</v>
      </c>
      <c r="J32" s="813">
        <v>27000000</v>
      </c>
      <c r="K32" s="811" t="s">
        <v>1730</v>
      </c>
      <c r="L32" s="811" t="s">
        <v>1189</v>
      </c>
      <c r="M32" s="811" t="s">
        <v>1710</v>
      </c>
      <c r="N32" s="811" t="s">
        <v>1710</v>
      </c>
      <c r="O32" s="811" t="s">
        <v>1774</v>
      </c>
      <c r="P32" s="811" t="s">
        <v>1732</v>
      </c>
      <c r="Q32" s="811" t="s">
        <v>1775</v>
      </c>
    </row>
    <row r="33" spans="1:17" x14ac:dyDescent="0.3">
      <c r="A33" s="811" t="s">
        <v>1724</v>
      </c>
      <c r="B33" s="811" t="s">
        <v>1777</v>
      </c>
      <c r="C33" s="812">
        <v>59500000</v>
      </c>
      <c r="D33" s="811" t="s">
        <v>1611</v>
      </c>
      <c r="E33" s="811" t="s">
        <v>1611</v>
      </c>
      <c r="F33" s="811" t="s">
        <v>1773</v>
      </c>
      <c r="G33" s="811" t="s">
        <v>1727</v>
      </c>
      <c r="H33" s="811" t="s">
        <v>1728</v>
      </c>
      <c r="I33" s="811" t="s">
        <v>1729</v>
      </c>
      <c r="J33" s="813">
        <v>59500000</v>
      </c>
      <c r="K33" s="811" t="s">
        <v>1730</v>
      </c>
      <c r="L33" s="811" t="s">
        <v>1189</v>
      </c>
      <c r="M33" s="811" t="s">
        <v>1710</v>
      </c>
      <c r="N33" s="811" t="s">
        <v>1710</v>
      </c>
      <c r="O33" s="811" t="s">
        <v>1774</v>
      </c>
      <c r="P33" s="811" t="s">
        <v>1732</v>
      </c>
      <c r="Q33" s="811" t="s">
        <v>1775</v>
      </c>
    </row>
    <row r="34" spans="1:17" x14ac:dyDescent="0.3">
      <c r="A34" s="811" t="s">
        <v>1724</v>
      </c>
      <c r="B34" s="811" t="s">
        <v>1778</v>
      </c>
      <c r="C34" s="812">
        <v>6000000</v>
      </c>
      <c r="D34" s="811" t="s">
        <v>1505</v>
      </c>
      <c r="E34" s="811" t="s">
        <v>1505</v>
      </c>
      <c r="F34" s="811" t="s">
        <v>1760</v>
      </c>
      <c r="G34" s="811" t="s">
        <v>1727</v>
      </c>
      <c r="H34" s="811" t="s">
        <v>1728</v>
      </c>
      <c r="I34" s="811" t="s">
        <v>1729</v>
      </c>
      <c r="J34" s="813">
        <v>6000000</v>
      </c>
      <c r="K34" s="811" t="s">
        <v>1730</v>
      </c>
      <c r="L34" s="811" t="s">
        <v>1189</v>
      </c>
      <c r="M34" s="811" t="s">
        <v>1710</v>
      </c>
      <c r="N34" s="811" t="s">
        <v>1710</v>
      </c>
      <c r="O34" s="811" t="s">
        <v>1779</v>
      </c>
      <c r="P34" s="811" t="s">
        <v>1732</v>
      </c>
      <c r="Q34" s="811" t="s">
        <v>1780</v>
      </c>
    </row>
    <row r="35" spans="1:17" x14ac:dyDescent="0.3">
      <c r="A35" s="811" t="s">
        <v>1724</v>
      </c>
      <c r="B35" s="811" t="s">
        <v>1781</v>
      </c>
      <c r="C35" s="812">
        <v>63000000</v>
      </c>
      <c r="D35" s="811" t="s">
        <v>1501</v>
      </c>
      <c r="E35" s="811" t="s">
        <v>1501</v>
      </c>
      <c r="F35" s="811" t="s">
        <v>1741</v>
      </c>
      <c r="G35" s="811" t="s">
        <v>1727</v>
      </c>
      <c r="H35" s="811" t="s">
        <v>1728</v>
      </c>
      <c r="I35" s="811" t="s">
        <v>1729</v>
      </c>
      <c r="J35" s="813">
        <v>63000000</v>
      </c>
      <c r="K35" s="811" t="s">
        <v>1730</v>
      </c>
      <c r="L35" s="811" t="s">
        <v>1189</v>
      </c>
      <c r="M35" s="811" t="s">
        <v>1710</v>
      </c>
      <c r="N35" s="811" t="s">
        <v>1710</v>
      </c>
      <c r="O35" s="811" t="s">
        <v>1756</v>
      </c>
      <c r="P35" s="811" t="s">
        <v>1732</v>
      </c>
      <c r="Q35" s="811" t="s">
        <v>1757</v>
      </c>
    </row>
    <row r="36" spans="1:17" x14ac:dyDescent="0.3">
      <c r="A36" s="811" t="s">
        <v>1724</v>
      </c>
      <c r="B36" s="811" t="s">
        <v>1782</v>
      </c>
      <c r="C36" s="812">
        <v>85250000</v>
      </c>
      <c r="D36" s="811" t="s">
        <v>1495</v>
      </c>
      <c r="E36" s="811" t="s">
        <v>1495</v>
      </c>
      <c r="F36" s="811" t="s">
        <v>1764</v>
      </c>
      <c r="G36" s="811" t="s">
        <v>1727</v>
      </c>
      <c r="H36" s="811" t="s">
        <v>1728</v>
      </c>
      <c r="I36" s="811" t="s">
        <v>1729</v>
      </c>
      <c r="J36" s="813">
        <v>85250000</v>
      </c>
      <c r="K36" s="811" t="s">
        <v>1730</v>
      </c>
      <c r="L36" s="811" t="s">
        <v>1189</v>
      </c>
      <c r="M36" s="811" t="s">
        <v>1710</v>
      </c>
      <c r="N36" s="811" t="s">
        <v>1710</v>
      </c>
      <c r="O36" s="811" t="s">
        <v>1756</v>
      </c>
      <c r="P36" s="811" t="s">
        <v>1732</v>
      </c>
      <c r="Q36" s="811" t="s">
        <v>1757</v>
      </c>
    </row>
    <row r="37" spans="1:17" x14ac:dyDescent="0.3">
      <c r="A37" s="811" t="s">
        <v>1724</v>
      </c>
      <c r="B37" s="811" t="s">
        <v>1783</v>
      </c>
      <c r="C37" s="812">
        <v>33000000</v>
      </c>
      <c r="D37" s="811" t="s">
        <v>1510</v>
      </c>
      <c r="E37" s="811" t="s">
        <v>1510</v>
      </c>
      <c r="F37" s="811" t="s">
        <v>1737</v>
      </c>
      <c r="G37" s="811" t="s">
        <v>1727</v>
      </c>
      <c r="H37" s="811" t="s">
        <v>1728</v>
      </c>
      <c r="I37" s="811" t="s">
        <v>1729</v>
      </c>
      <c r="J37" s="813">
        <v>33000000</v>
      </c>
      <c r="K37" s="811" t="s">
        <v>1730</v>
      </c>
      <c r="L37" s="811" t="s">
        <v>1189</v>
      </c>
      <c r="M37" s="811" t="s">
        <v>1710</v>
      </c>
      <c r="N37" s="811" t="s">
        <v>1710</v>
      </c>
      <c r="O37" s="811" t="s">
        <v>1784</v>
      </c>
      <c r="P37" s="811" t="s">
        <v>1732</v>
      </c>
      <c r="Q37" s="811" t="s">
        <v>1785</v>
      </c>
    </row>
    <row r="38" spans="1:17" x14ac:dyDescent="0.3">
      <c r="A38" s="811" t="s">
        <v>1724</v>
      </c>
      <c r="B38" s="811" t="s">
        <v>1786</v>
      </c>
      <c r="C38" s="812">
        <v>22200000</v>
      </c>
      <c r="D38" s="811" t="s">
        <v>1509</v>
      </c>
      <c r="E38" s="811" t="s">
        <v>1509</v>
      </c>
      <c r="F38" s="811" t="s">
        <v>1737</v>
      </c>
      <c r="G38" s="811" t="s">
        <v>1727</v>
      </c>
      <c r="H38" s="811" t="s">
        <v>1728</v>
      </c>
      <c r="I38" s="811" t="s">
        <v>1729</v>
      </c>
      <c r="J38" s="813">
        <v>22200000</v>
      </c>
      <c r="K38" s="811" t="s">
        <v>1730</v>
      </c>
      <c r="L38" s="811" t="s">
        <v>1189</v>
      </c>
      <c r="M38" s="811" t="s">
        <v>1710</v>
      </c>
      <c r="N38" s="811" t="s">
        <v>1710</v>
      </c>
      <c r="O38" s="811" t="s">
        <v>1784</v>
      </c>
      <c r="P38" s="811" t="s">
        <v>1732</v>
      </c>
      <c r="Q38" s="811" t="s">
        <v>1785</v>
      </c>
    </row>
    <row r="39" spans="1:17" x14ac:dyDescent="0.3">
      <c r="A39" s="811" t="s">
        <v>1724</v>
      </c>
      <c r="B39" s="811" t="s">
        <v>1787</v>
      </c>
      <c r="C39" s="812">
        <v>20000000</v>
      </c>
      <c r="D39" s="811" t="s">
        <v>1510</v>
      </c>
      <c r="E39" s="811" t="s">
        <v>1510</v>
      </c>
      <c r="F39" s="811" t="s">
        <v>1737</v>
      </c>
      <c r="G39" s="811" t="s">
        <v>1727</v>
      </c>
      <c r="H39" s="811" t="s">
        <v>1728</v>
      </c>
      <c r="I39" s="811" t="s">
        <v>1729</v>
      </c>
      <c r="J39" s="813">
        <v>20000000</v>
      </c>
      <c r="K39" s="811" t="s">
        <v>1730</v>
      </c>
      <c r="L39" s="811" t="s">
        <v>1189</v>
      </c>
      <c r="M39" s="811" t="s">
        <v>1710</v>
      </c>
      <c r="N39" s="811" t="s">
        <v>1710</v>
      </c>
      <c r="O39" s="811" t="s">
        <v>1784</v>
      </c>
      <c r="P39" s="811" t="s">
        <v>1732</v>
      </c>
      <c r="Q39" s="811" t="s">
        <v>1785</v>
      </c>
    </row>
    <row r="40" spans="1:17" x14ac:dyDescent="0.3">
      <c r="A40" s="811" t="s">
        <v>1788</v>
      </c>
      <c r="B40" s="811" t="s">
        <v>461</v>
      </c>
      <c r="C40" s="812">
        <v>15000000</v>
      </c>
      <c r="D40" s="811" t="s">
        <v>1514</v>
      </c>
      <c r="E40" s="811" t="s">
        <v>1514</v>
      </c>
      <c r="F40" s="811" t="s">
        <v>1737</v>
      </c>
      <c r="G40" s="811" t="s">
        <v>1727</v>
      </c>
      <c r="H40" s="811" t="s">
        <v>1650</v>
      </c>
      <c r="I40" s="811" t="s">
        <v>1729</v>
      </c>
      <c r="J40" s="813">
        <v>15000000</v>
      </c>
      <c r="K40" s="811" t="s">
        <v>1730</v>
      </c>
      <c r="L40" s="811" t="s">
        <v>1189</v>
      </c>
      <c r="M40" s="811" t="s">
        <v>1710</v>
      </c>
      <c r="N40" s="811" t="s">
        <v>1710</v>
      </c>
      <c r="O40" s="811" t="s">
        <v>1784</v>
      </c>
      <c r="P40" s="811" t="s">
        <v>1732</v>
      </c>
      <c r="Q40" s="811" t="s">
        <v>1785</v>
      </c>
    </row>
    <row r="41" spans="1:17" x14ac:dyDescent="0.3">
      <c r="A41" s="811" t="s">
        <v>1789</v>
      </c>
      <c r="B41" s="811" t="s">
        <v>1790</v>
      </c>
      <c r="C41" s="812">
        <v>3000000</v>
      </c>
      <c r="D41" s="811" t="s">
        <v>1509</v>
      </c>
      <c r="E41" s="811" t="s">
        <v>1509</v>
      </c>
      <c r="F41" s="811" t="s">
        <v>1791</v>
      </c>
      <c r="G41" s="811" t="s">
        <v>1727</v>
      </c>
      <c r="H41" s="811" t="s">
        <v>1738</v>
      </c>
      <c r="I41" s="811" t="s">
        <v>1729</v>
      </c>
      <c r="J41" s="813">
        <v>3000000</v>
      </c>
      <c r="K41" s="811" t="s">
        <v>1730</v>
      </c>
      <c r="L41" s="811" t="s">
        <v>1189</v>
      </c>
      <c r="M41" s="811" t="s">
        <v>1710</v>
      </c>
      <c r="N41" s="811" t="s">
        <v>1710</v>
      </c>
      <c r="O41" s="811" t="s">
        <v>1784</v>
      </c>
      <c r="P41" s="811" t="s">
        <v>1732</v>
      </c>
      <c r="Q41" s="811" t="s">
        <v>1785</v>
      </c>
    </row>
    <row r="42" spans="1:17" x14ac:dyDescent="0.3">
      <c r="A42" s="811" t="s">
        <v>1724</v>
      </c>
      <c r="B42" s="811" t="s">
        <v>1792</v>
      </c>
      <c r="C42" s="812">
        <v>25000000</v>
      </c>
      <c r="D42" s="811" t="s">
        <v>1509</v>
      </c>
      <c r="E42" s="811" t="s">
        <v>1509</v>
      </c>
      <c r="F42" s="811" t="s">
        <v>1793</v>
      </c>
      <c r="G42" s="811" t="s">
        <v>1727</v>
      </c>
      <c r="H42" s="811" t="s">
        <v>1728</v>
      </c>
      <c r="I42" s="811" t="s">
        <v>1729</v>
      </c>
      <c r="J42" s="813">
        <v>25000000</v>
      </c>
      <c r="K42" s="811" t="s">
        <v>1730</v>
      </c>
      <c r="L42" s="811" t="s">
        <v>1189</v>
      </c>
      <c r="M42" s="811" t="s">
        <v>1710</v>
      </c>
      <c r="N42" s="811" t="s">
        <v>1710</v>
      </c>
      <c r="O42" s="811" t="s">
        <v>1784</v>
      </c>
      <c r="P42" s="811" t="s">
        <v>1732</v>
      </c>
      <c r="Q42" s="811" t="s">
        <v>1785</v>
      </c>
    </row>
    <row r="43" spans="1:17" x14ac:dyDescent="0.3">
      <c r="A43" s="811" t="s">
        <v>1724</v>
      </c>
      <c r="B43" s="811" t="s">
        <v>1794</v>
      </c>
      <c r="C43" s="812">
        <v>35000000</v>
      </c>
      <c r="D43" s="811" t="s">
        <v>1510</v>
      </c>
      <c r="E43" s="811" t="s">
        <v>1510</v>
      </c>
      <c r="F43" s="811" t="s">
        <v>1737</v>
      </c>
      <c r="G43" s="811" t="s">
        <v>1727</v>
      </c>
      <c r="H43" s="811" t="s">
        <v>1728</v>
      </c>
      <c r="I43" s="811" t="s">
        <v>1729</v>
      </c>
      <c r="J43" s="813">
        <v>35000000</v>
      </c>
      <c r="K43" s="811" t="s">
        <v>1730</v>
      </c>
      <c r="L43" s="811" t="s">
        <v>1189</v>
      </c>
      <c r="M43" s="811" t="s">
        <v>1710</v>
      </c>
      <c r="N43" s="811" t="s">
        <v>1710</v>
      </c>
      <c r="O43" s="811" t="s">
        <v>1784</v>
      </c>
      <c r="P43" s="811" t="s">
        <v>1732</v>
      </c>
      <c r="Q43" s="811" t="s">
        <v>1785</v>
      </c>
    </row>
    <row r="44" spans="1:17" x14ac:dyDescent="0.3">
      <c r="A44" s="811" t="s">
        <v>1724</v>
      </c>
      <c r="B44" s="811" t="s">
        <v>1795</v>
      </c>
      <c r="C44" s="812">
        <v>35000000</v>
      </c>
      <c r="D44" s="811" t="s">
        <v>1510</v>
      </c>
      <c r="E44" s="811" t="s">
        <v>1510</v>
      </c>
      <c r="F44" s="811" t="s">
        <v>1737</v>
      </c>
      <c r="G44" s="811" t="s">
        <v>1727</v>
      </c>
      <c r="H44" s="811" t="s">
        <v>1728</v>
      </c>
      <c r="I44" s="811" t="s">
        <v>1729</v>
      </c>
      <c r="J44" s="813">
        <v>35000000</v>
      </c>
      <c r="K44" s="811" t="s">
        <v>1730</v>
      </c>
      <c r="L44" s="811" t="s">
        <v>1189</v>
      </c>
      <c r="M44" s="811" t="s">
        <v>1710</v>
      </c>
      <c r="N44" s="811" t="s">
        <v>1710</v>
      </c>
      <c r="O44" s="811" t="s">
        <v>1784</v>
      </c>
      <c r="P44" s="811" t="s">
        <v>1732</v>
      </c>
      <c r="Q44" s="811" t="s">
        <v>1785</v>
      </c>
    </row>
    <row r="45" spans="1:17" x14ac:dyDescent="0.3">
      <c r="A45" s="811" t="s">
        <v>1724</v>
      </c>
      <c r="B45" s="811" t="s">
        <v>1796</v>
      </c>
      <c r="C45" s="812">
        <v>12000000</v>
      </c>
      <c r="D45" s="811" t="s">
        <v>1510</v>
      </c>
      <c r="E45" s="811" t="s">
        <v>1510</v>
      </c>
      <c r="F45" s="811" t="s">
        <v>1737</v>
      </c>
      <c r="G45" s="811" t="s">
        <v>1727</v>
      </c>
      <c r="H45" s="811" t="s">
        <v>1728</v>
      </c>
      <c r="I45" s="811" t="s">
        <v>1729</v>
      </c>
      <c r="J45" s="813">
        <v>12000000</v>
      </c>
      <c r="K45" s="811" t="s">
        <v>1730</v>
      </c>
      <c r="L45" s="811" t="s">
        <v>1189</v>
      </c>
      <c r="M45" s="811" t="s">
        <v>1710</v>
      </c>
      <c r="N45" s="811" t="s">
        <v>1710</v>
      </c>
      <c r="O45" s="811" t="s">
        <v>1784</v>
      </c>
      <c r="P45" s="811" t="s">
        <v>1732</v>
      </c>
      <c r="Q45" s="811" t="s">
        <v>1785</v>
      </c>
    </row>
    <row r="46" spans="1:17" x14ac:dyDescent="0.3">
      <c r="A46" s="811" t="s">
        <v>1724</v>
      </c>
      <c r="B46" s="811" t="s">
        <v>1797</v>
      </c>
      <c r="C46" s="812">
        <v>23621677</v>
      </c>
      <c r="D46" s="811" t="s">
        <v>1509</v>
      </c>
      <c r="E46" s="811" t="s">
        <v>1509</v>
      </c>
      <c r="F46" s="811" t="s">
        <v>1793</v>
      </c>
      <c r="G46" s="811" t="s">
        <v>1727</v>
      </c>
      <c r="H46" s="811" t="s">
        <v>1728</v>
      </c>
      <c r="I46" s="811" t="s">
        <v>1729</v>
      </c>
      <c r="J46" s="813">
        <v>23621677</v>
      </c>
      <c r="K46" s="811" t="s">
        <v>1730</v>
      </c>
      <c r="L46" s="811" t="s">
        <v>1189</v>
      </c>
      <c r="M46" s="811" t="s">
        <v>1710</v>
      </c>
      <c r="N46" s="811" t="s">
        <v>1710</v>
      </c>
      <c r="O46" s="811" t="s">
        <v>1798</v>
      </c>
      <c r="P46" s="811" t="s">
        <v>1732</v>
      </c>
      <c r="Q46" s="811" t="s">
        <v>1799</v>
      </c>
    </row>
    <row r="47" spans="1:17" x14ac:dyDescent="0.3">
      <c r="A47" s="811" t="s">
        <v>1800</v>
      </c>
      <c r="B47" s="811" t="s">
        <v>1801</v>
      </c>
      <c r="C47" s="812">
        <v>300000000</v>
      </c>
      <c r="D47" s="811" t="s">
        <v>1510</v>
      </c>
      <c r="E47" s="811" t="s">
        <v>1525</v>
      </c>
      <c r="F47" s="811" t="s">
        <v>1802</v>
      </c>
      <c r="G47" s="811" t="s">
        <v>1727</v>
      </c>
      <c r="H47" s="811" t="s">
        <v>1803</v>
      </c>
      <c r="I47" s="811" t="s">
        <v>1729</v>
      </c>
      <c r="J47" s="813">
        <v>300000000</v>
      </c>
      <c r="K47" s="811" t="s">
        <v>1730</v>
      </c>
      <c r="L47" s="811" t="s">
        <v>1189</v>
      </c>
      <c r="M47" s="811" t="s">
        <v>1710</v>
      </c>
      <c r="N47" s="811" t="s">
        <v>1710</v>
      </c>
      <c r="O47" s="811" t="s">
        <v>1804</v>
      </c>
      <c r="P47" s="811" t="s">
        <v>1732</v>
      </c>
      <c r="Q47" s="811" t="s">
        <v>1739</v>
      </c>
    </row>
    <row r="48" spans="1:17" x14ac:dyDescent="0.3">
      <c r="A48" s="811" t="s">
        <v>1724</v>
      </c>
      <c r="B48" s="811" t="s">
        <v>1805</v>
      </c>
      <c r="C48" s="812">
        <v>15600000</v>
      </c>
      <c r="D48" s="811" t="s">
        <v>1509</v>
      </c>
      <c r="E48" s="811" t="s">
        <v>1510</v>
      </c>
      <c r="F48" s="811" t="s">
        <v>1737</v>
      </c>
      <c r="G48" s="811" t="s">
        <v>1727</v>
      </c>
      <c r="H48" s="811" t="s">
        <v>1728</v>
      </c>
      <c r="I48" s="811" t="s">
        <v>1729</v>
      </c>
      <c r="J48" s="813">
        <v>15600000</v>
      </c>
      <c r="K48" s="811" t="s">
        <v>1730</v>
      </c>
      <c r="L48" s="811" t="s">
        <v>1189</v>
      </c>
      <c r="M48" s="811" t="s">
        <v>1710</v>
      </c>
      <c r="N48" s="811" t="s">
        <v>1710</v>
      </c>
      <c r="O48" s="811" t="s">
        <v>1804</v>
      </c>
      <c r="P48" s="811" t="s">
        <v>1732</v>
      </c>
      <c r="Q48" s="811" t="s">
        <v>1739</v>
      </c>
    </row>
    <row r="49" spans="1:17" x14ac:dyDescent="0.3">
      <c r="A49" s="811" t="s">
        <v>1806</v>
      </c>
      <c r="B49" s="811" t="s">
        <v>1807</v>
      </c>
      <c r="C49" s="812">
        <v>8000000</v>
      </c>
      <c r="D49" s="811" t="s">
        <v>1509</v>
      </c>
      <c r="E49" s="811" t="s">
        <v>1509</v>
      </c>
      <c r="F49" s="811" t="s">
        <v>1802</v>
      </c>
      <c r="G49" s="811" t="s">
        <v>1727</v>
      </c>
      <c r="H49" s="811" t="s">
        <v>1650</v>
      </c>
      <c r="I49" s="811" t="s">
        <v>1729</v>
      </c>
      <c r="J49" s="813">
        <v>8000000</v>
      </c>
      <c r="K49" s="811" t="s">
        <v>1730</v>
      </c>
      <c r="L49" s="811" t="s">
        <v>1189</v>
      </c>
      <c r="M49" s="811" t="s">
        <v>1710</v>
      </c>
      <c r="N49" s="811" t="s">
        <v>1710</v>
      </c>
      <c r="O49" s="811" t="s">
        <v>1804</v>
      </c>
      <c r="P49" s="811" t="s">
        <v>1732</v>
      </c>
      <c r="Q49" s="811" t="s">
        <v>1739</v>
      </c>
    </row>
    <row r="50" spans="1:17" x14ac:dyDescent="0.3">
      <c r="A50" s="811" t="s">
        <v>1808</v>
      </c>
      <c r="B50" s="811" t="s">
        <v>1809</v>
      </c>
      <c r="C50" s="812">
        <v>300000000</v>
      </c>
      <c r="D50" s="811" t="s">
        <v>1502</v>
      </c>
      <c r="E50" s="811" t="s">
        <v>1509</v>
      </c>
      <c r="F50" s="811" t="s">
        <v>1726</v>
      </c>
      <c r="G50" s="811" t="s">
        <v>1727</v>
      </c>
      <c r="H50" s="811" t="s">
        <v>1728</v>
      </c>
      <c r="I50" s="811" t="s">
        <v>1729</v>
      </c>
      <c r="J50" s="813">
        <v>300000000</v>
      </c>
      <c r="K50" s="811" t="s">
        <v>1730</v>
      </c>
      <c r="L50" s="811" t="s">
        <v>1189</v>
      </c>
      <c r="M50" s="811" t="s">
        <v>1710</v>
      </c>
      <c r="N50" s="811" t="s">
        <v>1710</v>
      </c>
      <c r="O50" s="811" t="s">
        <v>1804</v>
      </c>
      <c r="P50" s="811" t="s">
        <v>1732</v>
      </c>
      <c r="Q50" s="811" t="s">
        <v>1739</v>
      </c>
    </row>
    <row r="51" spans="1:17" x14ac:dyDescent="0.3">
      <c r="A51" s="811" t="s">
        <v>1810</v>
      </c>
      <c r="B51" s="811" t="s">
        <v>1811</v>
      </c>
      <c r="C51" s="812">
        <v>2000000000</v>
      </c>
      <c r="D51" s="811" t="s">
        <v>1502</v>
      </c>
      <c r="E51" s="811" t="s">
        <v>1502</v>
      </c>
      <c r="F51" s="811" t="s">
        <v>1791</v>
      </c>
      <c r="G51" s="811" t="s">
        <v>1727</v>
      </c>
      <c r="H51" s="811" t="s">
        <v>1728</v>
      </c>
      <c r="I51" s="811" t="s">
        <v>1729</v>
      </c>
      <c r="J51" s="813">
        <v>2000000000</v>
      </c>
      <c r="K51" s="811" t="s">
        <v>1730</v>
      </c>
      <c r="L51" s="811" t="s">
        <v>1189</v>
      </c>
      <c r="M51" s="811" t="s">
        <v>1710</v>
      </c>
      <c r="N51" s="811" t="s">
        <v>1710</v>
      </c>
      <c r="O51" s="811" t="s">
        <v>1804</v>
      </c>
      <c r="P51" s="811" t="s">
        <v>1732</v>
      </c>
      <c r="Q51" s="811" t="s">
        <v>1739</v>
      </c>
    </row>
    <row r="52" spans="1:17" x14ac:dyDescent="0.3">
      <c r="A52" s="811" t="s">
        <v>1812</v>
      </c>
      <c r="B52" s="811" t="s">
        <v>1813</v>
      </c>
      <c r="C52" s="812">
        <v>200000000</v>
      </c>
      <c r="D52" s="811" t="s">
        <v>1525</v>
      </c>
      <c r="E52" s="811" t="s">
        <v>1525</v>
      </c>
      <c r="F52" s="811" t="s">
        <v>1814</v>
      </c>
      <c r="G52" s="811" t="s">
        <v>1727</v>
      </c>
      <c r="H52" s="811" t="s">
        <v>1815</v>
      </c>
      <c r="I52" s="811" t="s">
        <v>1729</v>
      </c>
      <c r="J52" s="813">
        <v>200000000</v>
      </c>
      <c r="K52" s="811" t="s">
        <v>1730</v>
      </c>
      <c r="L52" s="811" t="s">
        <v>1189</v>
      </c>
      <c r="M52" s="811" t="s">
        <v>1710</v>
      </c>
      <c r="N52" s="811" t="s">
        <v>1710</v>
      </c>
      <c r="O52" s="811" t="s">
        <v>1804</v>
      </c>
      <c r="P52" s="811" t="s">
        <v>1732</v>
      </c>
      <c r="Q52" s="811" t="s">
        <v>1739</v>
      </c>
    </row>
    <row r="53" spans="1:17" x14ac:dyDescent="0.3">
      <c r="A53" s="811" t="s">
        <v>1816</v>
      </c>
      <c r="B53" s="811" t="s">
        <v>1817</v>
      </c>
      <c r="C53" s="812">
        <v>300000000</v>
      </c>
      <c r="D53" s="811" t="s">
        <v>1502</v>
      </c>
      <c r="E53" s="811" t="s">
        <v>1509</v>
      </c>
      <c r="F53" s="811" t="s">
        <v>1726</v>
      </c>
      <c r="G53" s="811" t="s">
        <v>1727</v>
      </c>
      <c r="H53" s="811" t="s">
        <v>1728</v>
      </c>
      <c r="I53" s="811" t="s">
        <v>1729</v>
      </c>
      <c r="J53" s="813">
        <v>300000000</v>
      </c>
      <c r="K53" s="811" t="s">
        <v>1730</v>
      </c>
      <c r="L53" s="811" t="s">
        <v>1189</v>
      </c>
      <c r="M53" s="811" t="s">
        <v>1710</v>
      </c>
      <c r="N53" s="811" t="s">
        <v>1710</v>
      </c>
      <c r="O53" s="811" t="s">
        <v>1804</v>
      </c>
      <c r="P53" s="811" t="s">
        <v>1732</v>
      </c>
      <c r="Q53" s="811" t="s">
        <v>1739</v>
      </c>
    </row>
    <row r="54" spans="1:17" x14ac:dyDescent="0.3">
      <c r="A54" s="811" t="s">
        <v>1818</v>
      </c>
      <c r="B54" s="811" t="s">
        <v>1819</v>
      </c>
      <c r="C54" s="812">
        <v>200000000</v>
      </c>
      <c r="D54" s="811" t="s">
        <v>1510</v>
      </c>
      <c r="E54" s="811" t="s">
        <v>1510</v>
      </c>
      <c r="F54" s="811" t="s">
        <v>1791</v>
      </c>
      <c r="G54" s="811" t="s">
        <v>1727</v>
      </c>
      <c r="H54" s="811" t="s">
        <v>1803</v>
      </c>
      <c r="I54" s="811" t="s">
        <v>1729</v>
      </c>
      <c r="J54" s="813">
        <v>200000000</v>
      </c>
      <c r="K54" s="811" t="s">
        <v>1730</v>
      </c>
      <c r="L54" s="811" t="s">
        <v>1189</v>
      </c>
      <c r="M54" s="811" t="s">
        <v>1710</v>
      </c>
      <c r="N54" s="811" t="s">
        <v>1710</v>
      </c>
      <c r="O54" s="811" t="s">
        <v>1804</v>
      </c>
      <c r="P54" s="811" t="s">
        <v>1732</v>
      </c>
      <c r="Q54" s="811" t="s">
        <v>1739</v>
      </c>
    </row>
    <row r="55" spans="1:17" x14ac:dyDescent="0.3">
      <c r="A55" s="811" t="s">
        <v>1820</v>
      </c>
      <c r="B55" s="811" t="s">
        <v>1821</v>
      </c>
      <c r="C55" s="812">
        <v>100000000</v>
      </c>
      <c r="D55" s="811" t="s">
        <v>1510</v>
      </c>
      <c r="E55" s="811" t="s">
        <v>1525</v>
      </c>
      <c r="F55" s="811" t="s">
        <v>1814</v>
      </c>
      <c r="G55" s="811" t="s">
        <v>1727</v>
      </c>
      <c r="H55" s="811" t="s">
        <v>1728</v>
      </c>
      <c r="I55" s="811" t="s">
        <v>1729</v>
      </c>
      <c r="J55" s="813">
        <v>100000000</v>
      </c>
      <c r="K55" s="811" t="s">
        <v>1730</v>
      </c>
      <c r="L55" s="811" t="s">
        <v>1189</v>
      </c>
      <c r="M55" s="811" t="s">
        <v>1710</v>
      </c>
      <c r="N55" s="811" t="s">
        <v>1710</v>
      </c>
      <c r="O55" s="811" t="s">
        <v>1804</v>
      </c>
      <c r="P55" s="811" t="s">
        <v>1732</v>
      </c>
      <c r="Q55" s="811" t="s">
        <v>1739</v>
      </c>
    </row>
    <row r="56" spans="1:17" x14ac:dyDescent="0.3">
      <c r="A56" s="811" t="s">
        <v>1724</v>
      </c>
      <c r="B56" s="811" t="s">
        <v>1822</v>
      </c>
      <c r="C56" s="812">
        <v>42400000</v>
      </c>
      <c r="D56" s="811" t="s">
        <v>1611</v>
      </c>
      <c r="E56" s="811" t="s">
        <v>1611</v>
      </c>
      <c r="F56" s="811" t="s">
        <v>1726</v>
      </c>
      <c r="G56" s="811" t="s">
        <v>1727</v>
      </c>
      <c r="H56" s="811" t="s">
        <v>1728</v>
      </c>
      <c r="I56" s="811" t="s">
        <v>1729</v>
      </c>
      <c r="J56" s="813">
        <v>42400000</v>
      </c>
      <c r="K56" s="811" t="s">
        <v>1730</v>
      </c>
      <c r="L56" s="811" t="s">
        <v>1189</v>
      </c>
      <c r="M56" s="811" t="s">
        <v>1710</v>
      </c>
      <c r="N56" s="811" t="s">
        <v>1710</v>
      </c>
      <c r="O56" s="811" t="s">
        <v>1761</v>
      </c>
      <c r="P56" s="811" t="s">
        <v>1732</v>
      </c>
      <c r="Q56" s="811" t="s">
        <v>1733</v>
      </c>
    </row>
    <row r="57" spans="1:17" x14ac:dyDescent="0.3">
      <c r="A57" s="811" t="s">
        <v>1724</v>
      </c>
      <c r="B57" s="811" t="s">
        <v>1823</v>
      </c>
      <c r="C57" s="812">
        <v>34100000</v>
      </c>
      <c r="D57" s="811" t="s">
        <v>1611</v>
      </c>
      <c r="E57" s="811" t="s">
        <v>1611</v>
      </c>
      <c r="F57" s="811" t="s">
        <v>1726</v>
      </c>
      <c r="G57" s="811" t="s">
        <v>1727</v>
      </c>
      <c r="H57" s="811" t="s">
        <v>1728</v>
      </c>
      <c r="I57" s="811" t="s">
        <v>1729</v>
      </c>
      <c r="J57" s="813">
        <v>34100000</v>
      </c>
      <c r="K57" s="811" t="s">
        <v>1730</v>
      </c>
      <c r="L57" s="811" t="s">
        <v>1189</v>
      </c>
      <c r="M57" s="811" t="s">
        <v>1710</v>
      </c>
      <c r="N57" s="811" t="s">
        <v>1710</v>
      </c>
      <c r="O57" s="811" t="s">
        <v>1761</v>
      </c>
      <c r="P57" s="811" t="s">
        <v>1732</v>
      </c>
      <c r="Q57" s="811" t="s">
        <v>1733</v>
      </c>
    </row>
    <row r="58" spans="1:17" x14ac:dyDescent="0.3">
      <c r="A58" s="811" t="s">
        <v>1724</v>
      </c>
      <c r="B58" s="811" t="s">
        <v>1824</v>
      </c>
      <c r="C58" s="812">
        <v>33000000</v>
      </c>
      <c r="D58" s="811" t="s">
        <v>1611</v>
      </c>
      <c r="E58" s="811" t="s">
        <v>1611</v>
      </c>
      <c r="F58" s="811" t="s">
        <v>1726</v>
      </c>
      <c r="G58" s="811" t="s">
        <v>1727</v>
      </c>
      <c r="H58" s="811" t="s">
        <v>1728</v>
      </c>
      <c r="I58" s="811" t="s">
        <v>1729</v>
      </c>
      <c r="J58" s="813">
        <v>33000000</v>
      </c>
      <c r="K58" s="811" t="s">
        <v>1730</v>
      </c>
      <c r="L58" s="811" t="s">
        <v>1189</v>
      </c>
      <c r="M58" s="811" t="s">
        <v>1710</v>
      </c>
      <c r="N58" s="811" t="s">
        <v>1710</v>
      </c>
      <c r="O58" s="811" t="s">
        <v>1761</v>
      </c>
      <c r="P58" s="811" t="s">
        <v>1732</v>
      </c>
      <c r="Q58" s="811" t="s">
        <v>1733</v>
      </c>
    </row>
    <row r="59" spans="1:17" x14ac:dyDescent="0.3">
      <c r="A59" s="811" t="s">
        <v>1724</v>
      </c>
      <c r="B59" s="811" t="s">
        <v>1825</v>
      </c>
      <c r="C59" s="812">
        <v>44000000</v>
      </c>
      <c r="D59" s="811" t="s">
        <v>1502</v>
      </c>
      <c r="E59" s="811" t="s">
        <v>1502</v>
      </c>
      <c r="F59" s="811" t="s">
        <v>1764</v>
      </c>
      <c r="G59" s="811" t="s">
        <v>1727</v>
      </c>
      <c r="H59" s="811" t="s">
        <v>1728</v>
      </c>
      <c r="I59" s="811" t="s">
        <v>1729</v>
      </c>
      <c r="J59" s="813">
        <v>44000000</v>
      </c>
      <c r="K59" s="811" t="s">
        <v>1730</v>
      </c>
      <c r="L59" s="811" t="s">
        <v>1189</v>
      </c>
      <c r="M59" s="811" t="s">
        <v>1710</v>
      </c>
      <c r="N59" s="811" t="s">
        <v>1710</v>
      </c>
      <c r="O59" s="811" t="s">
        <v>1761</v>
      </c>
      <c r="P59" s="811" t="s">
        <v>1732</v>
      </c>
      <c r="Q59" s="811" t="s">
        <v>1733</v>
      </c>
    </row>
    <row r="60" spans="1:17" x14ac:dyDescent="0.3">
      <c r="A60" s="811" t="s">
        <v>1724</v>
      </c>
      <c r="B60" s="811" t="s">
        <v>1826</v>
      </c>
      <c r="C60" s="812">
        <v>56000000</v>
      </c>
      <c r="D60" s="811" t="s">
        <v>1502</v>
      </c>
      <c r="E60" s="811" t="s">
        <v>1502</v>
      </c>
      <c r="F60" s="811" t="s">
        <v>1773</v>
      </c>
      <c r="G60" s="811" t="s">
        <v>1727</v>
      </c>
      <c r="H60" s="811" t="s">
        <v>1728</v>
      </c>
      <c r="I60" s="811" t="s">
        <v>1729</v>
      </c>
      <c r="J60" s="813">
        <v>56000000</v>
      </c>
      <c r="K60" s="811" t="s">
        <v>1730</v>
      </c>
      <c r="L60" s="811" t="s">
        <v>1189</v>
      </c>
      <c r="M60" s="811" t="s">
        <v>1710</v>
      </c>
      <c r="N60" s="811" t="s">
        <v>1710</v>
      </c>
      <c r="O60" s="811" t="s">
        <v>1761</v>
      </c>
      <c r="P60" s="811" t="s">
        <v>1732</v>
      </c>
      <c r="Q60" s="811" t="s">
        <v>1733</v>
      </c>
    </row>
    <row r="61" spans="1:17" x14ac:dyDescent="0.3">
      <c r="A61" s="811" t="s">
        <v>1724</v>
      </c>
      <c r="B61" s="811" t="s">
        <v>1827</v>
      </c>
      <c r="C61" s="812">
        <v>50150000</v>
      </c>
      <c r="D61" s="811" t="s">
        <v>1611</v>
      </c>
      <c r="E61" s="811" t="s">
        <v>1611</v>
      </c>
      <c r="F61" s="811" t="s">
        <v>1726</v>
      </c>
      <c r="G61" s="811" t="s">
        <v>1727</v>
      </c>
      <c r="H61" s="811" t="s">
        <v>1728</v>
      </c>
      <c r="I61" s="811" t="s">
        <v>1729</v>
      </c>
      <c r="J61" s="813">
        <v>50150000</v>
      </c>
      <c r="K61" s="811" t="s">
        <v>1730</v>
      </c>
      <c r="L61" s="811" t="s">
        <v>1189</v>
      </c>
      <c r="M61" s="811" t="s">
        <v>1710</v>
      </c>
      <c r="N61" s="811" t="s">
        <v>1710</v>
      </c>
      <c r="O61" s="811" t="s">
        <v>1761</v>
      </c>
      <c r="P61" s="811" t="s">
        <v>1732</v>
      </c>
      <c r="Q61" s="811" t="s">
        <v>1733</v>
      </c>
    </row>
    <row r="62" spans="1:17" x14ac:dyDescent="0.3">
      <c r="A62" s="811" t="s">
        <v>1724</v>
      </c>
      <c r="B62" s="811" t="s">
        <v>1828</v>
      </c>
      <c r="C62" s="812">
        <v>32000000</v>
      </c>
      <c r="D62" s="811" t="s">
        <v>1611</v>
      </c>
      <c r="E62" s="811" t="s">
        <v>1611</v>
      </c>
      <c r="F62" s="811" t="s">
        <v>1726</v>
      </c>
      <c r="G62" s="811" t="s">
        <v>1727</v>
      </c>
      <c r="H62" s="811" t="s">
        <v>1728</v>
      </c>
      <c r="I62" s="811" t="s">
        <v>1729</v>
      </c>
      <c r="J62" s="813">
        <v>32000000</v>
      </c>
      <c r="K62" s="811" t="s">
        <v>1730</v>
      </c>
      <c r="L62" s="811" t="s">
        <v>1189</v>
      </c>
      <c r="M62" s="811" t="s">
        <v>1710</v>
      </c>
      <c r="N62" s="811" t="s">
        <v>1710</v>
      </c>
      <c r="O62" s="811" t="s">
        <v>1761</v>
      </c>
      <c r="P62" s="811" t="s">
        <v>1732</v>
      </c>
      <c r="Q62" s="811" t="s">
        <v>1733</v>
      </c>
    </row>
    <row r="63" spans="1:17" x14ac:dyDescent="0.3">
      <c r="A63" s="811" t="s">
        <v>1724</v>
      </c>
      <c r="B63" s="811" t="s">
        <v>1829</v>
      </c>
      <c r="C63" s="812">
        <v>69600000</v>
      </c>
      <c r="D63" s="811" t="s">
        <v>1501</v>
      </c>
      <c r="E63" s="811" t="s">
        <v>1501</v>
      </c>
      <c r="F63" s="811" t="s">
        <v>1726</v>
      </c>
      <c r="G63" s="811" t="s">
        <v>1727</v>
      </c>
      <c r="H63" s="811" t="s">
        <v>1728</v>
      </c>
      <c r="I63" s="811" t="s">
        <v>1729</v>
      </c>
      <c r="J63" s="813">
        <v>69600000</v>
      </c>
      <c r="K63" s="811" t="s">
        <v>1730</v>
      </c>
      <c r="L63" s="811" t="s">
        <v>1189</v>
      </c>
      <c r="M63" s="811" t="s">
        <v>1710</v>
      </c>
      <c r="N63" s="811" t="s">
        <v>1710</v>
      </c>
      <c r="O63" s="811" t="s">
        <v>1804</v>
      </c>
      <c r="P63" s="811" t="s">
        <v>1732</v>
      </c>
      <c r="Q63" s="811" t="s">
        <v>1739</v>
      </c>
    </row>
    <row r="64" spans="1:17" x14ac:dyDescent="0.3">
      <c r="A64" s="811" t="s">
        <v>1724</v>
      </c>
      <c r="B64" s="811" t="s">
        <v>1830</v>
      </c>
      <c r="C64" s="812">
        <v>64000000</v>
      </c>
      <c r="D64" s="811" t="s">
        <v>1501</v>
      </c>
      <c r="E64" s="811" t="s">
        <v>1501</v>
      </c>
      <c r="F64" s="811" t="s">
        <v>1726</v>
      </c>
      <c r="G64" s="811" t="s">
        <v>1727</v>
      </c>
      <c r="H64" s="811" t="s">
        <v>1728</v>
      </c>
      <c r="I64" s="811" t="s">
        <v>1729</v>
      </c>
      <c r="J64" s="813">
        <v>64000000</v>
      </c>
      <c r="K64" s="811" t="s">
        <v>1730</v>
      </c>
      <c r="L64" s="811" t="s">
        <v>1189</v>
      </c>
      <c r="M64" s="811" t="s">
        <v>1710</v>
      </c>
      <c r="N64" s="811" t="s">
        <v>1710</v>
      </c>
      <c r="O64" s="811" t="s">
        <v>1804</v>
      </c>
      <c r="P64" s="811" t="s">
        <v>1732</v>
      </c>
      <c r="Q64" s="811" t="s">
        <v>1739</v>
      </c>
    </row>
    <row r="65" spans="1:17" x14ac:dyDescent="0.3">
      <c r="A65" s="811" t="s">
        <v>1724</v>
      </c>
      <c r="B65" s="811" t="s">
        <v>1831</v>
      </c>
      <c r="C65" s="812">
        <v>46400000</v>
      </c>
      <c r="D65" s="811" t="s">
        <v>1501</v>
      </c>
      <c r="E65" s="811" t="s">
        <v>1501</v>
      </c>
      <c r="F65" s="811" t="s">
        <v>1726</v>
      </c>
      <c r="G65" s="811" t="s">
        <v>1727</v>
      </c>
      <c r="H65" s="811" t="s">
        <v>1728</v>
      </c>
      <c r="I65" s="811" t="s">
        <v>1729</v>
      </c>
      <c r="J65" s="813">
        <v>46400000</v>
      </c>
      <c r="K65" s="811" t="s">
        <v>1730</v>
      </c>
      <c r="L65" s="811" t="s">
        <v>1189</v>
      </c>
      <c r="M65" s="811" t="s">
        <v>1710</v>
      </c>
      <c r="N65" s="811" t="s">
        <v>1710</v>
      </c>
      <c r="O65" s="811" t="s">
        <v>1804</v>
      </c>
      <c r="P65" s="811" t="s">
        <v>1732</v>
      </c>
      <c r="Q65" s="811" t="s">
        <v>1739</v>
      </c>
    </row>
    <row r="66" spans="1:17" x14ac:dyDescent="0.3">
      <c r="A66" s="811" t="s">
        <v>1724</v>
      </c>
      <c r="B66" s="811" t="s">
        <v>1832</v>
      </c>
      <c r="C66" s="812">
        <v>64000000</v>
      </c>
      <c r="D66" s="811" t="s">
        <v>1501</v>
      </c>
      <c r="E66" s="811" t="s">
        <v>1501</v>
      </c>
      <c r="F66" s="811" t="s">
        <v>1726</v>
      </c>
      <c r="G66" s="811" t="s">
        <v>1727</v>
      </c>
      <c r="H66" s="811" t="s">
        <v>1728</v>
      </c>
      <c r="I66" s="811" t="s">
        <v>1729</v>
      </c>
      <c r="J66" s="813">
        <v>64000000</v>
      </c>
      <c r="K66" s="811" t="s">
        <v>1730</v>
      </c>
      <c r="L66" s="811" t="s">
        <v>1189</v>
      </c>
      <c r="M66" s="811" t="s">
        <v>1710</v>
      </c>
      <c r="N66" s="811" t="s">
        <v>1710</v>
      </c>
      <c r="O66" s="811" t="s">
        <v>1804</v>
      </c>
      <c r="P66" s="811" t="s">
        <v>1732</v>
      </c>
      <c r="Q66" s="811" t="s">
        <v>1739</v>
      </c>
    </row>
    <row r="67" spans="1:17" x14ac:dyDescent="0.3">
      <c r="A67" s="811" t="s">
        <v>1724</v>
      </c>
      <c r="B67" s="811" t="s">
        <v>1833</v>
      </c>
      <c r="C67" s="812">
        <v>44000000</v>
      </c>
      <c r="D67" s="811" t="s">
        <v>1505</v>
      </c>
      <c r="E67" s="811" t="s">
        <v>1505</v>
      </c>
      <c r="F67" s="811" t="s">
        <v>1764</v>
      </c>
      <c r="G67" s="811" t="s">
        <v>1727</v>
      </c>
      <c r="H67" s="811" t="s">
        <v>1728</v>
      </c>
      <c r="I67" s="811" t="s">
        <v>1729</v>
      </c>
      <c r="J67" s="813">
        <v>44000000</v>
      </c>
      <c r="K67" s="811" t="s">
        <v>1730</v>
      </c>
      <c r="L67" s="811" t="s">
        <v>1189</v>
      </c>
      <c r="M67" s="811" t="s">
        <v>1710</v>
      </c>
      <c r="N67" s="811" t="s">
        <v>1710</v>
      </c>
      <c r="O67" s="811" t="s">
        <v>1834</v>
      </c>
      <c r="P67" s="811" t="s">
        <v>1835</v>
      </c>
      <c r="Q67" s="811" t="s">
        <v>1733</v>
      </c>
    </row>
    <row r="68" spans="1:17" x14ac:dyDescent="0.3">
      <c r="A68" s="811" t="s">
        <v>1724</v>
      </c>
      <c r="B68" s="811" t="s">
        <v>1836</v>
      </c>
      <c r="C68" s="812">
        <v>39600000</v>
      </c>
      <c r="D68" s="811" t="s">
        <v>1505</v>
      </c>
      <c r="E68" s="811" t="s">
        <v>1505</v>
      </c>
      <c r="F68" s="811" t="s">
        <v>1764</v>
      </c>
      <c r="G68" s="811" t="s">
        <v>1727</v>
      </c>
      <c r="H68" s="811" t="s">
        <v>1728</v>
      </c>
      <c r="I68" s="811" t="s">
        <v>1729</v>
      </c>
      <c r="J68" s="813">
        <v>39600000</v>
      </c>
      <c r="K68" s="811" t="s">
        <v>1730</v>
      </c>
      <c r="L68" s="811" t="s">
        <v>1189</v>
      </c>
      <c r="M68" s="811" t="s">
        <v>1710</v>
      </c>
      <c r="N68" s="811" t="s">
        <v>1710</v>
      </c>
      <c r="O68" s="811" t="s">
        <v>1834</v>
      </c>
      <c r="P68" s="811" t="s">
        <v>1835</v>
      </c>
      <c r="Q68" s="811" t="s">
        <v>1733</v>
      </c>
    </row>
    <row r="69" spans="1:17" x14ac:dyDescent="0.3">
      <c r="A69" s="811" t="s">
        <v>1724</v>
      </c>
      <c r="B69" s="811" t="s">
        <v>1837</v>
      </c>
      <c r="C69" s="812">
        <v>58300000</v>
      </c>
      <c r="D69" s="811" t="s">
        <v>1505</v>
      </c>
      <c r="E69" s="811" t="s">
        <v>1505</v>
      </c>
      <c r="F69" s="811" t="s">
        <v>1764</v>
      </c>
      <c r="G69" s="811" t="s">
        <v>1727</v>
      </c>
      <c r="H69" s="811" t="s">
        <v>1728</v>
      </c>
      <c r="I69" s="811" t="s">
        <v>1729</v>
      </c>
      <c r="J69" s="813">
        <v>58300000</v>
      </c>
      <c r="K69" s="811" t="s">
        <v>1730</v>
      </c>
      <c r="L69" s="811" t="s">
        <v>1189</v>
      </c>
      <c r="M69" s="811" t="s">
        <v>1710</v>
      </c>
      <c r="N69" s="811" t="s">
        <v>1710</v>
      </c>
      <c r="O69" s="811" t="s">
        <v>1834</v>
      </c>
      <c r="P69" s="811" t="s">
        <v>1835</v>
      </c>
      <c r="Q69" s="811" t="s">
        <v>1733</v>
      </c>
    </row>
    <row r="70" spans="1:17" x14ac:dyDescent="0.3">
      <c r="A70" s="811" t="s">
        <v>1724</v>
      </c>
      <c r="B70" s="811" t="s">
        <v>1838</v>
      </c>
      <c r="C70" s="812">
        <v>20800000</v>
      </c>
      <c r="D70" s="811" t="s">
        <v>1611</v>
      </c>
      <c r="E70" s="811" t="s">
        <v>1611</v>
      </c>
      <c r="F70" s="811" t="s">
        <v>1726</v>
      </c>
      <c r="G70" s="811" t="s">
        <v>1727</v>
      </c>
      <c r="H70" s="811" t="s">
        <v>1728</v>
      </c>
      <c r="I70" s="811" t="s">
        <v>1729</v>
      </c>
      <c r="J70" s="813">
        <v>20800000</v>
      </c>
      <c r="K70" s="811" t="s">
        <v>1730</v>
      </c>
      <c r="L70" s="811" t="s">
        <v>1189</v>
      </c>
      <c r="M70" s="811" t="s">
        <v>1710</v>
      </c>
      <c r="N70" s="811" t="s">
        <v>1710</v>
      </c>
      <c r="O70" s="811" t="s">
        <v>1731</v>
      </c>
      <c r="P70" s="811" t="s">
        <v>1732</v>
      </c>
      <c r="Q70" s="811" t="s">
        <v>1733</v>
      </c>
    </row>
    <row r="71" spans="1:17" x14ac:dyDescent="0.3">
      <c r="A71" s="811" t="s">
        <v>1724</v>
      </c>
      <c r="B71" s="811" t="s">
        <v>1839</v>
      </c>
      <c r="C71" s="812">
        <v>20800000</v>
      </c>
      <c r="D71" s="811" t="s">
        <v>1611</v>
      </c>
      <c r="E71" s="811" t="s">
        <v>1611</v>
      </c>
      <c r="F71" s="811" t="s">
        <v>1726</v>
      </c>
      <c r="G71" s="811" t="s">
        <v>1727</v>
      </c>
      <c r="H71" s="811" t="s">
        <v>1728</v>
      </c>
      <c r="I71" s="811" t="s">
        <v>1729</v>
      </c>
      <c r="J71" s="813">
        <v>20800000</v>
      </c>
      <c r="K71" s="811" t="s">
        <v>1730</v>
      </c>
      <c r="L71" s="811" t="s">
        <v>1189</v>
      </c>
      <c r="M71" s="811" t="s">
        <v>1710</v>
      </c>
      <c r="N71" s="811" t="s">
        <v>1710</v>
      </c>
      <c r="O71" s="811" t="s">
        <v>1731</v>
      </c>
      <c r="P71" s="811" t="s">
        <v>1732</v>
      </c>
      <c r="Q71" s="811" t="s">
        <v>1733</v>
      </c>
    </row>
    <row r="72" spans="1:17" x14ac:dyDescent="0.3">
      <c r="A72" s="811" t="s">
        <v>1724</v>
      </c>
      <c r="B72" s="811" t="s">
        <v>1840</v>
      </c>
      <c r="C72" s="812">
        <v>20800000</v>
      </c>
      <c r="D72" s="811" t="s">
        <v>1611</v>
      </c>
      <c r="E72" s="811" t="s">
        <v>1611</v>
      </c>
      <c r="F72" s="811" t="s">
        <v>1726</v>
      </c>
      <c r="G72" s="811" t="s">
        <v>1727</v>
      </c>
      <c r="H72" s="811" t="s">
        <v>1728</v>
      </c>
      <c r="I72" s="811" t="s">
        <v>1729</v>
      </c>
      <c r="J72" s="813">
        <v>20800000</v>
      </c>
      <c r="K72" s="811" t="s">
        <v>1730</v>
      </c>
      <c r="L72" s="811" t="s">
        <v>1189</v>
      </c>
      <c r="M72" s="811" t="s">
        <v>1710</v>
      </c>
      <c r="N72" s="811" t="s">
        <v>1710</v>
      </c>
      <c r="O72" s="811" t="s">
        <v>1731</v>
      </c>
      <c r="P72" s="811" t="s">
        <v>1732</v>
      </c>
      <c r="Q72" s="811" t="s">
        <v>1733</v>
      </c>
    </row>
    <row r="73" spans="1:17" x14ac:dyDescent="0.3">
      <c r="A73" s="811" t="s">
        <v>1724</v>
      </c>
      <c r="B73" s="811" t="s">
        <v>1841</v>
      </c>
      <c r="C73" s="812">
        <v>20800000</v>
      </c>
      <c r="D73" s="811" t="s">
        <v>1611</v>
      </c>
      <c r="E73" s="811" t="s">
        <v>1611</v>
      </c>
      <c r="F73" s="811" t="s">
        <v>1726</v>
      </c>
      <c r="G73" s="811" t="s">
        <v>1727</v>
      </c>
      <c r="H73" s="811" t="s">
        <v>1728</v>
      </c>
      <c r="I73" s="811" t="s">
        <v>1729</v>
      </c>
      <c r="J73" s="813">
        <v>20800000</v>
      </c>
      <c r="K73" s="811" t="s">
        <v>1730</v>
      </c>
      <c r="L73" s="811" t="s">
        <v>1189</v>
      </c>
      <c r="M73" s="811" t="s">
        <v>1710</v>
      </c>
      <c r="N73" s="811" t="s">
        <v>1710</v>
      </c>
      <c r="O73" s="811" t="s">
        <v>1731</v>
      </c>
      <c r="P73" s="811" t="s">
        <v>1732</v>
      </c>
      <c r="Q73" s="811" t="s">
        <v>1733</v>
      </c>
    </row>
    <row r="74" spans="1:17" x14ac:dyDescent="0.3">
      <c r="A74" s="811" t="s">
        <v>1724</v>
      </c>
      <c r="B74" s="811" t="s">
        <v>1842</v>
      </c>
      <c r="C74" s="812">
        <v>84000000</v>
      </c>
      <c r="D74" s="811" t="s">
        <v>1495</v>
      </c>
      <c r="E74" s="811" t="s">
        <v>1495</v>
      </c>
      <c r="F74" s="811" t="s">
        <v>1843</v>
      </c>
      <c r="G74" s="811" t="s">
        <v>1727</v>
      </c>
      <c r="H74" s="811" t="s">
        <v>1728</v>
      </c>
      <c r="I74" s="811" t="s">
        <v>1729</v>
      </c>
      <c r="J74" s="813">
        <v>84000000</v>
      </c>
      <c r="K74" s="811" t="s">
        <v>1730</v>
      </c>
      <c r="L74" s="811" t="s">
        <v>1189</v>
      </c>
      <c r="M74" s="811" t="s">
        <v>1710</v>
      </c>
      <c r="N74" s="811" t="s">
        <v>1710</v>
      </c>
      <c r="O74" s="811" t="s">
        <v>1844</v>
      </c>
      <c r="P74" s="811" t="s">
        <v>1732</v>
      </c>
      <c r="Q74" s="811" t="s">
        <v>1780</v>
      </c>
    </row>
    <row r="75" spans="1:17" x14ac:dyDescent="0.3">
      <c r="A75" s="811" t="s">
        <v>1724</v>
      </c>
      <c r="B75" s="811" t="s">
        <v>1845</v>
      </c>
      <c r="C75" s="812">
        <v>85250000</v>
      </c>
      <c r="D75" s="811" t="s">
        <v>1495</v>
      </c>
      <c r="E75" s="811" t="s">
        <v>1495</v>
      </c>
      <c r="F75" s="811" t="s">
        <v>1764</v>
      </c>
      <c r="G75" s="811" t="s">
        <v>1727</v>
      </c>
      <c r="H75" s="811" t="s">
        <v>1728</v>
      </c>
      <c r="I75" s="811" t="s">
        <v>1729</v>
      </c>
      <c r="J75" s="813">
        <v>85250000</v>
      </c>
      <c r="K75" s="811" t="s">
        <v>1730</v>
      </c>
      <c r="L75" s="811" t="s">
        <v>1189</v>
      </c>
      <c r="M75" s="811" t="s">
        <v>1710</v>
      </c>
      <c r="N75" s="811" t="s">
        <v>1710</v>
      </c>
      <c r="O75" s="811" t="s">
        <v>1756</v>
      </c>
      <c r="P75" s="811" t="s">
        <v>1732</v>
      </c>
      <c r="Q75" s="811" t="s">
        <v>1757</v>
      </c>
    </row>
    <row r="76" spans="1:17" x14ac:dyDescent="0.3">
      <c r="A76" s="811" t="s">
        <v>1724</v>
      </c>
      <c r="B76" s="811" t="s">
        <v>1846</v>
      </c>
      <c r="C76" s="812">
        <v>29700000</v>
      </c>
      <c r="D76" s="811" t="s">
        <v>1495</v>
      </c>
      <c r="E76" s="811" t="s">
        <v>1495</v>
      </c>
      <c r="F76" s="811" t="s">
        <v>1764</v>
      </c>
      <c r="G76" s="811" t="s">
        <v>1727</v>
      </c>
      <c r="H76" s="811" t="s">
        <v>1728</v>
      </c>
      <c r="I76" s="811" t="s">
        <v>1729</v>
      </c>
      <c r="J76" s="813">
        <v>29700000</v>
      </c>
      <c r="K76" s="811" t="s">
        <v>1730</v>
      </c>
      <c r="L76" s="811" t="s">
        <v>1189</v>
      </c>
      <c r="M76" s="811" t="s">
        <v>1710</v>
      </c>
      <c r="N76" s="811" t="s">
        <v>1710</v>
      </c>
      <c r="O76" s="811" t="s">
        <v>1756</v>
      </c>
      <c r="P76" s="811" t="s">
        <v>1732</v>
      </c>
      <c r="Q76" s="811" t="s">
        <v>1757</v>
      </c>
    </row>
    <row r="77" spans="1:17" x14ac:dyDescent="0.3">
      <c r="A77" s="811" t="s">
        <v>1724</v>
      </c>
      <c r="B77" s="811" t="s">
        <v>1847</v>
      </c>
      <c r="C77" s="812">
        <v>88000000</v>
      </c>
      <c r="D77" s="811" t="s">
        <v>1495</v>
      </c>
      <c r="E77" s="811" t="s">
        <v>1495</v>
      </c>
      <c r="F77" s="811" t="s">
        <v>1764</v>
      </c>
      <c r="G77" s="811" t="s">
        <v>1727</v>
      </c>
      <c r="H77" s="811" t="s">
        <v>1728</v>
      </c>
      <c r="I77" s="811" t="s">
        <v>1729</v>
      </c>
      <c r="J77" s="813">
        <v>88000000</v>
      </c>
      <c r="K77" s="811" t="s">
        <v>1730</v>
      </c>
      <c r="L77" s="811" t="s">
        <v>1189</v>
      </c>
      <c r="M77" s="811" t="s">
        <v>1710</v>
      </c>
      <c r="N77" s="811" t="s">
        <v>1710</v>
      </c>
      <c r="O77" s="811" t="s">
        <v>1756</v>
      </c>
      <c r="P77" s="811" t="s">
        <v>1732</v>
      </c>
      <c r="Q77" s="811" t="s">
        <v>1757</v>
      </c>
    </row>
    <row r="78" spans="1:17" x14ac:dyDescent="0.3">
      <c r="A78" s="811" t="s">
        <v>1724</v>
      </c>
      <c r="B78" s="811" t="s">
        <v>1846</v>
      </c>
      <c r="C78" s="812">
        <v>29700000</v>
      </c>
      <c r="D78" s="811" t="s">
        <v>1495</v>
      </c>
      <c r="E78" s="811" t="s">
        <v>1495</v>
      </c>
      <c r="F78" s="811" t="s">
        <v>1764</v>
      </c>
      <c r="G78" s="811" t="s">
        <v>1727</v>
      </c>
      <c r="H78" s="811" t="s">
        <v>1728</v>
      </c>
      <c r="I78" s="811" t="s">
        <v>1729</v>
      </c>
      <c r="J78" s="813">
        <v>29700000</v>
      </c>
      <c r="K78" s="811" t="s">
        <v>1730</v>
      </c>
      <c r="L78" s="811" t="s">
        <v>1189</v>
      </c>
      <c r="M78" s="811" t="s">
        <v>1710</v>
      </c>
      <c r="N78" s="811" t="s">
        <v>1710</v>
      </c>
      <c r="O78" s="811" t="s">
        <v>1756</v>
      </c>
      <c r="P78" s="811" t="s">
        <v>1732</v>
      </c>
      <c r="Q78" s="811" t="s">
        <v>1757</v>
      </c>
    </row>
    <row r="79" spans="1:17" x14ac:dyDescent="0.3">
      <c r="A79" s="811" t="s">
        <v>1724</v>
      </c>
      <c r="B79" s="811" t="s">
        <v>1766</v>
      </c>
      <c r="C79" s="812">
        <v>47736000</v>
      </c>
      <c r="D79" s="811" t="s">
        <v>1505</v>
      </c>
      <c r="E79" s="811" t="s">
        <v>1505</v>
      </c>
      <c r="F79" s="811" t="s">
        <v>1747</v>
      </c>
      <c r="G79" s="811" t="s">
        <v>1727</v>
      </c>
      <c r="H79" s="811" t="s">
        <v>1728</v>
      </c>
      <c r="I79" s="811" t="s">
        <v>1729</v>
      </c>
      <c r="J79" s="813">
        <v>47736000</v>
      </c>
      <c r="K79" s="811" t="s">
        <v>1730</v>
      </c>
      <c r="L79" s="811" t="s">
        <v>1189</v>
      </c>
      <c r="M79" s="811" t="s">
        <v>1710</v>
      </c>
      <c r="N79" s="811" t="s">
        <v>1710</v>
      </c>
      <c r="O79" s="811" t="s">
        <v>1834</v>
      </c>
      <c r="P79" s="811" t="s">
        <v>1835</v>
      </c>
      <c r="Q79" s="811" t="s">
        <v>1733</v>
      </c>
    </row>
    <row r="80" spans="1:17" x14ac:dyDescent="0.3">
      <c r="A80" s="811" t="s">
        <v>1724</v>
      </c>
      <c r="B80" s="811" t="s">
        <v>1848</v>
      </c>
      <c r="C80" s="812">
        <v>112560000</v>
      </c>
      <c r="D80" s="811" t="s">
        <v>1505</v>
      </c>
      <c r="E80" s="811" t="s">
        <v>1505</v>
      </c>
      <c r="F80" s="811" t="s">
        <v>1747</v>
      </c>
      <c r="G80" s="811" t="s">
        <v>1727</v>
      </c>
      <c r="H80" s="811" t="s">
        <v>1728</v>
      </c>
      <c r="I80" s="811" t="s">
        <v>1729</v>
      </c>
      <c r="J80" s="813">
        <v>112560000</v>
      </c>
      <c r="K80" s="811" t="s">
        <v>1730</v>
      </c>
      <c r="L80" s="811" t="s">
        <v>1189</v>
      </c>
      <c r="M80" s="811" t="s">
        <v>1710</v>
      </c>
      <c r="N80" s="811" t="s">
        <v>1710</v>
      </c>
      <c r="O80" s="811" t="s">
        <v>1834</v>
      </c>
      <c r="P80" s="811" t="s">
        <v>1835</v>
      </c>
      <c r="Q80" s="811" t="s">
        <v>1733</v>
      </c>
    </row>
    <row r="81" spans="1:17" x14ac:dyDescent="0.3">
      <c r="A81" s="811" t="s">
        <v>1724</v>
      </c>
      <c r="B81" s="811" t="s">
        <v>1766</v>
      </c>
      <c r="C81" s="812">
        <v>112604000</v>
      </c>
      <c r="D81" s="811" t="s">
        <v>1505</v>
      </c>
      <c r="E81" s="811" t="s">
        <v>1505</v>
      </c>
      <c r="F81" s="811" t="s">
        <v>1747</v>
      </c>
      <c r="G81" s="811" t="s">
        <v>1727</v>
      </c>
      <c r="H81" s="811" t="s">
        <v>1728</v>
      </c>
      <c r="I81" s="811" t="s">
        <v>1729</v>
      </c>
      <c r="J81" s="813">
        <v>112604000</v>
      </c>
      <c r="K81" s="811" t="s">
        <v>1730</v>
      </c>
      <c r="L81" s="811" t="s">
        <v>1189</v>
      </c>
      <c r="M81" s="811" t="s">
        <v>1710</v>
      </c>
      <c r="N81" s="811" t="s">
        <v>1710</v>
      </c>
      <c r="O81" s="811" t="s">
        <v>1834</v>
      </c>
      <c r="P81" s="811" t="s">
        <v>1835</v>
      </c>
      <c r="Q81" s="811" t="s">
        <v>1733</v>
      </c>
    </row>
    <row r="82" spans="1:17" x14ac:dyDescent="0.3">
      <c r="A82" s="811" t="s">
        <v>1724</v>
      </c>
      <c r="B82" s="811" t="s">
        <v>1849</v>
      </c>
      <c r="C82" s="812">
        <v>112604000</v>
      </c>
      <c r="D82" s="811" t="s">
        <v>1505</v>
      </c>
      <c r="E82" s="811" t="s">
        <v>1505</v>
      </c>
      <c r="F82" s="811" t="s">
        <v>1747</v>
      </c>
      <c r="G82" s="811" t="s">
        <v>1727</v>
      </c>
      <c r="H82" s="811" t="s">
        <v>1728</v>
      </c>
      <c r="I82" s="811" t="s">
        <v>1729</v>
      </c>
      <c r="J82" s="813">
        <v>112604000</v>
      </c>
      <c r="K82" s="811" t="s">
        <v>1730</v>
      </c>
      <c r="L82" s="811" t="s">
        <v>1189</v>
      </c>
      <c r="M82" s="811" t="s">
        <v>1710</v>
      </c>
      <c r="N82" s="811" t="s">
        <v>1710</v>
      </c>
      <c r="O82" s="811" t="s">
        <v>1834</v>
      </c>
      <c r="P82" s="811" t="s">
        <v>1835</v>
      </c>
      <c r="Q82" s="811" t="s">
        <v>1733</v>
      </c>
    </row>
    <row r="83" spans="1:17" x14ac:dyDescent="0.3">
      <c r="A83" s="811" t="s">
        <v>1724</v>
      </c>
      <c r="B83" s="811" t="s">
        <v>1850</v>
      </c>
      <c r="C83" s="812">
        <v>49608000</v>
      </c>
      <c r="D83" s="811" t="s">
        <v>1505</v>
      </c>
      <c r="E83" s="811" t="s">
        <v>1505</v>
      </c>
      <c r="F83" s="811" t="s">
        <v>1747</v>
      </c>
      <c r="G83" s="811" t="s">
        <v>1727</v>
      </c>
      <c r="H83" s="811" t="s">
        <v>1728</v>
      </c>
      <c r="I83" s="811" t="s">
        <v>1729</v>
      </c>
      <c r="J83" s="813">
        <v>49608000</v>
      </c>
      <c r="K83" s="811" t="s">
        <v>1730</v>
      </c>
      <c r="L83" s="811" t="s">
        <v>1189</v>
      </c>
      <c r="M83" s="811" t="s">
        <v>1710</v>
      </c>
      <c r="N83" s="811" t="s">
        <v>1710</v>
      </c>
      <c r="O83" s="811" t="s">
        <v>1834</v>
      </c>
      <c r="P83" s="811" t="s">
        <v>1835</v>
      </c>
      <c r="Q83" s="811" t="s">
        <v>1733</v>
      </c>
    </row>
    <row r="84" spans="1:17" x14ac:dyDescent="0.3">
      <c r="A84" s="811" t="s">
        <v>1745</v>
      </c>
      <c r="B84" s="811" t="s">
        <v>1851</v>
      </c>
      <c r="C84" s="812">
        <v>356000000</v>
      </c>
      <c r="D84" s="811" t="s">
        <v>1510</v>
      </c>
      <c r="E84" s="811" t="s">
        <v>1510</v>
      </c>
      <c r="F84" s="811" t="s">
        <v>1747</v>
      </c>
      <c r="G84" s="811" t="s">
        <v>1727</v>
      </c>
      <c r="H84" s="811" t="s">
        <v>1728</v>
      </c>
      <c r="I84" s="811" t="s">
        <v>1729</v>
      </c>
      <c r="J84" s="813">
        <v>356000000</v>
      </c>
      <c r="K84" s="811" t="s">
        <v>1730</v>
      </c>
      <c r="L84" s="811" t="s">
        <v>1189</v>
      </c>
      <c r="M84" s="811" t="s">
        <v>1710</v>
      </c>
      <c r="N84" s="811" t="s">
        <v>1710</v>
      </c>
      <c r="O84" s="811" t="s">
        <v>1852</v>
      </c>
      <c r="P84" s="811" t="s">
        <v>1732</v>
      </c>
      <c r="Q84" s="811" t="s">
        <v>1733</v>
      </c>
    </row>
    <row r="85" spans="1:17" x14ac:dyDescent="0.3">
      <c r="A85" s="811" t="s">
        <v>1745</v>
      </c>
      <c r="B85" s="811" t="s">
        <v>1853</v>
      </c>
      <c r="C85" s="812">
        <v>257000000</v>
      </c>
      <c r="D85" s="811" t="s">
        <v>1510</v>
      </c>
      <c r="E85" s="811" t="s">
        <v>1510</v>
      </c>
      <c r="F85" s="811" t="s">
        <v>1747</v>
      </c>
      <c r="G85" s="811" t="s">
        <v>1727</v>
      </c>
      <c r="H85" s="811" t="s">
        <v>1728</v>
      </c>
      <c r="I85" s="811" t="s">
        <v>1729</v>
      </c>
      <c r="J85" s="813">
        <v>257000000</v>
      </c>
      <c r="K85" s="811" t="s">
        <v>1730</v>
      </c>
      <c r="L85" s="811" t="s">
        <v>1189</v>
      </c>
      <c r="M85" s="811" t="s">
        <v>1710</v>
      </c>
      <c r="N85" s="811" t="s">
        <v>1710</v>
      </c>
      <c r="O85" s="811" t="s">
        <v>1731</v>
      </c>
      <c r="P85" s="811" t="s">
        <v>1732</v>
      </c>
      <c r="Q85" s="811" t="s">
        <v>1733</v>
      </c>
    </row>
    <row r="86" spans="1:17" x14ac:dyDescent="0.3">
      <c r="A86" s="811" t="s">
        <v>1745</v>
      </c>
      <c r="B86" s="811" t="s">
        <v>1854</v>
      </c>
      <c r="C86" s="812">
        <v>316000000</v>
      </c>
      <c r="D86" s="811" t="s">
        <v>1525</v>
      </c>
      <c r="E86" s="811" t="s">
        <v>1525</v>
      </c>
      <c r="F86" s="811" t="s">
        <v>1747</v>
      </c>
      <c r="G86" s="811" t="s">
        <v>1727</v>
      </c>
      <c r="H86" s="811" t="s">
        <v>1728</v>
      </c>
      <c r="I86" s="811" t="s">
        <v>1729</v>
      </c>
      <c r="J86" s="813">
        <v>316000000</v>
      </c>
      <c r="K86" s="811" t="s">
        <v>1730</v>
      </c>
      <c r="L86" s="811" t="s">
        <v>1189</v>
      </c>
      <c r="M86" s="811" t="s">
        <v>1710</v>
      </c>
      <c r="N86" s="811" t="s">
        <v>1710</v>
      </c>
      <c r="O86" s="811" t="s">
        <v>1731</v>
      </c>
      <c r="P86" s="811" t="s">
        <v>1732</v>
      </c>
      <c r="Q86" s="811" t="s">
        <v>1733</v>
      </c>
    </row>
    <row r="87" spans="1:17" x14ac:dyDescent="0.3">
      <c r="A87" s="811" t="s">
        <v>1745</v>
      </c>
      <c r="B87" s="811" t="s">
        <v>1855</v>
      </c>
      <c r="C87" s="812">
        <v>120000000</v>
      </c>
      <c r="D87" s="811" t="s">
        <v>1509</v>
      </c>
      <c r="E87" s="811" t="s">
        <v>1509</v>
      </c>
      <c r="F87" s="811" t="s">
        <v>1737</v>
      </c>
      <c r="G87" s="811" t="s">
        <v>1727</v>
      </c>
      <c r="H87" s="811" t="s">
        <v>1728</v>
      </c>
      <c r="I87" s="811" t="s">
        <v>1729</v>
      </c>
      <c r="J87" s="813">
        <v>120000000</v>
      </c>
      <c r="K87" s="811" t="s">
        <v>1730</v>
      </c>
      <c r="L87" s="811" t="s">
        <v>1189</v>
      </c>
      <c r="M87" s="811" t="s">
        <v>1710</v>
      </c>
      <c r="N87" s="811" t="s">
        <v>1710</v>
      </c>
      <c r="O87" s="811" t="s">
        <v>1731</v>
      </c>
      <c r="P87" s="811" t="s">
        <v>1732</v>
      </c>
      <c r="Q87" s="811" t="s">
        <v>1733</v>
      </c>
    </row>
    <row r="88" spans="1:17" x14ac:dyDescent="0.3">
      <c r="A88" s="811" t="s">
        <v>1745</v>
      </c>
      <c r="B88" s="811" t="s">
        <v>1856</v>
      </c>
      <c r="C88" s="812">
        <v>381000000</v>
      </c>
      <c r="D88" s="811" t="s">
        <v>1510</v>
      </c>
      <c r="E88" s="811" t="s">
        <v>1510</v>
      </c>
      <c r="F88" s="811" t="s">
        <v>1747</v>
      </c>
      <c r="G88" s="811" t="s">
        <v>1727</v>
      </c>
      <c r="H88" s="811" t="s">
        <v>1728</v>
      </c>
      <c r="I88" s="811" t="s">
        <v>1729</v>
      </c>
      <c r="J88" s="813">
        <v>381000000</v>
      </c>
      <c r="K88" s="811" t="s">
        <v>1730</v>
      </c>
      <c r="L88" s="811" t="s">
        <v>1189</v>
      </c>
      <c r="M88" s="811" t="s">
        <v>1710</v>
      </c>
      <c r="N88" s="811" t="s">
        <v>1710</v>
      </c>
      <c r="O88" s="811" t="s">
        <v>1731</v>
      </c>
      <c r="P88" s="811" t="s">
        <v>1732</v>
      </c>
      <c r="Q88" s="811" t="s">
        <v>1733</v>
      </c>
    </row>
    <row r="89" spans="1:17" x14ac:dyDescent="0.3">
      <c r="A89" s="811" t="s">
        <v>1857</v>
      </c>
      <c r="B89" s="811" t="s">
        <v>1858</v>
      </c>
      <c r="C89" s="812">
        <v>2500000000</v>
      </c>
      <c r="D89" s="811" t="s">
        <v>1514</v>
      </c>
      <c r="E89" s="811" t="s">
        <v>1514</v>
      </c>
      <c r="F89" s="811" t="s">
        <v>1737</v>
      </c>
      <c r="G89" s="811" t="s">
        <v>1727</v>
      </c>
      <c r="H89" s="811" t="s">
        <v>1859</v>
      </c>
      <c r="I89" s="811" t="s">
        <v>1729</v>
      </c>
      <c r="J89" s="813">
        <v>2500000000</v>
      </c>
      <c r="K89" s="811" t="s">
        <v>1730</v>
      </c>
      <c r="L89" s="811" t="s">
        <v>1189</v>
      </c>
      <c r="M89" s="811" t="s">
        <v>1710</v>
      </c>
      <c r="N89" s="811" t="s">
        <v>1710</v>
      </c>
      <c r="O89" s="811" t="s">
        <v>1731</v>
      </c>
      <c r="P89" s="811" t="s">
        <v>1732</v>
      </c>
      <c r="Q89" s="811" t="s">
        <v>1733</v>
      </c>
    </row>
    <row r="90" spans="1:17" x14ac:dyDescent="0.3">
      <c r="A90" s="811" t="s">
        <v>1860</v>
      </c>
      <c r="B90" s="811" t="s">
        <v>1861</v>
      </c>
      <c r="C90" s="812">
        <v>8500000000</v>
      </c>
      <c r="D90" s="811" t="s">
        <v>1514</v>
      </c>
      <c r="E90" s="811" t="s">
        <v>1514</v>
      </c>
      <c r="F90" s="811" t="s">
        <v>1737</v>
      </c>
      <c r="G90" s="811" t="s">
        <v>1727</v>
      </c>
      <c r="H90" s="811" t="s">
        <v>1859</v>
      </c>
      <c r="I90" s="811" t="s">
        <v>1729</v>
      </c>
      <c r="J90" s="813">
        <v>8500000000</v>
      </c>
      <c r="K90" s="811" t="s">
        <v>1730</v>
      </c>
      <c r="L90" s="811" t="s">
        <v>1189</v>
      </c>
      <c r="M90" s="811" t="s">
        <v>1710</v>
      </c>
      <c r="N90" s="811" t="s">
        <v>1710</v>
      </c>
      <c r="O90" s="811" t="s">
        <v>1731</v>
      </c>
      <c r="P90" s="811" t="s">
        <v>1732</v>
      </c>
      <c r="Q90" s="811" t="s">
        <v>1733</v>
      </c>
    </row>
    <row r="91" spans="1:17" x14ac:dyDescent="0.3">
      <c r="A91" s="811" t="s">
        <v>1862</v>
      </c>
      <c r="B91" s="811" t="s">
        <v>1863</v>
      </c>
      <c r="C91" s="812">
        <v>1500000000</v>
      </c>
      <c r="D91" s="811" t="s">
        <v>1525</v>
      </c>
      <c r="E91" s="811" t="s">
        <v>1525</v>
      </c>
      <c r="F91" s="811" t="s">
        <v>1793</v>
      </c>
      <c r="G91" s="811" t="s">
        <v>1727</v>
      </c>
      <c r="H91" s="811" t="s">
        <v>1859</v>
      </c>
      <c r="I91" s="811" t="s">
        <v>1729</v>
      </c>
      <c r="J91" s="813">
        <v>1500000000</v>
      </c>
      <c r="K91" s="811" t="s">
        <v>1730</v>
      </c>
      <c r="L91" s="811" t="s">
        <v>1189</v>
      </c>
      <c r="M91" s="811" t="s">
        <v>1710</v>
      </c>
      <c r="N91" s="811" t="s">
        <v>1710</v>
      </c>
      <c r="O91" s="811" t="s">
        <v>1731</v>
      </c>
      <c r="P91" s="811" t="s">
        <v>1732</v>
      </c>
      <c r="Q91" s="811" t="s">
        <v>1733</v>
      </c>
    </row>
    <row r="92" spans="1:17" x14ac:dyDescent="0.3">
      <c r="A92" s="811" t="s">
        <v>1860</v>
      </c>
      <c r="B92" s="811" t="s">
        <v>1864</v>
      </c>
      <c r="C92" s="812">
        <v>600000000</v>
      </c>
      <c r="D92" s="811" t="s">
        <v>1509</v>
      </c>
      <c r="E92" s="811" t="s">
        <v>1509</v>
      </c>
      <c r="F92" s="811" t="s">
        <v>1793</v>
      </c>
      <c r="G92" s="811" t="s">
        <v>1727</v>
      </c>
      <c r="H92" s="811" t="s">
        <v>1865</v>
      </c>
      <c r="I92" s="811" t="s">
        <v>1729</v>
      </c>
      <c r="J92" s="813">
        <v>600000000</v>
      </c>
      <c r="K92" s="811" t="s">
        <v>1730</v>
      </c>
      <c r="L92" s="811" t="s">
        <v>1189</v>
      </c>
      <c r="M92" s="811" t="s">
        <v>1710</v>
      </c>
      <c r="N92" s="811" t="s">
        <v>1710</v>
      </c>
      <c r="O92" s="811" t="s">
        <v>1731</v>
      </c>
      <c r="P92" s="811" t="s">
        <v>1732</v>
      </c>
      <c r="Q92" s="811" t="s">
        <v>1733</v>
      </c>
    </row>
    <row r="93" spans="1:17" x14ac:dyDescent="0.3">
      <c r="A93" s="811" t="s">
        <v>1724</v>
      </c>
      <c r="B93" s="811" t="s">
        <v>1866</v>
      </c>
      <c r="C93" s="812">
        <v>18000000</v>
      </c>
      <c r="D93" s="811" t="s">
        <v>1509</v>
      </c>
      <c r="E93" s="811" t="s">
        <v>1509</v>
      </c>
      <c r="F93" s="811" t="s">
        <v>1737</v>
      </c>
      <c r="G93" s="811" t="s">
        <v>1727</v>
      </c>
      <c r="H93" s="811" t="s">
        <v>1728</v>
      </c>
      <c r="I93" s="811" t="s">
        <v>1729</v>
      </c>
      <c r="J93" s="813">
        <v>18000000</v>
      </c>
      <c r="K93" s="811" t="s">
        <v>1730</v>
      </c>
      <c r="L93" s="811" t="s">
        <v>1189</v>
      </c>
      <c r="M93" s="811" t="s">
        <v>1710</v>
      </c>
      <c r="N93" s="811" t="s">
        <v>1710</v>
      </c>
      <c r="O93" s="811" t="s">
        <v>432</v>
      </c>
      <c r="P93" s="811" t="s">
        <v>1732</v>
      </c>
      <c r="Q93" s="811" t="s">
        <v>1739</v>
      </c>
    </row>
    <row r="94" spans="1:17" x14ac:dyDescent="0.3">
      <c r="A94" s="811" t="s">
        <v>1724</v>
      </c>
      <c r="B94" s="811" t="s">
        <v>1867</v>
      </c>
      <c r="C94" s="812">
        <v>20000000</v>
      </c>
      <c r="D94" s="811" t="s">
        <v>1502</v>
      </c>
      <c r="E94" s="811" t="s">
        <v>1502</v>
      </c>
      <c r="F94" s="811" t="s">
        <v>1737</v>
      </c>
      <c r="G94" s="811" t="s">
        <v>1727</v>
      </c>
      <c r="H94" s="811" t="s">
        <v>1728</v>
      </c>
      <c r="I94" s="811" t="s">
        <v>1729</v>
      </c>
      <c r="J94" s="813">
        <v>20000000</v>
      </c>
      <c r="K94" s="811" t="s">
        <v>1730</v>
      </c>
      <c r="L94" s="811" t="s">
        <v>1189</v>
      </c>
      <c r="M94" s="811" t="s">
        <v>1710</v>
      </c>
      <c r="N94" s="811" t="s">
        <v>1710</v>
      </c>
      <c r="O94" s="811" t="s">
        <v>1868</v>
      </c>
      <c r="P94" s="811" t="s">
        <v>1732</v>
      </c>
      <c r="Q94" s="811" t="s">
        <v>1785</v>
      </c>
    </row>
    <row r="95" spans="1:17" x14ac:dyDescent="0.3">
      <c r="A95" s="811" t="s">
        <v>1724</v>
      </c>
      <c r="B95" s="811" t="s">
        <v>1869</v>
      </c>
      <c r="C95" s="812">
        <v>49000000</v>
      </c>
      <c r="D95" s="811" t="s">
        <v>1509</v>
      </c>
      <c r="E95" s="811" t="s">
        <v>1509</v>
      </c>
      <c r="F95" s="811" t="s">
        <v>1773</v>
      </c>
      <c r="G95" s="811" t="s">
        <v>1727</v>
      </c>
      <c r="H95" s="811" t="s">
        <v>1728</v>
      </c>
      <c r="I95" s="811" t="s">
        <v>1729</v>
      </c>
      <c r="J95" s="813">
        <v>49000000</v>
      </c>
      <c r="K95" s="811" t="s">
        <v>1730</v>
      </c>
      <c r="L95" s="811" t="s">
        <v>1189</v>
      </c>
      <c r="M95" s="811" t="s">
        <v>1710</v>
      </c>
      <c r="N95" s="811" t="s">
        <v>1710</v>
      </c>
      <c r="O95" s="811" t="s">
        <v>1870</v>
      </c>
      <c r="P95" s="811" t="s">
        <v>1732</v>
      </c>
      <c r="Q95" s="811" t="s">
        <v>1757</v>
      </c>
    </row>
    <row r="96" spans="1:17" x14ac:dyDescent="0.3">
      <c r="A96" s="811" t="s">
        <v>1724</v>
      </c>
      <c r="B96" s="811" t="s">
        <v>1871</v>
      </c>
      <c r="C96" s="812">
        <v>36000000</v>
      </c>
      <c r="D96" s="811" t="s">
        <v>1509</v>
      </c>
      <c r="E96" s="811" t="s">
        <v>1509</v>
      </c>
      <c r="F96" s="811" t="s">
        <v>1726</v>
      </c>
      <c r="G96" s="811" t="s">
        <v>1727</v>
      </c>
      <c r="H96" s="811" t="s">
        <v>1728</v>
      </c>
      <c r="I96" s="811" t="s">
        <v>1729</v>
      </c>
      <c r="J96" s="813">
        <v>36000000</v>
      </c>
      <c r="K96" s="811" t="s">
        <v>1730</v>
      </c>
      <c r="L96" s="811" t="s">
        <v>1189</v>
      </c>
      <c r="M96" s="811" t="s">
        <v>1710</v>
      </c>
      <c r="N96" s="811" t="s">
        <v>1710</v>
      </c>
      <c r="O96" s="811" t="s">
        <v>1870</v>
      </c>
      <c r="P96" s="811" t="s">
        <v>1732</v>
      </c>
      <c r="Q96" s="811" t="s">
        <v>1757</v>
      </c>
    </row>
    <row r="97" spans="1:17" x14ac:dyDescent="0.3">
      <c r="A97" s="811" t="s">
        <v>1724</v>
      </c>
      <c r="B97" s="811" t="s">
        <v>1872</v>
      </c>
      <c r="C97" s="812">
        <v>35000000</v>
      </c>
      <c r="D97" s="811" t="s">
        <v>1509</v>
      </c>
      <c r="E97" s="811" t="s">
        <v>1509</v>
      </c>
      <c r="F97" s="811" t="s">
        <v>1773</v>
      </c>
      <c r="G97" s="811" t="s">
        <v>1727</v>
      </c>
      <c r="H97" s="811" t="s">
        <v>1728</v>
      </c>
      <c r="I97" s="811" t="s">
        <v>1729</v>
      </c>
      <c r="J97" s="813">
        <v>35000000</v>
      </c>
      <c r="K97" s="811" t="s">
        <v>1730</v>
      </c>
      <c r="L97" s="811" t="s">
        <v>1189</v>
      </c>
      <c r="M97" s="811" t="s">
        <v>1710</v>
      </c>
      <c r="N97" s="811" t="s">
        <v>1710</v>
      </c>
      <c r="O97" s="811" t="s">
        <v>1844</v>
      </c>
      <c r="P97" s="811" t="s">
        <v>1732</v>
      </c>
      <c r="Q97" s="811" t="s">
        <v>1780</v>
      </c>
    </row>
    <row r="98" spans="1:17" x14ac:dyDescent="0.3">
      <c r="A98" s="811" t="s">
        <v>1873</v>
      </c>
      <c r="B98" s="811" t="s">
        <v>1874</v>
      </c>
      <c r="C98" s="812">
        <v>566352000</v>
      </c>
      <c r="D98" s="811" t="s">
        <v>1509</v>
      </c>
      <c r="E98" s="811" t="s">
        <v>1509</v>
      </c>
      <c r="F98" s="811" t="s">
        <v>1737</v>
      </c>
      <c r="G98" s="811" t="s">
        <v>1727</v>
      </c>
      <c r="H98" s="811" t="s">
        <v>1728</v>
      </c>
      <c r="I98" s="811" t="s">
        <v>1729</v>
      </c>
      <c r="J98" s="813">
        <v>566352000</v>
      </c>
      <c r="K98" s="811" t="s">
        <v>1730</v>
      </c>
      <c r="L98" s="811" t="s">
        <v>1189</v>
      </c>
      <c r="M98" s="811" t="s">
        <v>1710</v>
      </c>
      <c r="N98" s="811" t="s">
        <v>1710</v>
      </c>
      <c r="O98" s="811" t="s">
        <v>1761</v>
      </c>
      <c r="P98" s="811" t="s">
        <v>1732</v>
      </c>
      <c r="Q98" s="811" t="s">
        <v>1733</v>
      </c>
    </row>
    <row r="99" spans="1:17" x14ac:dyDescent="0.3">
      <c r="A99" s="811" t="s">
        <v>1873</v>
      </c>
      <c r="B99" s="811" t="s">
        <v>1875</v>
      </c>
      <c r="C99" s="812">
        <v>80000000</v>
      </c>
      <c r="D99" s="811" t="s">
        <v>1510</v>
      </c>
      <c r="E99" s="811" t="s">
        <v>1510</v>
      </c>
      <c r="F99" s="811" t="s">
        <v>1737</v>
      </c>
      <c r="G99" s="811" t="s">
        <v>1727</v>
      </c>
      <c r="H99" s="811" t="s">
        <v>1728</v>
      </c>
      <c r="I99" s="811" t="s">
        <v>1729</v>
      </c>
      <c r="J99" s="813">
        <v>80000000</v>
      </c>
      <c r="K99" s="811" t="s">
        <v>1730</v>
      </c>
      <c r="L99" s="811" t="s">
        <v>1189</v>
      </c>
      <c r="M99" s="811" t="s">
        <v>1710</v>
      </c>
      <c r="N99" s="811" t="s">
        <v>1710</v>
      </c>
      <c r="O99" s="811" t="s">
        <v>1761</v>
      </c>
      <c r="P99" s="811" t="s">
        <v>1732</v>
      </c>
      <c r="Q99" s="811" t="s">
        <v>1733</v>
      </c>
    </row>
    <row r="100" spans="1:17" x14ac:dyDescent="0.3">
      <c r="A100" s="811" t="s">
        <v>1876</v>
      </c>
      <c r="B100" s="811" t="s">
        <v>1877</v>
      </c>
      <c r="C100" s="812">
        <v>59015675</v>
      </c>
      <c r="D100" s="811" t="s">
        <v>1510</v>
      </c>
      <c r="E100" s="811" t="s">
        <v>1510</v>
      </c>
      <c r="F100" s="811" t="s">
        <v>1802</v>
      </c>
      <c r="G100" s="811" t="s">
        <v>1727</v>
      </c>
      <c r="H100" s="811" t="s">
        <v>1650</v>
      </c>
      <c r="I100" s="811" t="s">
        <v>1729</v>
      </c>
      <c r="J100" s="813">
        <v>59015675</v>
      </c>
      <c r="K100" s="811" t="s">
        <v>1730</v>
      </c>
      <c r="L100" s="811" t="s">
        <v>1189</v>
      </c>
      <c r="M100" s="811" t="s">
        <v>1710</v>
      </c>
      <c r="N100" s="811" t="s">
        <v>1710</v>
      </c>
      <c r="O100" s="811" t="s">
        <v>1761</v>
      </c>
      <c r="P100" s="811" t="s">
        <v>1732</v>
      </c>
      <c r="Q100" s="811" t="s">
        <v>1733</v>
      </c>
    </row>
    <row r="101" spans="1:17" x14ac:dyDescent="0.3">
      <c r="A101" s="811" t="s">
        <v>1878</v>
      </c>
      <c r="B101" s="811" t="s">
        <v>1879</v>
      </c>
      <c r="C101" s="812">
        <v>55000000</v>
      </c>
      <c r="D101" s="811" t="s">
        <v>1611</v>
      </c>
      <c r="E101" s="811" t="s">
        <v>1611</v>
      </c>
      <c r="F101" s="811" t="s">
        <v>1747</v>
      </c>
      <c r="G101" s="811" t="s">
        <v>1727</v>
      </c>
      <c r="H101" s="811" t="s">
        <v>1728</v>
      </c>
      <c r="I101" s="811" t="s">
        <v>1729</v>
      </c>
      <c r="J101" s="813">
        <v>55000000</v>
      </c>
      <c r="K101" s="811" t="s">
        <v>1730</v>
      </c>
      <c r="L101" s="811" t="s">
        <v>1189</v>
      </c>
      <c r="M101" s="811" t="s">
        <v>1710</v>
      </c>
      <c r="N101" s="811" t="s">
        <v>1710</v>
      </c>
      <c r="O101" s="811" t="s">
        <v>1761</v>
      </c>
      <c r="P101" s="811" t="s">
        <v>1732</v>
      </c>
      <c r="Q101" s="811" t="s">
        <v>1733</v>
      </c>
    </row>
    <row r="102" spans="1:17" x14ac:dyDescent="0.3">
      <c r="A102" s="811" t="s">
        <v>1724</v>
      </c>
      <c r="B102" s="811" t="s">
        <v>1880</v>
      </c>
      <c r="C102" s="812">
        <v>40000000</v>
      </c>
      <c r="D102" s="811" t="s">
        <v>1510</v>
      </c>
      <c r="E102" s="811" t="s">
        <v>1510</v>
      </c>
      <c r="F102" s="811" t="s">
        <v>1814</v>
      </c>
      <c r="G102" s="811" t="s">
        <v>1727</v>
      </c>
      <c r="H102" s="811" t="s">
        <v>1728</v>
      </c>
      <c r="I102" s="811" t="s">
        <v>1729</v>
      </c>
      <c r="J102" s="813">
        <v>40000000</v>
      </c>
      <c r="K102" s="811" t="s">
        <v>1730</v>
      </c>
      <c r="L102" s="811" t="s">
        <v>1189</v>
      </c>
      <c r="M102" s="811" t="s">
        <v>1710</v>
      </c>
      <c r="N102" s="811" t="s">
        <v>1710</v>
      </c>
      <c r="O102" s="811" t="s">
        <v>1761</v>
      </c>
      <c r="P102" s="811" t="s">
        <v>1732</v>
      </c>
      <c r="Q102" s="811" t="s">
        <v>1733</v>
      </c>
    </row>
    <row r="103" spans="1:17" x14ac:dyDescent="0.3">
      <c r="A103" s="811" t="s">
        <v>1878</v>
      </c>
      <c r="B103" s="811" t="s">
        <v>1881</v>
      </c>
      <c r="C103" s="812">
        <v>55000000</v>
      </c>
      <c r="D103" s="811" t="s">
        <v>1502</v>
      </c>
      <c r="E103" s="811" t="s">
        <v>1502</v>
      </c>
      <c r="F103" s="811" t="s">
        <v>1747</v>
      </c>
      <c r="G103" s="811" t="s">
        <v>1727</v>
      </c>
      <c r="H103" s="811" t="s">
        <v>1728</v>
      </c>
      <c r="I103" s="811" t="s">
        <v>1729</v>
      </c>
      <c r="J103" s="813">
        <v>55000000</v>
      </c>
      <c r="K103" s="811" t="s">
        <v>1730</v>
      </c>
      <c r="L103" s="811" t="s">
        <v>1189</v>
      </c>
      <c r="M103" s="811" t="s">
        <v>1710</v>
      </c>
      <c r="N103" s="811" t="s">
        <v>1710</v>
      </c>
      <c r="O103" s="811" t="s">
        <v>1761</v>
      </c>
      <c r="P103" s="811" t="s">
        <v>1732</v>
      </c>
      <c r="Q103" s="811" t="s">
        <v>1733</v>
      </c>
    </row>
    <row r="104" spans="1:17" x14ac:dyDescent="0.3">
      <c r="A104" s="811" t="s">
        <v>1878</v>
      </c>
      <c r="B104" s="811" t="s">
        <v>1882</v>
      </c>
      <c r="C104" s="812">
        <v>55000000</v>
      </c>
      <c r="D104" s="811" t="s">
        <v>1502</v>
      </c>
      <c r="E104" s="811" t="s">
        <v>1502</v>
      </c>
      <c r="F104" s="811" t="s">
        <v>1747</v>
      </c>
      <c r="G104" s="811" t="s">
        <v>1727</v>
      </c>
      <c r="H104" s="811" t="s">
        <v>1728</v>
      </c>
      <c r="I104" s="811" t="s">
        <v>1729</v>
      </c>
      <c r="J104" s="813">
        <v>55000000</v>
      </c>
      <c r="K104" s="811" t="s">
        <v>1730</v>
      </c>
      <c r="L104" s="811" t="s">
        <v>1189</v>
      </c>
      <c r="M104" s="811" t="s">
        <v>1710</v>
      </c>
      <c r="N104" s="811" t="s">
        <v>1710</v>
      </c>
      <c r="O104" s="811" t="s">
        <v>1761</v>
      </c>
      <c r="P104" s="811" t="s">
        <v>1732</v>
      </c>
      <c r="Q104" s="811" t="s">
        <v>1733</v>
      </c>
    </row>
    <row r="105" spans="1:17" x14ac:dyDescent="0.3">
      <c r="A105" s="811" t="s">
        <v>1878</v>
      </c>
      <c r="B105" s="811" t="s">
        <v>1883</v>
      </c>
      <c r="C105" s="812">
        <v>55000000</v>
      </c>
      <c r="D105" s="811" t="s">
        <v>1502</v>
      </c>
      <c r="E105" s="811" t="s">
        <v>1502</v>
      </c>
      <c r="F105" s="811" t="s">
        <v>1747</v>
      </c>
      <c r="G105" s="811" t="s">
        <v>1727</v>
      </c>
      <c r="H105" s="811" t="s">
        <v>1728</v>
      </c>
      <c r="I105" s="811" t="s">
        <v>1729</v>
      </c>
      <c r="J105" s="813">
        <v>55000000</v>
      </c>
      <c r="K105" s="811" t="s">
        <v>1730</v>
      </c>
      <c r="L105" s="811" t="s">
        <v>1189</v>
      </c>
      <c r="M105" s="811" t="s">
        <v>1710</v>
      </c>
      <c r="N105" s="811" t="s">
        <v>1710</v>
      </c>
      <c r="O105" s="811" t="s">
        <v>1761</v>
      </c>
      <c r="P105" s="811" t="s">
        <v>1732</v>
      </c>
      <c r="Q105" s="811" t="s">
        <v>1733</v>
      </c>
    </row>
    <row r="106" spans="1:17" x14ac:dyDescent="0.3">
      <c r="A106" s="811" t="s">
        <v>1878</v>
      </c>
      <c r="B106" s="811" t="s">
        <v>1884</v>
      </c>
      <c r="C106" s="812">
        <v>55000000</v>
      </c>
      <c r="D106" s="811" t="s">
        <v>1502</v>
      </c>
      <c r="E106" s="811" t="s">
        <v>1502</v>
      </c>
      <c r="F106" s="811" t="s">
        <v>1747</v>
      </c>
      <c r="G106" s="811" t="s">
        <v>1727</v>
      </c>
      <c r="H106" s="811" t="s">
        <v>1728</v>
      </c>
      <c r="I106" s="811" t="s">
        <v>1729</v>
      </c>
      <c r="J106" s="813">
        <v>55000000</v>
      </c>
      <c r="K106" s="811" t="s">
        <v>1730</v>
      </c>
      <c r="L106" s="811" t="s">
        <v>1189</v>
      </c>
      <c r="M106" s="811" t="s">
        <v>1710</v>
      </c>
      <c r="N106" s="811" t="s">
        <v>1710</v>
      </c>
      <c r="O106" s="811" t="s">
        <v>1761</v>
      </c>
      <c r="P106" s="811" t="s">
        <v>1732</v>
      </c>
      <c r="Q106" s="811" t="s">
        <v>1733</v>
      </c>
    </row>
    <row r="107" spans="1:17" x14ac:dyDescent="0.3">
      <c r="A107" s="811" t="s">
        <v>1878</v>
      </c>
      <c r="B107" s="811" t="s">
        <v>1885</v>
      </c>
      <c r="C107" s="812">
        <v>55000000</v>
      </c>
      <c r="D107" s="811" t="s">
        <v>1502</v>
      </c>
      <c r="E107" s="811" t="s">
        <v>1502</v>
      </c>
      <c r="F107" s="811" t="s">
        <v>1747</v>
      </c>
      <c r="G107" s="811" t="s">
        <v>1727</v>
      </c>
      <c r="H107" s="811" t="s">
        <v>1728</v>
      </c>
      <c r="I107" s="811" t="s">
        <v>1729</v>
      </c>
      <c r="J107" s="813">
        <v>55000000</v>
      </c>
      <c r="K107" s="811" t="s">
        <v>1730</v>
      </c>
      <c r="L107" s="811" t="s">
        <v>1189</v>
      </c>
      <c r="M107" s="811" t="s">
        <v>1710</v>
      </c>
      <c r="N107" s="811" t="s">
        <v>1710</v>
      </c>
      <c r="O107" s="811" t="s">
        <v>1761</v>
      </c>
      <c r="P107" s="811" t="s">
        <v>1732</v>
      </c>
      <c r="Q107" s="811" t="s">
        <v>1733</v>
      </c>
    </row>
    <row r="108" spans="1:17" x14ac:dyDescent="0.3">
      <c r="A108" s="811" t="s">
        <v>1820</v>
      </c>
      <c r="B108" s="811" t="s">
        <v>1886</v>
      </c>
      <c r="C108" s="812">
        <v>648968200</v>
      </c>
      <c r="D108" s="811" t="s">
        <v>1509</v>
      </c>
      <c r="E108" s="811" t="s">
        <v>1509</v>
      </c>
      <c r="F108" s="811" t="s">
        <v>1737</v>
      </c>
      <c r="G108" s="811" t="s">
        <v>1727</v>
      </c>
      <c r="H108" s="811" t="s">
        <v>1815</v>
      </c>
      <c r="I108" s="811" t="s">
        <v>1729</v>
      </c>
      <c r="J108" s="813">
        <v>648968200</v>
      </c>
      <c r="K108" s="811" t="s">
        <v>1730</v>
      </c>
      <c r="L108" s="811" t="s">
        <v>1189</v>
      </c>
      <c r="M108" s="811" t="s">
        <v>1710</v>
      </c>
      <c r="N108" s="811" t="s">
        <v>1710</v>
      </c>
      <c r="O108" s="811" t="s">
        <v>1804</v>
      </c>
      <c r="P108" s="811" t="s">
        <v>1732</v>
      </c>
      <c r="Q108" s="811" t="s">
        <v>1739</v>
      </c>
    </row>
    <row r="109" spans="1:17" x14ac:dyDescent="0.3">
      <c r="A109" s="811" t="s">
        <v>1820</v>
      </c>
      <c r="B109" s="811" t="s">
        <v>1887</v>
      </c>
      <c r="C109" s="812">
        <v>199875720</v>
      </c>
      <c r="D109" s="811" t="s">
        <v>1509</v>
      </c>
      <c r="E109" s="811" t="s">
        <v>1509</v>
      </c>
      <c r="F109" s="811" t="s">
        <v>1760</v>
      </c>
      <c r="G109" s="811" t="s">
        <v>1727</v>
      </c>
      <c r="H109" s="811" t="s">
        <v>1815</v>
      </c>
      <c r="I109" s="811" t="s">
        <v>1729</v>
      </c>
      <c r="J109" s="813">
        <v>199875720</v>
      </c>
      <c r="K109" s="811" t="s">
        <v>1730</v>
      </c>
      <c r="L109" s="811" t="s">
        <v>1189</v>
      </c>
      <c r="M109" s="811" t="s">
        <v>1710</v>
      </c>
      <c r="N109" s="811" t="s">
        <v>1710</v>
      </c>
      <c r="O109" s="811" t="s">
        <v>1804</v>
      </c>
      <c r="P109" s="811" t="s">
        <v>1732</v>
      </c>
      <c r="Q109" s="811" t="s">
        <v>1739</v>
      </c>
    </row>
    <row r="110" spans="1:17" x14ac:dyDescent="0.3">
      <c r="A110" s="811" t="s">
        <v>1820</v>
      </c>
      <c r="B110" s="811" t="s">
        <v>1888</v>
      </c>
      <c r="C110" s="812">
        <v>370678608</v>
      </c>
      <c r="D110" s="811" t="s">
        <v>1509</v>
      </c>
      <c r="E110" s="811" t="s">
        <v>1509</v>
      </c>
      <c r="F110" s="811" t="s">
        <v>1737</v>
      </c>
      <c r="G110" s="811" t="s">
        <v>1727</v>
      </c>
      <c r="H110" s="811" t="s">
        <v>1815</v>
      </c>
      <c r="I110" s="811" t="s">
        <v>1729</v>
      </c>
      <c r="J110" s="813">
        <v>370678608</v>
      </c>
      <c r="K110" s="811" t="s">
        <v>1730</v>
      </c>
      <c r="L110" s="811" t="s">
        <v>1189</v>
      </c>
      <c r="M110" s="811" t="s">
        <v>1710</v>
      </c>
      <c r="N110" s="811" t="s">
        <v>1710</v>
      </c>
      <c r="O110" s="811" t="s">
        <v>1804</v>
      </c>
      <c r="P110" s="811" t="s">
        <v>1732</v>
      </c>
      <c r="Q110" s="811" t="s">
        <v>1739</v>
      </c>
    </row>
    <row r="111" spans="1:17" x14ac:dyDescent="0.3">
      <c r="A111" s="811" t="s">
        <v>1820</v>
      </c>
      <c r="B111" s="811" t="s">
        <v>1889</v>
      </c>
      <c r="C111" s="812">
        <v>439581220</v>
      </c>
      <c r="D111" s="811" t="s">
        <v>1509</v>
      </c>
      <c r="E111" s="811" t="s">
        <v>1509</v>
      </c>
      <c r="F111" s="811" t="s">
        <v>1737</v>
      </c>
      <c r="G111" s="811" t="s">
        <v>1727</v>
      </c>
      <c r="H111" s="811" t="s">
        <v>1815</v>
      </c>
      <c r="I111" s="811" t="s">
        <v>1729</v>
      </c>
      <c r="J111" s="813">
        <v>439581220</v>
      </c>
      <c r="K111" s="811" t="s">
        <v>1730</v>
      </c>
      <c r="L111" s="811" t="s">
        <v>1189</v>
      </c>
      <c r="M111" s="811" t="s">
        <v>1710</v>
      </c>
      <c r="N111" s="811" t="s">
        <v>1710</v>
      </c>
      <c r="O111" s="811" t="s">
        <v>1804</v>
      </c>
      <c r="P111" s="811" t="s">
        <v>1732</v>
      </c>
      <c r="Q111" s="811" t="s">
        <v>1739</v>
      </c>
    </row>
    <row r="112" spans="1:17" x14ac:dyDescent="0.3">
      <c r="A112" s="811" t="s">
        <v>1890</v>
      </c>
      <c r="B112" s="811" t="s">
        <v>1891</v>
      </c>
      <c r="C112" s="812">
        <v>200000000</v>
      </c>
      <c r="D112" s="811" t="s">
        <v>1611</v>
      </c>
      <c r="E112" s="811" t="s">
        <v>1502</v>
      </c>
      <c r="F112" s="811" t="s">
        <v>1802</v>
      </c>
      <c r="G112" s="811" t="s">
        <v>1727</v>
      </c>
      <c r="H112" s="811" t="s">
        <v>1803</v>
      </c>
      <c r="I112" s="811" t="s">
        <v>1729</v>
      </c>
      <c r="J112" s="813">
        <v>200000000</v>
      </c>
      <c r="K112" s="811" t="s">
        <v>1730</v>
      </c>
      <c r="L112" s="811" t="s">
        <v>1189</v>
      </c>
      <c r="M112" s="811" t="s">
        <v>1710</v>
      </c>
      <c r="N112" s="811" t="s">
        <v>1710</v>
      </c>
      <c r="O112" s="811" t="s">
        <v>1804</v>
      </c>
      <c r="P112" s="811" t="s">
        <v>1732</v>
      </c>
      <c r="Q112" s="811" t="s">
        <v>1739</v>
      </c>
    </row>
    <row r="113" spans="1:17" x14ac:dyDescent="0.3">
      <c r="A113" s="811" t="s">
        <v>1892</v>
      </c>
      <c r="B113" s="811" t="s">
        <v>1893</v>
      </c>
      <c r="C113" s="812">
        <v>300000000</v>
      </c>
      <c r="D113" s="811" t="s">
        <v>1502</v>
      </c>
      <c r="E113" s="811" t="s">
        <v>1509</v>
      </c>
      <c r="F113" s="811" t="s">
        <v>1726</v>
      </c>
      <c r="G113" s="811" t="s">
        <v>1727</v>
      </c>
      <c r="H113" s="811" t="s">
        <v>1865</v>
      </c>
      <c r="I113" s="811" t="s">
        <v>1729</v>
      </c>
      <c r="J113" s="813">
        <v>300000000</v>
      </c>
      <c r="K113" s="811" t="s">
        <v>1730</v>
      </c>
      <c r="L113" s="811" t="s">
        <v>1189</v>
      </c>
      <c r="M113" s="811" t="s">
        <v>1710</v>
      </c>
      <c r="N113" s="811" t="s">
        <v>1710</v>
      </c>
      <c r="O113" s="811" t="s">
        <v>1804</v>
      </c>
      <c r="P113" s="811" t="s">
        <v>1732</v>
      </c>
      <c r="Q113" s="811" t="s">
        <v>1739</v>
      </c>
    </row>
    <row r="114" spans="1:17" x14ac:dyDescent="0.3">
      <c r="A114" s="811" t="s">
        <v>1724</v>
      </c>
      <c r="B114" s="811" t="s">
        <v>1894</v>
      </c>
      <c r="C114" s="812">
        <v>57888060</v>
      </c>
      <c r="D114" s="811" t="s">
        <v>1611</v>
      </c>
      <c r="E114" s="811" t="s">
        <v>1611</v>
      </c>
      <c r="F114" s="811" t="s">
        <v>1741</v>
      </c>
      <c r="G114" s="811" t="s">
        <v>1727</v>
      </c>
      <c r="H114" s="811" t="s">
        <v>1728</v>
      </c>
      <c r="I114" s="811" t="s">
        <v>1729</v>
      </c>
      <c r="J114" s="813">
        <v>57888060</v>
      </c>
      <c r="K114" s="811" t="s">
        <v>1730</v>
      </c>
      <c r="L114" s="811" t="s">
        <v>1189</v>
      </c>
      <c r="M114" s="811" t="s">
        <v>1710</v>
      </c>
      <c r="N114" s="811" t="s">
        <v>1710</v>
      </c>
      <c r="O114" s="811" t="s">
        <v>1742</v>
      </c>
      <c r="P114" s="811" t="s">
        <v>1732</v>
      </c>
      <c r="Q114" s="811" t="s">
        <v>1743</v>
      </c>
    </row>
    <row r="115" spans="1:17" x14ac:dyDescent="0.3">
      <c r="A115" s="811" t="s">
        <v>1724</v>
      </c>
      <c r="B115" s="811" t="s">
        <v>1895</v>
      </c>
      <c r="C115" s="812">
        <v>61383600</v>
      </c>
      <c r="D115" s="811" t="s">
        <v>1501</v>
      </c>
      <c r="E115" s="811" t="s">
        <v>1501</v>
      </c>
      <c r="F115" s="811" t="s">
        <v>1760</v>
      </c>
      <c r="G115" s="811" t="s">
        <v>1727</v>
      </c>
      <c r="H115" s="811" t="s">
        <v>1728</v>
      </c>
      <c r="I115" s="811" t="s">
        <v>1729</v>
      </c>
      <c r="J115" s="813">
        <v>61383600</v>
      </c>
      <c r="K115" s="811" t="s">
        <v>1730</v>
      </c>
      <c r="L115" s="811" t="s">
        <v>1189</v>
      </c>
      <c r="M115" s="811" t="s">
        <v>1710</v>
      </c>
      <c r="N115" s="811" t="s">
        <v>1710</v>
      </c>
      <c r="O115" s="811" t="s">
        <v>1742</v>
      </c>
      <c r="P115" s="811" t="s">
        <v>1732</v>
      </c>
      <c r="Q115" s="811" t="s">
        <v>1743</v>
      </c>
    </row>
    <row r="116" spans="1:17" x14ac:dyDescent="0.3">
      <c r="A116" s="811" t="s">
        <v>1724</v>
      </c>
      <c r="B116" s="811" t="s">
        <v>1896</v>
      </c>
      <c r="C116" s="812">
        <v>53226394</v>
      </c>
      <c r="D116" s="811" t="s">
        <v>1501</v>
      </c>
      <c r="E116" s="811" t="s">
        <v>1501</v>
      </c>
      <c r="F116" s="811" t="s">
        <v>1760</v>
      </c>
      <c r="G116" s="811" t="s">
        <v>1727</v>
      </c>
      <c r="H116" s="811" t="s">
        <v>1728</v>
      </c>
      <c r="I116" s="811" t="s">
        <v>1729</v>
      </c>
      <c r="J116" s="813">
        <v>53226394</v>
      </c>
      <c r="K116" s="811" t="s">
        <v>1730</v>
      </c>
      <c r="L116" s="811" t="s">
        <v>1189</v>
      </c>
      <c r="M116" s="811" t="s">
        <v>1710</v>
      </c>
      <c r="N116" s="811" t="s">
        <v>1710</v>
      </c>
      <c r="O116" s="811" t="s">
        <v>1742</v>
      </c>
      <c r="P116" s="811" t="s">
        <v>1732</v>
      </c>
      <c r="Q116" s="811" t="s">
        <v>1743</v>
      </c>
    </row>
    <row r="117" spans="1:17" x14ac:dyDescent="0.3">
      <c r="A117" s="811" t="s">
        <v>1724</v>
      </c>
      <c r="B117" s="811" t="s">
        <v>1897</v>
      </c>
      <c r="C117" s="812">
        <v>134074420</v>
      </c>
      <c r="D117" s="811" t="s">
        <v>1501</v>
      </c>
      <c r="E117" s="811" t="s">
        <v>1501</v>
      </c>
      <c r="F117" s="811" t="s">
        <v>1760</v>
      </c>
      <c r="G117" s="811" t="s">
        <v>1727</v>
      </c>
      <c r="H117" s="811" t="s">
        <v>1728</v>
      </c>
      <c r="I117" s="811" t="s">
        <v>1729</v>
      </c>
      <c r="J117" s="813">
        <v>134074420</v>
      </c>
      <c r="K117" s="811" t="s">
        <v>1730</v>
      </c>
      <c r="L117" s="811" t="s">
        <v>1189</v>
      </c>
      <c r="M117" s="811" t="s">
        <v>1710</v>
      </c>
      <c r="N117" s="811" t="s">
        <v>1710</v>
      </c>
      <c r="O117" s="811" t="s">
        <v>1742</v>
      </c>
      <c r="P117" s="811" t="s">
        <v>1732</v>
      </c>
      <c r="Q117" s="811" t="s">
        <v>1743</v>
      </c>
    </row>
    <row r="118" spans="1:17" x14ac:dyDescent="0.3">
      <c r="A118" s="811" t="s">
        <v>1724</v>
      </c>
      <c r="B118" s="811" t="s">
        <v>1898</v>
      </c>
      <c r="C118" s="812">
        <v>40290000</v>
      </c>
      <c r="D118" s="811" t="s">
        <v>1501</v>
      </c>
      <c r="E118" s="811" t="s">
        <v>1501</v>
      </c>
      <c r="F118" s="811" t="s">
        <v>1760</v>
      </c>
      <c r="G118" s="811" t="s">
        <v>1727</v>
      </c>
      <c r="H118" s="811" t="s">
        <v>1728</v>
      </c>
      <c r="I118" s="811" t="s">
        <v>1729</v>
      </c>
      <c r="J118" s="813">
        <v>40290000</v>
      </c>
      <c r="K118" s="811" t="s">
        <v>1730</v>
      </c>
      <c r="L118" s="811" t="s">
        <v>1189</v>
      </c>
      <c r="M118" s="811" t="s">
        <v>1710</v>
      </c>
      <c r="N118" s="811" t="s">
        <v>1710</v>
      </c>
      <c r="O118" s="811" t="s">
        <v>1742</v>
      </c>
      <c r="P118" s="811" t="s">
        <v>1732</v>
      </c>
      <c r="Q118" s="811" t="s">
        <v>1743</v>
      </c>
    </row>
    <row r="119" spans="1:17" x14ac:dyDescent="0.3">
      <c r="A119" s="811" t="s">
        <v>1724</v>
      </c>
      <c r="B119" s="811" t="s">
        <v>1899</v>
      </c>
      <c r="C119" s="812">
        <v>65836059</v>
      </c>
      <c r="D119" s="811" t="s">
        <v>1505</v>
      </c>
      <c r="E119" s="811" t="s">
        <v>1505</v>
      </c>
      <c r="F119" s="811" t="s">
        <v>1764</v>
      </c>
      <c r="G119" s="811" t="s">
        <v>1727</v>
      </c>
      <c r="H119" s="811" t="s">
        <v>1728</v>
      </c>
      <c r="I119" s="811" t="s">
        <v>1729</v>
      </c>
      <c r="J119" s="813">
        <v>65836059</v>
      </c>
      <c r="K119" s="811" t="s">
        <v>1730</v>
      </c>
      <c r="L119" s="811" t="s">
        <v>1189</v>
      </c>
      <c r="M119" s="811" t="s">
        <v>1710</v>
      </c>
      <c r="N119" s="811" t="s">
        <v>1710</v>
      </c>
      <c r="O119" s="811" t="s">
        <v>1742</v>
      </c>
      <c r="P119" s="811" t="s">
        <v>1732</v>
      </c>
      <c r="Q119" s="811" t="s">
        <v>1743</v>
      </c>
    </row>
    <row r="120" spans="1:17" x14ac:dyDescent="0.3">
      <c r="A120" s="811" t="s">
        <v>1724</v>
      </c>
      <c r="B120" s="811" t="s">
        <v>1900</v>
      </c>
      <c r="C120" s="812">
        <v>24050000</v>
      </c>
      <c r="D120" s="811" t="s">
        <v>1510</v>
      </c>
      <c r="E120" s="811" t="s">
        <v>1510</v>
      </c>
      <c r="F120" s="811" t="s">
        <v>1814</v>
      </c>
      <c r="G120" s="811" t="s">
        <v>1727</v>
      </c>
      <c r="H120" s="811" t="s">
        <v>1728</v>
      </c>
      <c r="I120" s="811" t="s">
        <v>1729</v>
      </c>
      <c r="J120" s="813">
        <v>24050000</v>
      </c>
      <c r="K120" s="811" t="s">
        <v>1730</v>
      </c>
      <c r="L120" s="811" t="s">
        <v>1189</v>
      </c>
      <c r="M120" s="811" t="s">
        <v>1710</v>
      </c>
      <c r="N120" s="811" t="s">
        <v>1710</v>
      </c>
      <c r="O120" s="811" t="s">
        <v>1742</v>
      </c>
      <c r="P120" s="811" t="s">
        <v>1732</v>
      </c>
      <c r="Q120" s="811" t="s">
        <v>1743</v>
      </c>
    </row>
    <row r="121" spans="1:17" x14ac:dyDescent="0.3">
      <c r="A121" s="811" t="s">
        <v>1724</v>
      </c>
      <c r="B121" s="811" t="s">
        <v>1901</v>
      </c>
      <c r="C121" s="812">
        <v>48144000</v>
      </c>
      <c r="D121" s="811" t="s">
        <v>1501</v>
      </c>
      <c r="E121" s="811" t="s">
        <v>1501</v>
      </c>
      <c r="F121" s="811" t="s">
        <v>1760</v>
      </c>
      <c r="G121" s="811" t="s">
        <v>1727</v>
      </c>
      <c r="H121" s="811" t="s">
        <v>1728</v>
      </c>
      <c r="I121" s="811" t="s">
        <v>1729</v>
      </c>
      <c r="J121" s="813">
        <v>48144000</v>
      </c>
      <c r="K121" s="811" t="s">
        <v>1730</v>
      </c>
      <c r="L121" s="811" t="s">
        <v>1189</v>
      </c>
      <c r="M121" s="811" t="s">
        <v>1710</v>
      </c>
      <c r="N121" s="811" t="s">
        <v>1710</v>
      </c>
      <c r="O121" s="811" t="s">
        <v>1742</v>
      </c>
      <c r="P121" s="811" t="s">
        <v>1732</v>
      </c>
      <c r="Q121" s="811" t="s">
        <v>1743</v>
      </c>
    </row>
    <row r="122" spans="1:17" x14ac:dyDescent="0.3">
      <c r="A122" s="811" t="s">
        <v>1902</v>
      </c>
      <c r="B122" s="811" t="s">
        <v>1903</v>
      </c>
      <c r="C122" s="812">
        <v>3333584000</v>
      </c>
      <c r="D122" s="811" t="s">
        <v>1510</v>
      </c>
      <c r="E122" s="811" t="s">
        <v>1525</v>
      </c>
      <c r="F122" s="811" t="s">
        <v>1793</v>
      </c>
      <c r="G122" s="811" t="s">
        <v>1727</v>
      </c>
      <c r="H122" s="811" t="s">
        <v>1904</v>
      </c>
      <c r="I122" s="811" t="s">
        <v>1729</v>
      </c>
      <c r="J122" s="813">
        <v>3333584000</v>
      </c>
      <c r="K122" s="811" t="s">
        <v>1730</v>
      </c>
      <c r="L122" s="811" t="s">
        <v>1189</v>
      </c>
      <c r="M122" s="811" t="s">
        <v>1710</v>
      </c>
      <c r="N122" s="811" t="s">
        <v>1710</v>
      </c>
      <c r="O122" s="811" t="s">
        <v>1742</v>
      </c>
      <c r="P122" s="811" t="s">
        <v>1732</v>
      </c>
      <c r="Q122" s="811" t="s">
        <v>1743</v>
      </c>
    </row>
    <row r="123" spans="1:17" x14ac:dyDescent="0.3">
      <c r="A123" s="811" t="s">
        <v>1905</v>
      </c>
      <c r="B123" s="811" t="s">
        <v>1906</v>
      </c>
      <c r="C123" s="812">
        <v>1000000000</v>
      </c>
      <c r="D123" s="811" t="s">
        <v>1495</v>
      </c>
      <c r="E123" s="811" t="s">
        <v>1495</v>
      </c>
      <c r="F123" s="811" t="s">
        <v>1773</v>
      </c>
      <c r="G123" s="811" t="s">
        <v>1727</v>
      </c>
      <c r="H123" s="811" t="s">
        <v>1904</v>
      </c>
      <c r="I123" s="811" t="s">
        <v>1729</v>
      </c>
      <c r="J123" s="813">
        <v>1000000000</v>
      </c>
      <c r="K123" s="811" t="s">
        <v>1730</v>
      </c>
      <c r="L123" s="811" t="s">
        <v>1189</v>
      </c>
      <c r="M123" s="811" t="s">
        <v>1710</v>
      </c>
      <c r="N123" s="811" t="s">
        <v>1710</v>
      </c>
      <c r="O123" s="811" t="s">
        <v>1779</v>
      </c>
      <c r="P123" s="811" t="s">
        <v>1732</v>
      </c>
      <c r="Q123" s="811" t="s">
        <v>1780</v>
      </c>
    </row>
    <row r="124" spans="1:17" x14ac:dyDescent="0.3">
      <c r="A124" s="811" t="s">
        <v>1724</v>
      </c>
      <c r="B124" s="811" t="s">
        <v>1907</v>
      </c>
      <c r="C124" s="812">
        <v>80000000</v>
      </c>
      <c r="D124" s="811" t="s">
        <v>1505</v>
      </c>
      <c r="E124" s="811" t="s">
        <v>1505</v>
      </c>
      <c r="F124" s="811" t="s">
        <v>1760</v>
      </c>
      <c r="G124" s="811" t="s">
        <v>1727</v>
      </c>
      <c r="H124" s="811" t="s">
        <v>1728</v>
      </c>
      <c r="I124" s="811" t="s">
        <v>1729</v>
      </c>
      <c r="J124" s="813">
        <v>80000000</v>
      </c>
      <c r="K124" s="811" t="s">
        <v>1730</v>
      </c>
      <c r="L124" s="811" t="s">
        <v>1189</v>
      </c>
      <c r="M124" s="811" t="s">
        <v>1710</v>
      </c>
      <c r="N124" s="811" t="s">
        <v>1710</v>
      </c>
      <c r="O124" s="811" t="s">
        <v>1779</v>
      </c>
      <c r="P124" s="811" t="s">
        <v>1732</v>
      </c>
      <c r="Q124" s="811" t="s">
        <v>1780</v>
      </c>
    </row>
    <row r="125" spans="1:17" x14ac:dyDescent="0.3">
      <c r="A125" s="811" t="s">
        <v>1724</v>
      </c>
      <c r="B125" s="811" t="s">
        <v>1908</v>
      </c>
      <c r="C125" s="812">
        <v>60180000</v>
      </c>
      <c r="D125" s="811" t="s">
        <v>1501</v>
      </c>
      <c r="E125" s="811" t="s">
        <v>1501</v>
      </c>
      <c r="F125" s="811" t="s">
        <v>1760</v>
      </c>
      <c r="G125" s="811" t="s">
        <v>1727</v>
      </c>
      <c r="H125" s="811" t="s">
        <v>1728</v>
      </c>
      <c r="I125" s="811" t="s">
        <v>1729</v>
      </c>
      <c r="J125" s="813">
        <v>60180000</v>
      </c>
      <c r="K125" s="811" t="s">
        <v>1730</v>
      </c>
      <c r="L125" s="811" t="s">
        <v>1189</v>
      </c>
      <c r="M125" s="811" t="s">
        <v>1710</v>
      </c>
      <c r="N125" s="811" t="s">
        <v>1710</v>
      </c>
      <c r="O125" s="811" t="s">
        <v>1742</v>
      </c>
      <c r="P125" s="811" t="s">
        <v>1732</v>
      </c>
      <c r="Q125" s="811" t="s">
        <v>1743</v>
      </c>
    </row>
    <row r="126" spans="1:17" x14ac:dyDescent="0.3">
      <c r="A126" s="811" t="s">
        <v>1724</v>
      </c>
      <c r="B126" s="811" t="s">
        <v>1909</v>
      </c>
      <c r="C126" s="812">
        <v>40800000</v>
      </c>
      <c r="D126" s="811" t="s">
        <v>1505</v>
      </c>
      <c r="E126" s="811" t="s">
        <v>1505</v>
      </c>
      <c r="F126" s="811" t="s">
        <v>1747</v>
      </c>
      <c r="G126" s="811" t="s">
        <v>1727</v>
      </c>
      <c r="H126" s="811" t="s">
        <v>1728</v>
      </c>
      <c r="I126" s="811" t="s">
        <v>1729</v>
      </c>
      <c r="J126" s="813">
        <v>40800000</v>
      </c>
      <c r="K126" s="811" t="s">
        <v>1730</v>
      </c>
      <c r="L126" s="811" t="s">
        <v>1189</v>
      </c>
      <c r="M126" s="811" t="s">
        <v>1710</v>
      </c>
      <c r="N126" s="811" t="s">
        <v>1710</v>
      </c>
      <c r="O126" s="811" t="s">
        <v>1834</v>
      </c>
      <c r="P126" s="811" t="s">
        <v>1835</v>
      </c>
      <c r="Q126" s="811" t="s">
        <v>1733</v>
      </c>
    </row>
    <row r="127" spans="1:17" x14ac:dyDescent="0.3">
      <c r="A127" s="811" t="s">
        <v>1724</v>
      </c>
      <c r="B127" s="811" t="s">
        <v>1910</v>
      </c>
      <c r="C127" s="812">
        <v>69600000</v>
      </c>
      <c r="D127" s="811" t="s">
        <v>1505</v>
      </c>
      <c r="E127" s="811" t="s">
        <v>1505</v>
      </c>
      <c r="F127" s="811" t="s">
        <v>1747</v>
      </c>
      <c r="G127" s="811" t="s">
        <v>1727</v>
      </c>
      <c r="H127" s="811" t="s">
        <v>1728</v>
      </c>
      <c r="I127" s="811" t="s">
        <v>1729</v>
      </c>
      <c r="J127" s="813">
        <v>69600000</v>
      </c>
      <c r="K127" s="811" t="s">
        <v>1730</v>
      </c>
      <c r="L127" s="811" t="s">
        <v>1189</v>
      </c>
      <c r="M127" s="811" t="s">
        <v>1710</v>
      </c>
      <c r="N127" s="811" t="s">
        <v>1710</v>
      </c>
      <c r="O127" s="811" t="s">
        <v>1834</v>
      </c>
      <c r="P127" s="811" t="s">
        <v>1835</v>
      </c>
      <c r="Q127" s="811" t="s">
        <v>1733</v>
      </c>
    </row>
    <row r="128" spans="1:17" x14ac:dyDescent="0.3">
      <c r="A128" s="811" t="s">
        <v>1724</v>
      </c>
      <c r="B128" s="811" t="s">
        <v>1766</v>
      </c>
      <c r="C128" s="812">
        <v>69768000</v>
      </c>
      <c r="D128" s="811" t="s">
        <v>1505</v>
      </c>
      <c r="E128" s="811" t="s">
        <v>1505</v>
      </c>
      <c r="F128" s="811" t="s">
        <v>1747</v>
      </c>
      <c r="G128" s="811" t="s">
        <v>1727</v>
      </c>
      <c r="H128" s="811" t="s">
        <v>1728</v>
      </c>
      <c r="I128" s="811" t="s">
        <v>1729</v>
      </c>
      <c r="J128" s="813">
        <v>69768000</v>
      </c>
      <c r="K128" s="811" t="s">
        <v>1730</v>
      </c>
      <c r="L128" s="811" t="s">
        <v>1189</v>
      </c>
      <c r="M128" s="811" t="s">
        <v>1710</v>
      </c>
      <c r="N128" s="811" t="s">
        <v>1710</v>
      </c>
      <c r="O128" s="811" t="s">
        <v>1834</v>
      </c>
      <c r="P128" s="811" t="s">
        <v>1835</v>
      </c>
      <c r="Q128" s="811" t="s">
        <v>1733</v>
      </c>
    </row>
    <row r="129" spans="1:17" x14ac:dyDescent="0.3">
      <c r="A129" s="811" t="s">
        <v>1724</v>
      </c>
      <c r="B129" s="811" t="s">
        <v>1911</v>
      </c>
      <c r="C129" s="812">
        <v>48348000</v>
      </c>
      <c r="D129" s="811" t="s">
        <v>1505</v>
      </c>
      <c r="E129" s="811" t="s">
        <v>1505</v>
      </c>
      <c r="F129" s="811" t="s">
        <v>1747</v>
      </c>
      <c r="G129" s="811" t="s">
        <v>1727</v>
      </c>
      <c r="H129" s="811" t="s">
        <v>1728</v>
      </c>
      <c r="I129" s="811" t="s">
        <v>1729</v>
      </c>
      <c r="J129" s="813">
        <v>48348000</v>
      </c>
      <c r="K129" s="811" t="s">
        <v>1730</v>
      </c>
      <c r="L129" s="811" t="s">
        <v>1189</v>
      </c>
      <c r="M129" s="811" t="s">
        <v>1710</v>
      </c>
      <c r="N129" s="811" t="s">
        <v>1710</v>
      </c>
      <c r="O129" s="811" t="s">
        <v>1834</v>
      </c>
      <c r="P129" s="811" t="s">
        <v>1835</v>
      </c>
      <c r="Q129" s="811" t="s">
        <v>1733</v>
      </c>
    </row>
    <row r="130" spans="1:17" x14ac:dyDescent="0.3">
      <c r="A130" s="811" t="s">
        <v>1724</v>
      </c>
      <c r="B130" s="811" t="s">
        <v>1910</v>
      </c>
      <c r="C130" s="812">
        <v>69600000</v>
      </c>
      <c r="D130" s="811" t="s">
        <v>1501</v>
      </c>
      <c r="E130" s="811" t="s">
        <v>1501</v>
      </c>
      <c r="F130" s="811" t="s">
        <v>1747</v>
      </c>
      <c r="G130" s="811" t="s">
        <v>1727</v>
      </c>
      <c r="H130" s="811" t="s">
        <v>1728</v>
      </c>
      <c r="I130" s="811" t="s">
        <v>1729</v>
      </c>
      <c r="J130" s="813">
        <v>69600000</v>
      </c>
      <c r="K130" s="811" t="s">
        <v>1730</v>
      </c>
      <c r="L130" s="811" t="s">
        <v>1189</v>
      </c>
      <c r="M130" s="811" t="s">
        <v>1710</v>
      </c>
      <c r="N130" s="811" t="s">
        <v>1710</v>
      </c>
      <c r="O130" s="811" t="s">
        <v>1834</v>
      </c>
      <c r="P130" s="811" t="s">
        <v>1835</v>
      </c>
      <c r="Q130" s="811" t="s">
        <v>1733</v>
      </c>
    </row>
    <row r="131" spans="1:17" x14ac:dyDescent="0.3">
      <c r="A131" s="811" t="s">
        <v>1724</v>
      </c>
      <c r="B131" s="811" t="s">
        <v>1850</v>
      </c>
      <c r="C131" s="812">
        <v>58752000</v>
      </c>
      <c r="D131" s="811" t="s">
        <v>1501</v>
      </c>
      <c r="E131" s="811" t="s">
        <v>1501</v>
      </c>
      <c r="F131" s="811" t="s">
        <v>1747</v>
      </c>
      <c r="G131" s="811" t="s">
        <v>1727</v>
      </c>
      <c r="H131" s="811" t="s">
        <v>1728</v>
      </c>
      <c r="I131" s="811" t="s">
        <v>1729</v>
      </c>
      <c r="J131" s="813">
        <v>58752000</v>
      </c>
      <c r="K131" s="811" t="s">
        <v>1730</v>
      </c>
      <c r="L131" s="811" t="s">
        <v>1189</v>
      </c>
      <c r="M131" s="811" t="s">
        <v>1710</v>
      </c>
      <c r="N131" s="811" t="s">
        <v>1710</v>
      </c>
      <c r="O131" s="811" t="s">
        <v>1834</v>
      </c>
      <c r="P131" s="811" t="s">
        <v>1835</v>
      </c>
      <c r="Q131" s="811" t="s">
        <v>1733</v>
      </c>
    </row>
    <row r="132" spans="1:17" x14ac:dyDescent="0.3">
      <c r="A132" s="811" t="s">
        <v>1724</v>
      </c>
      <c r="B132" s="811" t="s">
        <v>1912</v>
      </c>
      <c r="C132" s="812">
        <v>29700000</v>
      </c>
      <c r="D132" s="811" t="s">
        <v>1505</v>
      </c>
      <c r="E132" s="811" t="s">
        <v>1505</v>
      </c>
      <c r="F132" s="811" t="s">
        <v>1741</v>
      </c>
      <c r="G132" s="811" t="s">
        <v>1727</v>
      </c>
      <c r="H132" s="811" t="s">
        <v>1728</v>
      </c>
      <c r="I132" s="811" t="s">
        <v>1729</v>
      </c>
      <c r="J132" s="813">
        <v>29700000</v>
      </c>
      <c r="K132" s="811" t="s">
        <v>1730</v>
      </c>
      <c r="L132" s="811" t="s">
        <v>1189</v>
      </c>
      <c r="M132" s="811" t="s">
        <v>1710</v>
      </c>
      <c r="N132" s="811" t="s">
        <v>1710</v>
      </c>
      <c r="O132" s="811" t="s">
        <v>1774</v>
      </c>
      <c r="P132" s="811" t="s">
        <v>1732</v>
      </c>
      <c r="Q132" s="811" t="s">
        <v>1775</v>
      </c>
    </row>
    <row r="133" spans="1:17" x14ac:dyDescent="0.3">
      <c r="A133" s="811" t="s">
        <v>1724</v>
      </c>
      <c r="B133" s="811" t="s">
        <v>1913</v>
      </c>
      <c r="C133" s="812">
        <v>68000000</v>
      </c>
      <c r="D133" s="811" t="s">
        <v>1495</v>
      </c>
      <c r="E133" s="811" t="s">
        <v>1495</v>
      </c>
      <c r="F133" s="811" t="s">
        <v>1726</v>
      </c>
      <c r="G133" s="811" t="s">
        <v>1727</v>
      </c>
      <c r="H133" s="811" t="s">
        <v>1728</v>
      </c>
      <c r="I133" s="811" t="s">
        <v>1729</v>
      </c>
      <c r="J133" s="813">
        <v>68000000</v>
      </c>
      <c r="K133" s="811" t="s">
        <v>1730</v>
      </c>
      <c r="L133" s="811" t="s">
        <v>1189</v>
      </c>
      <c r="M133" s="811" t="s">
        <v>1710</v>
      </c>
      <c r="N133" s="811" t="s">
        <v>1710</v>
      </c>
      <c r="O133" s="811" t="s">
        <v>1774</v>
      </c>
      <c r="P133" s="811" t="s">
        <v>1732</v>
      </c>
      <c r="Q133" s="811" t="s">
        <v>1775</v>
      </c>
    </row>
    <row r="134" spans="1:17" x14ac:dyDescent="0.3">
      <c r="A134" s="811" t="s">
        <v>1724</v>
      </c>
      <c r="B134" s="811" t="s">
        <v>1914</v>
      </c>
      <c r="C134" s="812">
        <v>68400000</v>
      </c>
      <c r="D134" s="811" t="s">
        <v>1495</v>
      </c>
      <c r="E134" s="811" t="s">
        <v>1495</v>
      </c>
      <c r="F134" s="811" t="s">
        <v>1843</v>
      </c>
      <c r="G134" s="811" t="s">
        <v>1727</v>
      </c>
      <c r="H134" s="811" t="s">
        <v>1728</v>
      </c>
      <c r="I134" s="811" t="s">
        <v>1729</v>
      </c>
      <c r="J134" s="813">
        <v>68400000</v>
      </c>
      <c r="K134" s="811" t="s">
        <v>1730</v>
      </c>
      <c r="L134" s="811" t="s">
        <v>1189</v>
      </c>
      <c r="M134" s="811" t="s">
        <v>1710</v>
      </c>
      <c r="N134" s="811" t="s">
        <v>1710</v>
      </c>
      <c r="O134" s="811" t="s">
        <v>1844</v>
      </c>
      <c r="P134" s="811" t="s">
        <v>1732</v>
      </c>
      <c r="Q134" s="811" t="s">
        <v>1780</v>
      </c>
    </row>
    <row r="135" spans="1:17" x14ac:dyDescent="0.3">
      <c r="A135" s="811" t="s">
        <v>1724</v>
      </c>
      <c r="B135" s="811" t="s">
        <v>1915</v>
      </c>
      <c r="C135" s="812">
        <v>44000000</v>
      </c>
      <c r="D135" s="811" t="s">
        <v>1501</v>
      </c>
      <c r="E135" s="811" t="s">
        <v>1501</v>
      </c>
      <c r="F135" s="811" t="s">
        <v>1764</v>
      </c>
      <c r="G135" s="811" t="s">
        <v>1727</v>
      </c>
      <c r="H135" s="811" t="s">
        <v>1728</v>
      </c>
      <c r="I135" s="811" t="s">
        <v>1729</v>
      </c>
      <c r="J135" s="813">
        <v>44000000</v>
      </c>
      <c r="K135" s="811" t="s">
        <v>1730</v>
      </c>
      <c r="L135" s="811" t="s">
        <v>1189</v>
      </c>
      <c r="M135" s="811" t="s">
        <v>1710</v>
      </c>
      <c r="N135" s="811" t="s">
        <v>1710</v>
      </c>
      <c r="O135" s="811" t="s">
        <v>1761</v>
      </c>
      <c r="P135" s="811" t="s">
        <v>1732</v>
      </c>
      <c r="Q135" s="811" t="s">
        <v>1733</v>
      </c>
    </row>
    <row r="136" spans="1:17" x14ac:dyDescent="0.3">
      <c r="A136" s="811" t="s">
        <v>1724</v>
      </c>
      <c r="B136" s="811" t="s">
        <v>1916</v>
      </c>
      <c r="C136" s="812">
        <v>33000000</v>
      </c>
      <c r="D136" s="811" t="s">
        <v>1501</v>
      </c>
      <c r="E136" s="811" t="s">
        <v>1501</v>
      </c>
      <c r="F136" s="811" t="s">
        <v>1764</v>
      </c>
      <c r="G136" s="811" t="s">
        <v>1727</v>
      </c>
      <c r="H136" s="811" t="s">
        <v>1728</v>
      </c>
      <c r="I136" s="811" t="s">
        <v>1729</v>
      </c>
      <c r="J136" s="813">
        <v>33000000</v>
      </c>
      <c r="K136" s="811" t="s">
        <v>1730</v>
      </c>
      <c r="L136" s="811" t="s">
        <v>1189</v>
      </c>
      <c r="M136" s="811" t="s">
        <v>1710</v>
      </c>
      <c r="N136" s="811" t="s">
        <v>1710</v>
      </c>
      <c r="O136" s="811" t="s">
        <v>1761</v>
      </c>
      <c r="P136" s="811" t="s">
        <v>1732</v>
      </c>
      <c r="Q136" s="811" t="s">
        <v>1733</v>
      </c>
    </row>
    <row r="137" spans="1:17" x14ac:dyDescent="0.3">
      <c r="A137" s="811" t="s">
        <v>1724</v>
      </c>
      <c r="B137" s="811" t="s">
        <v>1917</v>
      </c>
      <c r="C137" s="812">
        <v>42500000</v>
      </c>
      <c r="D137" s="811" t="s">
        <v>1501</v>
      </c>
      <c r="E137" s="811" t="s">
        <v>1501</v>
      </c>
      <c r="F137" s="811" t="s">
        <v>1726</v>
      </c>
      <c r="G137" s="811" t="s">
        <v>1727</v>
      </c>
      <c r="H137" s="811" t="s">
        <v>1728</v>
      </c>
      <c r="I137" s="811" t="s">
        <v>1729</v>
      </c>
      <c r="J137" s="813">
        <v>42500000</v>
      </c>
      <c r="K137" s="811" t="s">
        <v>1730</v>
      </c>
      <c r="L137" s="811" t="s">
        <v>1189</v>
      </c>
      <c r="M137" s="811" t="s">
        <v>1710</v>
      </c>
      <c r="N137" s="811" t="s">
        <v>1710</v>
      </c>
      <c r="O137" s="811" t="s">
        <v>1761</v>
      </c>
      <c r="P137" s="811" t="s">
        <v>1732</v>
      </c>
      <c r="Q137" s="811" t="s">
        <v>1733</v>
      </c>
    </row>
    <row r="138" spans="1:17" x14ac:dyDescent="0.3">
      <c r="A138" s="811" t="s">
        <v>1724</v>
      </c>
      <c r="B138" s="811" t="s">
        <v>1918</v>
      </c>
      <c r="C138" s="812">
        <v>42500000</v>
      </c>
      <c r="D138" s="811" t="s">
        <v>1501</v>
      </c>
      <c r="E138" s="811" t="s">
        <v>1501</v>
      </c>
      <c r="F138" s="811" t="s">
        <v>1726</v>
      </c>
      <c r="G138" s="811" t="s">
        <v>1727</v>
      </c>
      <c r="H138" s="811" t="s">
        <v>1728</v>
      </c>
      <c r="I138" s="811" t="s">
        <v>1729</v>
      </c>
      <c r="J138" s="813">
        <v>42500000</v>
      </c>
      <c r="K138" s="811" t="s">
        <v>1730</v>
      </c>
      <c r="L138" s="811" t="s">
        <v>1189</v>
      </c>
      <c r="M138" s="811" t="s">
        <v>1710</v>
      </c>
      <c r="N138" s="811" t="s">
        <v>1710</v>
      </c>
      <c r="O138" s="811" t="s">
        <v>1761</v>
      </c>
      <c r="P138" s="811" t="s">
        <v>1732</v>
      </c>
      <c r="Q138" s="811" t="s">
        <v>1733</v>
      </c>
    </row>
    <row r="139" spans="1:17" x14ac:dyDescent="0.3">
      <c r="A139" s="811" t="s">
        <v>1724</v>
      </c>
      <c r="B139" s="811" t="s">
        <v>1919</v>
      </c>
      <c r="C139" s="812">
        <v>54511560</v>
      </c>
      <c r="D139" s="811" t="s">
        <v>1505</v>
      </c>
      <c r="E139" s="811" t="s">
        <v>1505</v>
      </c>
      <c r="F139" s="811" t="s">
        <v>1726</v>
      </c>
      <c r="G139" s="811" t="s">
        <v>1727</v>
      </c>
      <c r="H139" s="811" t="s">
        <v>1728</v>
      </c>
      <c r="I139" s="811" t="s">
        <v>1729</v>
      </c>
      <c r="J139" s="813">
        <v>54511560</v>
      </c>
      <c r="K139" s="811" t="s">
        <v>1730</v>
      </c>
      <c r="L139" s="811" t="s">
        <v>1189</v>
      </c>
      <c r="M139" s="811" t="s">
        <v>1710</v>
      </c>
      <c r="N139" s="811" t="s">
        <v>1710</v>
      </c>
      <c r="O139" s="811" t="s">
        <v>1920</v>
      </c>
      <c r="P139" s="811" t="s">
        <v>1732</v>
      </c>
      <c r="Q139" s="811" t="s">
        <v>1785</v>
      </c>
    </row>
    <row r="140" spans="1:17" x14ac:dyDescent="0.3">
      <c r="A140" s="811" t="s">
        <v>1724</v>
      </c>
      <c r="B140" s="811" t="s">
        <v>1921</v>
      </c>
      <c r="C140" s="812">
        <v>34967856</v>
      </c>
      <c r="D140" s="811" t="s">
        <v>1611</v>
      </c>
      <c r="E140" s="811" t="s">
        <v>1611</v>
      </c>
      <c r="F140" s="811" t="s">
        <v>1726</v>
      </c>
      <c r="G140" s="811" t="s">
        <v>1727</v>
      </c>
      <c r="H140" s="811" t="s">
        <v>1728</v>
      </c>
      <c r="I140" s="811" t="s">
        <v>1729</v>
      </c>
      <c r="J140" s="813">
        <v>34967856</v>
      </c>
      <c r="K140" s="811" t="s">
        <v>1730</v>
      </c>
      <c r="L140" s="811" t="s">
        <v>1189</v>
      </c>
      <c r="M140" s="811" t="s">
        <v>1710</v>
      </c>
      <c r="N140" s="811" t="s">
        <v>1710</v>
      </c>
      <c r="O140" s="811" t="s">
        <v>1920</v>
      </c>
      <c r="P140" s="811" t="s">
        <v>1732</v>
      </c>
      <c r="Q140" s="811" t="s">
        <v>1785</v>
      </c>
    </row>
    <row r="141" spans="1:17" x14ac:dyDescent="0.3">
      <c r="A141" s="811" t="s">
        <v>1922</v>
      </c>
      <c r="B141" s="811" t="s">
        <v>1923</v>
      </c>
      <c r="C141" s="812">
        <v>50000000</v>
      </c>
      <c r="D141" s="811" t="s">
        <v>1611</v>
      </c>
      <c r="E141" s="811" t="s">
        <v>1611</v>
      </c>
      <c r="F141" s="811" t="s">
        <v>1802</v>
      </c>
      <c r="G141" s="811" t="s">
        <v>1727</v>
      </c>
      <c r="H141" s="811" t="s">
        <v>1650</v>
      </c>
      <c r="I141" s="811" t="s">
        <v>1729</v>
      </c>
      <c r="J141" s="813">
        <v>50000000</v>
      </c>
      <c r="K141" s="811" t="s">
        <v>1730</v>
      </c>
      <c r="L141" s="811" t="s">
        <v>1189</v>
      </c>
      <c r="M141" s="811" t="s">
        <v>1710</v>
      </c>
      <c r="N141" s="811" t="s">
        <v>1710</v>
      </c>
      <c r="O141" s="811" t="s">
        <v>1920</v>
      </c>
      <c r="P141" s="811" t="s">
        <v>1732</v>
      </c>
      <c r="Q141" s="811" t="s">
        <v>1785</v>
      </c>
    </row>
    <row r="142" spans="1:17" x14ac:dyDescent="0.3">
      <c r="A142" s="811" t="s">
        <v>1924</v>
      </c>
      <c r="B142" s="811" t="s">
        <v>1925</v>
      </c>
      <c r="C142" s="812">
        <v>53000000</v>
      </c>
      <c r="D142" s="811" t="s">
        <v>1510</v>
      </c>
      <c r="E142" s="811" t="s">
        <v>1510</v>
      </c>
      <c r="F142" s="811" t="s">
        <v>1747</v>
      </c>
      <c r="G142" s="811" t="s">
        <v>1727</v>
      </c>
      <c r="H142" s="811" t="s">
        <v>1738</v>
      </c>
      <c r="I142" s="811" t="s">
        <v>1729</v>
      </c>
      <c r="J142" s="813">
        <v>53000000</v>
      </c>
      <c r="K142" s="811" t="s">
        <v>1730</v>
      </c>
      <c r="L142" s="811" t="s">
        <v>1189</v>
      </c>
      <c r="M142" s="811" t="s">
        <v>1710</v>
      </c>
      <c r="N142" s="811" t="s">
        <v>1710</v>
      </c>
      <c r="O142" s="811" t="s">
        <v>1920</v>
      </c>
      <c r="P142" s="811" t="s">
        <v>1732</v>
      </c>
      <c r="Q142" s="811" t="s">
        <v>1785</v>
      </c>
    </row>
    <row r="143" spans="1:17" x14ac:dyDescent="0.3">
      <c r="A143" s="811" t="s">
        <v>1926</v>
      </c>
      <c r="B143" s="811" t="s">
        <v>1927</v>
      </c>
      <c r="C143" s="812">
        <v>309400000</v>
      </c>
      <c r="D143" s="811" t="s">
        <v>1505</v>
      </c>
      <c r="E143" s="811" t="s">
        <v>1505</v>
      </c>
      <c r="F143" s="811" t="s">
        <v>1764</v>
      </c>
      <c r="G143" s="811" t="s">
        <v>1727</v>
      </c>
      <c r="H143" s="811" t="s">
        <v>1738</v>
      </c>
      <c r="I143" s="811" t="s">
        <v>1729</v>
      </c>
      <c r="J143" s="813">
        <v>309400000</v>
      </c>
      <c r="K143" s="811" t="s">
        <v>1730</v>
      </c>
      <c r="L143" s="811" t="s">
        <v>1189</v>
      </c>
      <c r="M143" s="811" t="s">
        <v>1710</v>
      </c>
      <c r="N143" s="811" t="s">
        <v>1710</v>
      </c>
      <c r="O143" s="811" t="s">
        <v>1920</v>
      </c>
      <c r="P143" s="811" t="s">
        <v>1732</v>
      </c>
      <c r="Q143" s="811" t="s">
        <v>1785</v>
      </c>
    </row>
    <row r="144" spans="1:17" x14ac:dyDescent="0.3">
      <c r="A144" s="811" t="s">
        <v>1926</v>
      </c>
      <c r="B144" s="811" t="s">
        <v>1927</v>
      </c>
      <c r="C144" s="812">
        <v>445000000</v>
      </c>
      <c r="D144" s="811" t="s">
        <v>1505</v>
      </c>
      <c r="E144" s="811" t="s">
        <v>1505</v>
      </c>
      <c r="F144" s="811" t="s">
        <v>1764</v>
      </c>
      <c r="G144" s="811" t="s">
        <v>1727</v>
      </c>
      <c r="H144" s="811" t="s">
        <v>1738</v>
      </c>
      <c r="I144" s="811" t="s">
        <v>1729</v>
      </c>
      <c r="J144" s="813">
        <v>445000000</v>
      </c>
      <c r="K144" s="811" t="s">
        <v>1730</v>
      </c>
      <c r="L144" s="811" t="s">
        <v>1189</v>
      </c>
      <c r="M144" s="811" t="s">
        <v>1710</v>
      </c>
      <c r="N144" s="811" t="s">
        <v>1710</v>
      </c>
      <c r="O144" s="811" t="s">
        <v>1920</v>
      </c>
      <c r="P144" s="811" t="s">
        <v>1732</v>
      </c>
      <c r="Q144" s="811" t="s">
        <v>1785</v>
      </c>
    </row>
    <row r="145" spans="1:17" x14ac:dyDescent="0.3">
      <c r="A145" s="811" t="s">
        <v>1928</v>
      </c>
      <c r="B145" s="811" t="s">
        <v>1929</v>
      </c>
      <c r="C145" s="812">
        <v>19000000</v>
      </c>
      <c r="D145" s="811" t="s">
        <v>1502</v>
      </c>
      <c r="E145" s="811" t="s">
        <v>1502</v>
      </c>
      <c r="F145" s="811" t="s">
        <v>1737</v>
      </c>
      <c r="G145" s="811" t="s">
        <v>1727</v>
      </c>
      <c r="H145" s="811" t="s">
        <v>1738</v>
      </c>
      <c r="I145" s="811" t="s">
        <v>1729</v>
      </c>
      <c r="J145" s="813">
        <v>19000000</v>
      </c>
      <c r="K145" s="811" t="s">
        <v>1730</v>
      </c>
      <c r="L145" s="811" t="s">
        <v>1189</v>
      </c>
      <c r="M145" s="811" t="s">
        <v>1710</v>
      </c>
      <c r="N145" s="811" t="s">
        <v>1710</v>
      </c>
      <c r="O145" s="811" t="s">
        <v>1920</v>
      </c>
      <c r="P145" s="811" t="s">
        <v>1732</v>
      </c>
      <c r="Q145" s="811" t="s">
        <v>1785</v>
      </c>
    </row>
    <row r="146" spans="1:17" x14ac:dyDescent="0.3">
      <c r="A146" s="811" t="s">
        <v>1724</v>
      </c>
      <c r="B146" s="811" t="s">
        <v>1930</v>
      </c>
      <c r="C146" s="812">
        <v>44517774</v>
      </c>
      <c r="D146" s="811" t="s">
        <v>1501</v>
      </c>
      <c r="E146" s="811" t="s">
        <v>1501</v>
      </c>
      <c r="F146" s="811" t="s">
        <v>1760</v>
      </c>
      <c r="G146" s="811" t="s">
        <v>1727</v>
      </c>
      <c r="H146" s="811" t="s">
        <v>1728</v>
      </c>
      <c r="I146" s="811" t="s">
        <v>1729</v>
      </c>
      <c r="J146" s="813">
        <v>44517774</v>
      </c>
      <c r="K146" s="811" t="s">
        <v>1730</v>
      </c>
      <c r="L146" s="811" t="s">
        <v>1189</v>
      </c>
      <c r="M146" s="811" t="s">
        <v>1710</v>
      </c>
      <c r="N146" s="811" t="s">
        <v>1710</v>
      </c>
      <c r="O146" s="811" t="s">
        <v>1920</v>
      </c>
      <c r="P146" s="811" t="s">
        <v>1732</v>
      </c>
      <c r="Q146" s="811" t="s">
        <v>1785</v>
      </c>
    </row>
    <row r="147" spans="1:17" x14ac:dyDescent="0.3">
      <c r="A147" s="811" t="s">
        <v>1724</v>
      </c>
      <c r="B147" s="811" t="s">
        <v>1931</v>
      </c>
      <c r="C147" s="812">
        <v>31798410</v>
      </c>
      <c r="D147" s="811" t="s">
        <v>1501</v>
      </c>
      <c r="E147" s="811" t="s">
        <v>1501</v>
      </c>
      <c r="F147" s="811" t="s">
        <v>1760</v>
      </c>
      <c r="G147" s="811" t="s">
        <v>1727</v>
      </c>
      <c r="H147" s="811" t="s">
        <v>1728</v>
      </c>
      <c r="I147" s="811" t="s">
        <v>1729</v>
      </c>
      <c r="J147" s="813">
        <v>31798410</v>
      </c>
      <c r="K147" s="811" t="s">
        <v>1730</v>
      </c>
      <c r="L147" s="811" t="s">
        <v>1189</v>
      </c>
      <c r="M147" s="811" t="s">
        <v>1710</v>
      </c>
      <c r="N147" s="811" t="s">
        <v>1710</v>
      </c>
      <c r="O147" s="811" t="s">
        <v>1920</v>
      </c>
      <c r="P147" s="811" t="s">
        <v>1732</v>
      </c>
      <c r="Q147" s="811" t="s">
        <v>1785</v>
      </c>
    </row>
    <row r="148" spans="1:17" x14ac:dyDescent="0.3">
      <c r="A148" s="811" t="s">
        <v>1724</v>
      </c>
      <c r="B148" s="811" t="s">
        <v>1932</v>
      </c>
      <c r="C148" s="812">
        <v>85250000</v>
      </c>
      <c r="D148" s="811" t="s">
        <v>1495</v>
      </c>
      <c r="E148" s="811" t="s">
        <v>1495</v>
      </c>
      <c r="F148" s="811" t="s">
        <v>1764</v>
      </c>
      <c r="G148" s="811" t="s">
        <v>1727</v>
      </c>
      <c r="H148" s="811" t="s">
        <v>1728</v>
      </c>
      <c r="I148" s="811" t="s">
        <v>1729</v>
      </c>
      <c r="J148" s="813">
        <v>85250000</v>
      </c>
      <c r="K148" s="811" t="s">
        <v>1730</v>
      </c>
      <c r="L148" s="811" t="s">
        <v>1189</v>
      </c>
      <c r="M148" s="811" t="s">
        <v>1710</v>
      </c>
      <c r="N148" s="811" t="s">
        <v>1710</v>
      </c>
      <c r="O148" s="811" t="s">
        <v>1756</v>
      </c>
      <c r="P148" s="811" t="s">
        <v>1732</v>
      </c>
      <c r="Q148" s="811" t="s">
        <v>1757</v>
      </c>
    </row>
    <row r="149" spans="1:17" x14ac:dyDescent="0.3">
      <c r="A149" s="811" t="s">
        <v>1724</v>
      </c>
      <c r="B149" s="811" t="s">
        <v>1933</v>
      </c>
      <c r="C149" s="812">
        <v>100000000</v>
      </c>
      <c r="D149" s="811" t="s">
        <v>1505</v>
      </c>
      <c r="E149" s="811" t="s">
        <v>1505</v>
      </c>
      <c r="F149" s="811" t="s">
        <v>1760</v>
      </c>
      <c r="G149" s="811" t="s">
        <v>1727</v>
      </c>
      <c r="H149" s="811" t="s">
        <v>1728</v>
      </c>
      <c r="I149" s="811" t="s">
        <v>1729</v>
      </c>
      <c r="J149" s="813">
        <v>100000000</v>
      </c>
      <c r="K149" s="811" t="s">
        <v>1730</v>
      </c>
      <c r="L149" s="811" t="s">
        <v>1189</v>
      </c>
      <c r="M149" s="811" t="s">
        <v>1710</v>
      </c>
      <c r="N149" s="811" t="s">
        <v>1710</v>
      </c>
      <c r="O149" s="811" t="s">
        <v>1756</v>
      </c>
      <c r="P149" s="811" t="s">
        <v>1732</v>
      </c>
      <c r="Q149" s="811" t="s">
        <v>1757</v>
      </c>
    </row>
    <row r="150" spans="1:17" x14ac:dyDescent="0.3">
      <c r="A150" s="811" t="s">
        <v>1724</v>
      </c>
      <c r="B150" s="811" t="s">
        <v>1934</v>
      </c>
      <c r="C150" s="812">
        <v>75000000</v>
      </c>
      <c r="D150" s="811" t="s">
        <v>1505</v>
      </c>
      <c r="E150" s="811" t="s">
        <v>1505</v>
      </c>
      <c r="F150" s="811" t="s">
        <v>1760</v>
      </c>
      <c r="G150" s="811" t="s">
        <v>1727</v>
      </c>
      <c r="H150" s="811" t="s">
        <v>1728</v>
      </c>
      <c r="I150" s="811" t="s">
        <v>1729</v>
      </c>
      <c r="J150" s="813">
        <v>75000000</v>
      </c>
      <c r="K150" s="811" t="s">
        <v>1730</v>
      </c>
      <c r="L150" s="811" t="s">
        <v>1189</v>
      </c>
      <c r="M150" s="811" t="s">
        <v>1710</v>
      </c>
      <c r="N150" s="811" t="s">
        <v>1710</v>
      </c>
      <c r="O150" s="811" t="s">
        <v>1756</v>
      </c>
      <c r="P150" s="811" t="s">
        <v>1732</v>
      </c>
      <c r="Q150" s="811" t="s">
        <v>1757</v>
      </c>
    </row>
    <row r="151" spans="1:17" x14ac:dyDescent="0.3">
      <c r="A151" s="811" t="s">
        <v>1724</v>
      </c>
      <c r="B151" s="811" t="s">
        <v>1935</v>
      </c>
      <c r="C151" s="812">
        <v>17854947</v>
      </c>
      <c r="D151" s="811" t="s">
        <v>1495</v>
      </c>
      <c r="E151" s="811" t="s">
        <v>1495</v>
      </c>
      <c r="F151" s="811" t="s">
        <v>1737</v>
      </c>
      <c r="G151" s="811" t="s">
        <v>1727</v>
      </c>
      <c r="H151" s="811" t="s">
        <v>1728</v>
      </c>
      <c r="I151" s="811" t="s">
        <v>1729</v>
      </c>
      <c r="J151" s="813">
        <v>17854947</v>
      </c>
      <c r="K151" s="811" t="s">
        <v>1730</v>
      </c>
      <c r="L151" s="811" t="s">
        <v>1189</v>
      </c>
      <c r="M151" s="811" t="s">
        <v>1710</v>
      </c>
      <c r="N151" s="811" t="s">
        <v>1710</v>
      </c>
      <c r="O151" s="811" t="s">
        <v>1742</v>
      </c>
      <c r="P151" s="811" t="s">
        <v>1732</v>
      </c>
      <c r="Q151" s="811" t="s">
        <v>1743</v>
      </c>
    </row>
    <row r="152" spans="1:17" x14ac:dyDescent="0.3">
      <c r="A152" s="811" t="s">
        <v>1724</v>
      </c>
      <c r="B152" s="811" t="s">
        <v>1936</v>
      </c>
      <c r="C152" s="812">
        <v>39270000</v>
      </c>
      <c r="D152" s="811" t="s">
        <v>1495</v>
      </c>
      <c r="E152" s="811" t="s">
        <v>1495</v>
      </c>
      <c r="F152" s="811" t="s">
        <v>1764</v>
      </c>
      <c r="G152" s="811" t="s">
        <v>1727</v>
      </c>
      <c r="H152" s="811" t="s">
        <v>1728</v>
      </c>
      <c r="I152" s="811" t="s">
        <v>1729</v>
      </c>
      <c r="J152" s="813">
        <v>39270000</v>
      </c>
      <c r="K152" s="811" t="s">
        <v>1730</v>
      </c>
      <c r="L152" s="811" t="s">
        <v>1189</v>
      </c>
      <c r="M152" s="811" t="s">
        <v>1710</v>
      </c>
      <c r="N152" s="811" t="s">
        <v>1710</v>
      </c>
      <c r="O152" s="811" t="s">
        <v>1742</v>
      </c>
      <c r="P152" s="811" t="s">
        <v>1732</v>
      </c>
      <c r="Q152" s="811" t="s">
        <v>1743</v>
      </c>
    </row>
    <row r="153" spans="1:17" x14ac:dyDescent="0.3">
      <c r="A153" s="811" t="s">
        <v>1724</v>
      </c>
      <c r="B153" s="811" t="s">
        <v>1937</v>
      </c>
      <c r="C153" s="812">
        <v>78234000</v>
      </c>
      <c r="D153" s="811" t="s">
        <v>1495</v>
      </c>
      <c r="E153" s="811" t="s">
        <v>1495</v>
      </c>
      <c r="F153" s="811" t="s">
        <v>1747</v>
      </c>
      <c r="G153" s="811" t="s">
        <v>1727</v>
      </c>
      <c r="H153" s="811" t="s">
        <v>1728</v>
      </c>
      <c r="I153" s="811" t="s">
        <v>1729</v>
      </c>
      <c r="J153" s="813">
        <v>78234000</v>
      </c>
      <c r="K153" s="811" t="s">
        <v>1730</v>
      </c>
      <c r="L153" s="811" t="s">
        <v>1189</v>
      </c>
      <c r="M153" s="811" t="s">
        <v>1710</v>
      </c>
      <c r="N153" s="811" t="s">
        <v>1710</v>
      </c>
      <c r="O153" s="811" t="s">
        <v>1742</v>
      </c>
      <c r="P153" s="811" t="s">
        <v>1732</v>
      </c>
      <c r="Q153" s="811" t="s">
        <v>1743</v>
      </c>
    </row>
    <row r="154" spans="1:17" x14ac:dyDescent="0.3">
      <c r="A154" s="811" t="s">
        <v>1724</v>
      </c>
      <c r="B154" s="811" t="s">
        <v>1938</v>
      </c>
      <c r="C154" s="812">
        <v>34904400</v>
      </c>
      <c r="D154" s="811" t="s">
        <v>1495</v>
      </c>
      <c r="E154" s="811" t="s">
        <v>1495</v>
      </c>
      <c r="F154" s="811" t="s">
        <v>1747</v>
      </c>
      <c r="G154" s="811" t="s">
        <v>1727</v>
      </c>
      <c r="H154" s="811" t="s">
        <v>1728</v>
      </c>
      <c r="I154" s="811" t="s">
        <v>1729</v>
      </c>
      <c r="J154" s="813">
        <v>34904400</v>
      </c>
      <c r="K154" s="811" t="s">
        <v>1730</v>
      </c>
      <c r="L154" s="811" t="s">
        <v>1189</v>
      </c>
      <c r="M154" s="811" t="s">
        <v>1710</v>
      </c>
      <c r="N154" s="811" t="s">
        <v>1710</v>
      </c>
      <c r="O154" s="811" t="s">
        <v>1742</v>
      </c>
      <c r="P154" s="811" t="s">
        <v>1732</v>
      </c>
      <c r="Q154" s="811" t="s">
        <v>1743</v>
      </c>
    </row>
    <row r="155" spans="1:17" x14ac:dyDescent="0.3">
      <c r="A155" s="811" t="s">
        <v>1724</v>
      </c>
      <c r="B155" s="811" t="s">
        <v>1939</v>
      </c>
      <c r="C155" s="812">
        <v>32538000</v>
      </c>
      <c r="D155" s="811" t="s">
        <v>1611</v>
      </c>
      <c r="E155" s="811" t="s">
        <v>1611</v>
      </c>
      <c r="F155" s="811" t="s">
        <v>1741</v>
      </c>
      <c r="G155" s="811" t="s">
        <v>1727</v>
      </c>
      <c r="H155" s="811" t="s">
        <v>1728</v>
      </c>
      <c r="I155" s="811" t="s">
        <v>1729</v>
      </c>
      <c r="J155" s="813">
        <v>32538000</v>
      </c>
      <c r="K155" s="811" t="s">
        <v>1730</v>
      </c>
      <c r="L155" s="811" t="s">
        <v>1189</v>
      </c>
      <c r="M155" s="811" t="s">
        <v>1710</v>
      </c>
      <c r="N155" s="811" t="s">
        <v>1710</v>
      </c>
      <c r="O155" s="811" t="s">
        <v>1742</v>
      </c>
      <c r="P155" s="811" t="s">
        <v>1732</v>
      </c>
      <c r="Q155" s="811" t="s">
        <v>1743</v>
      </c>
    </row>
    <row r="156" spans="1:17" x14ac:dyDescent="0.3">
      <c r="A156" s="811" t="s">
        <v>1724</v>
      </c>
      <c r="B156" s="811" t="s">
        <v>1940</v>
      </c>
      <c r="C156" s="812">
        <v>46512000</v>
      </c>
      <c r="D156" s="811" t="s">
        <v>1611</v>
      </c>
      <c r="E156" s="811" t="s">
        <v>1611</v>
      </c>
      <c r="F156" s="811" t="s">
        <v>1741</v>
      </c>
      <c r="G156" s="811" t="s">
        <v>1727</v>
      </c>
      <c r="H156" s="811" t="s">
        <v>1728</v>
      </c>
      <c r="I156" s="811" t="s">
        <v>1729</v>
      </c>
      <c r="J156" s="813">
        <v>46512000</v>
      </c>
      <c r="K156" s="811" t="s">
        <v>1730</v>
      </c>
      <c r="L156" s="811" t="s">
        <v>1189</v>
      </c>
      <c r="M156" s="811" t="s">
        <v>1710</v>
      </c>
      <c r="N156" s="811" t="s">
        <v>1710</v>
      </c>
      <c r="O156" s="811" t="s">
        <v>1742</v>
      </c>
      <c r="P156" s="811" t="s">
        <v>1732</v>
      </c>
      <c r="Q156" s="811" t="s">
        <v>1743</v>
      </c>
    </row>
    <row r="157" spans="1:17" x14ac:dyDescent="0.3">
      <c r="A157" s="811" t="s">
        <v>1724</v>
      </c>
      <c r="B157" s="811" t="s">
        <v>1941</v>
      </c>
      <c r="C157" s="812">
        <v>38275500</v>
      </c>
      <c r="D157" s="811" t="s">
        <v>1501</v>
      </c>
      <c r="E157" s="811" t="s">
        <v>1501</v>
      </c>
      <c r="F157" s="811" t="s">
        <v>1741</v>
      </c>
      <c r="G157" s="811" t="s">
        <v>1727</v>
      </c>
      <c r="H157" s="811" t="s">
        <v>1728</v>
      </c>
      <c r="I157" s="811" t="s">
        <v>1729</v>
      </c>
      <c r="J157" s="813">
        <v>38275500</v>
      </c>
      <c r="K157" s="811" t="s">
        <v>1730</v>
      </c>
      <c r="L157" s="811" t="s">
        <v>1189</v>
      </c>
      <c r="M157" s="811" t="s">
        <v>1710</v>
      </c>
      <c r="N157" s="811" t="s">
        <v>1710</v>
      </c>
      <c r="O157" s="811" t="s">
        <v>1742</v>
      </c>
      <c r="P157" s="811" t="s">
        <v>1732</v>
      </c>
      <c r="Q157" s="811" t="s">
        <v>1743</v>
      </c>
    </row>
    <row r="158" spans="1:17" x14ac:dyDescent="0.3">
      <c r="A158" s="811" t="s">
        <v>1724</v>
      </c>
      <c r="B158" s="811" t="s">
        <v>1942</v>
      </c>
      <c r="C158" s="812">
        <v>24174695</v>
      </c>
      <c r="D158" s="811" t="s">
        <v>1501</v>
      </c>
      <c r="E158" s="811" t="s">
        <v>1501</v>
      </c>
      <c r="F158" s="811" t="s">
        <v>1741</v>
      </c>
      <c r="G158" s="811" t="s">
        <v>1727</v>
      </c>
      <c r="H158" s="811" t="s">
        <v>1728</v>
      </c>
      <c r="I158" s="811" t="s">
        <v>1729</v>
      </c>
      <c r="J158" s="813">
        <v>24174695</v>
      </c>
      <c r="K158" s="811" t="s">
        <v>1730</v>
      </c>
      <c r="L158" s="811" t="s">
        <v>1189</v>
      </c>
      <c r="M158" s="811" t="s">
        <v>1710</v>
      </c>
      <c r="N158" s="811" t="s">
        <v>1710</v>
      </c>
      <c r="O158" s="811" t="s">
        <v>1742</v>
      </c>
      <c r="P158" s="811" t="s">
        <v>1732</v>
      </c>
      <c r="Q158" s="811" t="s">
        <v>1743</v>
      </c>
    </row>
    <row r="159" spans="1:17" x14ac:dyDescent="0.3">
      <c r="A159" s="811" t="s">
        <v>1724</v>
      </c>
      <c r="B159" s="811" t="s">
        <v>1943</v>
      </c>
      <c r="C159" s="812">
        <v>24174695</v>
      </c>
      <c r="D159" s="811" t="s">
        <v>1501</v>
      </c>
      <c r="E159" s="811" t="s">
        <v>1501</v>
      </c>
      <c r="F159" s="811" t="s">
        <v>1741</v>
      </c>
      <c r="G159" s="811" t="s">
        <v>1727</v>
      </c>
      <c r="H159" s="811" t="s">
        <v>1728</v>
      </c>
      <c r="I159" s="811" t="s">
        <v>1729</v>
      </c>
      <c r="J159" s="813">
        <v>24174695</v>
      </c>
      <c r="K159" s="811" t="s">
        <v>1730</v>
      </c>
      <c r="L159" s="811" t="s">
        <v>1189</v>
      </c>
      <c r="M159" s="811" t="s">
        <v>1710</v>
      </c>
      <c r="N159" s="811" t="s">
        <v>1710</v>
      </c>
      <c r="O159" s="811" t="s">
        <v>1742</v>
      </c>
      <c r="P159" s="811" t="s">
        <v>1732</v>
      </c>
      <c r="Q159" s="811" t="s">
        <v>1743</v>
      </c>
    </row>
    <row r="160" spans="1:17" x14ac:dyDescent="0.3">
      <c r="A160" s="811" t="s">
        <v>1724</v>
      </c>
      <c r="B160" s="811" t="s">
        <v>1944</v>
      </c>
      <c r="C160" s="812">
        <v>34850000</v>
      </c>
      <c r="D160" s="811" t="s">
        <v>1611</v>
      </c>
      <c r="E160" s="811" t="s">
        <v>1611</v>
      </c>
      <c r="F160" s="811" t="s">
        <v>1741</v>
      </c>
      <c r="G160" s="811" t="s">
        <v>1727</v>
      </c>
      <c r="H160" s="811" t="s">
        <v>1728</v>
      </c>
      <c r="I160" s="811" t="s">
        <v>1729</v>
      </c>
      <c r="J160" s="813">
        <v>34850000</v>
      </c>
      <c r="K160" s="811" t="s">
        <v>1730</v>
      </c>
      <c r="L160" s="811" t="s">
        <v>1189</v>
      </c>
      <c r="M160" s="811" t="s">
        <v>1710</v>
      </c>
      <c r="N160" s="811" t="s">
        <v>1710</v>
      </c>
      <c r="O160" s="811" t="s">
        <v>1742</v>
      </c>
      <c r="P160" s="811" t="s">
        <v>1732</v>
      </c>
      <c r="Q160" s="811" t="s">
        <v>1743</v>
      </c>
    </row>
    <row r="161" spans="1:17" x14ac:dyDescent="0.3">
      <c r="A161" s="811" t="s">
        <v>1724</v>
      </c>
      <c r="B161" s="811" t="s">
        <v>1945</v>
      </c>
      <c r="C161" s="812">
        <v>34850000</v>
      </c>
      <c r="D161" s="811" t="s">
        <v>1611</v>
      </c>
      <c r="E161" s="811" t="s">
        <v>1611</v>
      </c>
      <c r="F161" s="811" t="s">
        <v>1741</v>
      </c>
      <c r="G161" s="811" t="s">
        <v>1727</v>
      </c>
      <c r="H161" s="811" t="s">
        <v>1728</v>
      </c>
      <c r="I161" s="811" t="s">
        <v>1729</v>
      </c>
      <c r="J161" s="813">
        <v>34850000</v>
      </c>
      <c r="K161" s="811" t="s">
        <v>1730</v>
      </c>
      <c r="L161" s="811" t="s">
        <v>1189</v>
      </c>
      <c r="M161" s="811" t="s">
        <v>1710</v>
      </c>
      <c r="N161" s="811" t="s">
        <v>1710</v>
      </c>
      <c r="O161" s="811" t="s">
        <v>1742</v>
      </c>
      <c r="P161" s="811" t="s">
        <v>1732</v>
      </c>
      <c r="Q161" s="811" t="s">
        <v>1743</v>
      </c>
    </row>
    <row r="162" spans="1:17" x14ac:dyDescent="0.3">
      <c r="A162" s="811" t="s">
        <v>1724</v>
      </c>
      <c r="B162" s="811" t="s">
        <v>1946</v>
      </c>
      <c r="C162" s="812">
        <v>32300000</v>
      </c>
      <c r="D162" s="811" t="s">
        <v>1611</v>
      </c>
      <c r="E162" s="811" t="s">
        <v>1611</v>
      </c>
      <c r="F162" s="811" t="s">
        <v>1741</v>
      </c>
      <c r="G162" s="811" t="s">
        <v>1727</v>
      </c>
      <c r="H162" s="811" t="s">
        <v>1728</v>
      </c>
      <c r="I162" s="811" t="s">
        <v>1729</v>
      </c>
      <c r="J162" s="813">
        <v>32300000</v>
      </c>
      <c r="K162" s="811" t="s">
        <v>1730</v>
      </c>
      <c r="L162" s="811" t="s">
        <v>1189</v>
      </c>
      <c r="M162" s="811" t="s">
        <v>1710</v>
      </c>
      <c r="N162" s="811" t="s">
        <v>1710</v>
      </c>
      <c r="O162" s="811" t="s">
        <v>1742</v>
      </c>
      <c r="P162" s="811" t="s">
        <v>1732</v>
      </c>
      <c r="Q162" s="811" t="s">
        <v>1743</v>
      </c>
    </row>
    <row r="163" spans="1:17" x14ac:dyDescent="0.3">
      <c r="A163" s="811" t="s">
        <v>1724</v>
      </c>
      <c r="B163" s="811" t="s">
        <v>1947</v>
      </c>
      <c r="C163" s="812">
        <v>32300000</v>
      </c>
      <c r="D163" s="811" t="s">
        <v>1611</v>
      </c>
      <c r="E163" s="811" t="s">
        <v>1611</v>
      </c>
      <c r="F163" s="811" t="s">
        <v>1741</v>
      </c>
      <c r="G163" s="811" t="s">
        <v>1727</v>
      </c>
      <c r="H163" s="811" t="s">
        <v>1728</v>
      </c>
      <c r="I163" s="811" t="s">
        <v>1729</v>
      </c>
      <c r="J163" s="813">
        <v>32300000</v>
      </c>
      <c r="K163" s="811" t="s">
        <v>1730</v>
      </c>
      <c r="L163" s="811" t="s">
        <v>1189</v>
      </c>
      <c r="M163" s="811" t="s">
        <v>1710</v>
      </c>
      <c r="N163" s="811" t="s">
        <v>1710</v>
      </c>
      <c r="O163" s="811" t="s">
        <v>1742</v>
      </c>
      <c r="P163" s="811" t="s">
        <v>1732</v>
      </c>
      <c r="Q163" s="811" t="s">
        <v>1743</v>
      </c>
    </row>
    <row r="164" spans="1:17" x14ac:dyDescent="0.3">
      <c r="A164" s="811" t="s">
        <v>1724</v>
      </c>
      <c r="B164" s="811" t="s">
        <v>1948</v>
      </c>
      <c r="C164" s="812">
        <v>32300000</v>
      </c>
      <c r="D164" s="811" t="s">
        <v>1611</v>
      </c>
      <c r="E164" s="811" t="s">
        <v>1611</v>
      </c>
      <c r="F164" s="811" t="s">
        <v>1741</v>
      </c>
      <c r="G164" s="811" t="s">
        <v>1727</v>
      </c>
      <c r="H164" s="811" t="s">
        <v>1728</v>
      </c>
      <c r="I164" s="811" t="s">
        <v>1729</v>
      </c>
      <c r="J164" s="813">
        <v>32300000</v>
      </c>
      <c r="K164" s="811" t="s">
        <v>1730</v>
      </c>
      <c r="L164" s="811" t="s">
        <v>1189</v>
      </c>
      <c r="M164" s="811" t="s">
        <v>1710</v>
      </c>
      <c r="N164" s="811" t="s">
        <v>1710</v>
      </c>
      <c r="O164" s="811" t="s">
        <v>1742</v>
      </c>
      <c r="P164" s="811" t="s">
        <v>1732</v>
      </c>
      <c r="Q164" s="811" t="s">
        <v>1743</v>
      </c>
    </row>
    <row r="165" spans="1:17" x14ac:dyDescent="0.3">
      <c r="A165" s="811" t="s">
        <v>1724</v>
      </c>
      <c r="B165" s="811" t="s">
        <v>1949</v>
      </c>
      <c r="C165" s="812">
        <v>34850000</v>
      </c>
      <c r="D165" s="811" t="s">
        <v>1611</v>
      </c>
      <c r="E165" s="811" t="s">
        <v>1611</v>
      </c>
      <c r="F165" s="811" t="s">
        <v>1741</v>
      </c>
      <c r="G165" s="811" t="s">
        <v>1727</v>
      </c>
      <c r="H165" s="811" t="s">
        <v>1728</v>
      </c>
      <c r="I165" s="811" t="s">
        <v>1729</v>
      </c>
      <c r="J165" s="813">
        <v>34850000</v>
      </c>
      <c r="K165" s="811" t="s">
        <v>1730</v>
      </c>
      <c r="L165" s="811" t="s">
        <v>1189</v>
      </c>
      <c r="M165" s="811" t="s">
        <v>1710</v>
      </c>
      <c r="N165" s="811" t="s">
        <v>1710</v>
      </c>
      <c r="O165" s="811" t="s">
        <v>1742</v>
      </c>
      <c r="P165" s="811" t="s">
        <v>1732</v>
      </c>
      <c r="Q165" s="811" t="s">
        <v>1743</v>
      </c>
    </row>
    <row r="166" spans="1:17" x14ac:dyDescent="0.3">
      <c r="A166" s="811" t="s">
        <v>1950</v>
      </c>
      <c r="B166" s="811" t="s">
        <v>1951</v>
      </c>
      <c r="C166" s="812">
        <v>583329000</v>
      </c>
      <c r="D166" s="811" t="s">
        <v>1509</v>
      </c>
      <c r="E166" s="811" t="s">
        <v>1509</v>
      </c>
      <c r="F166" s="811" t="s">
        <v>1737</v>
      </c>
      <c r="G166" s="811" t="s">
        <v>1727</v>
      </c>
      <c r="H166" s="811" t="s">
        <v>1728</v>
      </c>
      <c r="I166" s="811" t="s">
        <v>1729</v>
      </c>
      <c r="J166" s="813">
        <v>583329000</v>
      </c>
      <c r="K166" s="811" t="s">
        <v>1730</v>
      </c>
      <c r="L166" s="811" t="s">
        <v>1189</v>
      </c>
      <c r="M166" s="811" t="s">
        <v>1710</v>
      </c>
      <c r="N166" s="811" t="s">
        <v>1710</v>
      </c>
      <c r="O166" s="811" t="s">
        <v>1844</v>
      </c>
      <c r="P166" s="811" t="s">
        <v>1732</v>
      </c>
      <c r="Q166" s="811" t="s">
        <v>1780</v>
      </c>
    </row>
    <row r="167" spans="1:17" x14ac:dyDescent="0.3">
      <c r="A167" s="811" t="s">
        <v>1724</v>
      </c>
      <c r="B167" s="811" t="s">
        <v>1952</v>
      </c>
      <c r="C167" s="812">
        <v>59500000</v>
      </c>
      <c r="D167" s="811" t="s">
        <v>1509</v>
      </c>
      <c r="E167" s="811" t="s">
        <v>1509</v>
      </c>
      <c r="F167" s="811" t="s">
        <v>1773</v>
      </c>
      <c r="G167" s="811" t="s">
        <v>1727</v>
      </c>
      <c r="H167" s="811" t="s">
        <v>1728</v>
      </c>
      <c r="I167" s="811" t="s">
        <v>1729</v>
      </c>
      <c r="J167" s="813">
        <v>59500000</v>
      </c>
      <c r="K167" s="811" t="s">
        <v>1730</v>
      </c>
      <c r="L167" s="811" t="s">
        <v>1189</v>
      </c>
      <c r="M167" s="811" t="s">
        <v>1710</v>
      </c>
      <c r="N167" s="811" t="s">
        <v>1710</v>
      </c>
      <c r="O167" s="811" t="s">
        <v>1756</v>
      </c>
      <c r="P167" s="811" t="s">
        <v>1732</v>
      </c>
      <c r="Q167" s="811" t="s">
        <v>1757</v>
      </c>
    </row>
    <row r="168" spans="1:17" x14ac:dyDescent="0.3">
      <c r="A168" s="811" t="s">
        <v>1724</v>
      </c>
      <c r="B168" s="811" t="s">
        <v>1953</v>
      </c>
      <c r="C168" s="812">
        <v>69750000</v>
      </c>
      <c r="D168" s="811" t="s">
        <v>1501</v>
      </c>
      <c r="E168" s="811" t="s">
        <v>1501</v>
      </c>
      <c r="F168" s="811" t="s">
        <v>1741</v>
      </c>
      <c r="G168" s="811" t="s">
        <v>1727</v>
      </c>
      <c r="H168" s="811" t="s">
        <v>1728</v>
      </c>
      <c r="I168" s="811" t="s">
        <v>1729</v>
      </c>
      <c r="J168" s="813">
        <v>69750000</v>
      </c>
      <c r="K168" s="811" t="s">
        <v>1730</v>
      </c>
      <c r="L168" s="811" t="s">
        <v>1189</v>
      </c>
      <c r="M168" s="811" t="s">
        <v>1710</v>
      </c>
      <c r="N168" s="811" t="s">
        <v>1710</v>
      </c>
      <c r="O168" s="811" t="s">
        <v>1756</v>
      </c>
      <c r="P168" s="811" t="s">
        <v>1732</v>
      </c>
      <c r="Q168" s="811" t="s">
        <v>1757</v>
      </c>
    </row>
    <row r="169" spans="1:17" x14ac:dyDescent="0.3">
      <c r="A169" s="811" t="s">
        <v>1724</v>
      </c>
      <c r="B169" s="811" t="s">
        <v>1954</v>
      </c>
      <c r="C169" s="812">
        <v>69750000</v>
      </c>
      <c r="D169" s="811" t="s">
        <v>1501</v>
      </c>
      <c r="E169" s="811" t="s">
        <v>1501</v>
      </c>
      <c r="F169" s="811" t="s">
        <v>1741</v>
      </c>
      <c r="G169" s="811" t="s">
        <v>1727</v>
      </c>
      <c r="H169" s="811" t="s">
        <v>1728</v>
      </c>
      <c r="I169" s="811" t="s">
        <v>1729</v>
      </c>
      <c r="J169" s="813">
        <v>69750000</v>
      </c>
      <c r="K169" s="811" t="s">
        <v>1730</v>
      </c>
      <c r="L169" s="811" t="s">
        <v>1189</v>
      </c>
      <c r="M169" s="811" t="s">
        <v>1710</v>
      </c>
      <c r="N169" s="811" t="s">
        <v>1710</v>
      </c>
      <c r="O169" s="811" t="s">
        <v>1756</v>
      </c>
      <c r="P169" s="811" t="s">
        <v>1732</v>
      </c>
      <c r="Q169" s="811" t="s">
        <v>1757</v>
      </c>
    </row>
    <row r="170" spans="1:17" x14ac:dyDescent="0.3">
      <c r="A170" s="811" t="s">
        <v>1724</v>
      </c>
      <c r="B170" s="811" t="s">
        <v>1955</v>
      </c>
      <c r="C170" s="812">
        <v>69750000</v>
      </c>
      <c r="D170" s="811" t="s">
        <v>1501</v>
      </c>
      <c r="E170" s="811" t="s">
        <v>1501</v>
      </c>
      <c r="F170" s="811" t="s">
        <v>1741</v>
      </c>
      <c r="G170" s="811" t="s">
        <v>1727</v>
      </c>
      <c r="H170" s="811" t="s">
        <v>1728</v>
      </c>
      <c r="I170" s="811" t="s">
        <v>1729</v>
      </c>
      <c r="J170" s="813">
        <v>69750000</v>
      </c>
      <c r="K170" s="811" t="s">
        <v>1730</v>
      </c>
      <c r="L170" s="811" t="s">
        <v>1189</v>
      </c>
      <c r="M170" s="811" t="s">
        <v>1710</v>
      </c>
      <c r="N170" s="811" t="s">
        <v>1710</v>
      </c>
      <c r="O170" s="811" t="s">
        <v>1756</v>
      </c>
      <c r="P170" s="811" t="s">
        <v>1732</v>
      </c>
      <c r="Q170" s="811" t="s">
        <v>1757</v>
      </c>
    </row>
    <row r="171" spans="1:17" x14ac:dyDescent="0.3">
      <c r="A171" s="811" t="s">
        <v>1724</v>
      </c>
      <c r="B171" s="811" t="s">
        <v>1956</v>
      </c>
      <c r="C171" s="812">
        <v>69750000</v>
      </c>
      <c r="D171" s="811" t="s">
        <v>1501</v>
      </c>
      <c r="E171" s="811" t="s">
        <v>1501</v>
      </c>
      <c r="F171" s="811" t="s">
        <v>1741</v>
      </c>
      <c r="G171" s="811" t="s">
        <v>1727</v>
      </c>
      <c r="H171" s="811" t="s">
        <v>1728</v>
      </c>
      <c r="I171" s="811" t="s">
        <v>1729</v>
      </c>
      <c r="J171" s="813">
        <v>69750000</v>
      </c>
      <c r="K171" s="811" t="s">
        <v>1730</v>
      </c>
      <c r="L171" s="811" t="s">
        <v>1189</v>
      </c>
      <c r="M171" s="811" t="s">
        <v>1710</v>
      </c>
      <c r="N171" s="811" t="s">
        <v>1710</v>
      </c>
      <c r="O171" s="811" t="s">
        <v>1756</v>
      </c>
      <c r="P171" s="811" t="s">
        <v>1732</v>
      </c>
      <c r="Q171" s="811" t="s">
        <v>1757</v>
      </c>
    </row>
    <row r="172" spans="1:17" x14ac:dyDescent="0.3">
      <c r="A172" s="811" t="s">
        <v>1724</v>
      </c>
      <c r="B172" s="811" t="s">
        <v>1957</v>
      </c>
      <c r="C172" s="812">
        <v>43380000</v>
      </c>
      <c r="D172" s="811" t="s">
        <v>1501</v>
      </c>
      <c r="E172" s="811" t="s">
        <v>1501</v>
      </c>
      <c r="F172" s="811" t="s">
        <v>1741</v>
      </c>
      <c r="G172" s="811" t="s">
        <v>1727</v>
      </c>
      <c r="H172" s="811" t="s">
        <v>1728</v>
      </c>
      <c r="I172" s="811" t="s">
        <v>1729</v>
      </c>
      <c r="J172" s="813">
        <v>43380000</v>
      </c>
      <c r="K172" s="811" t="s">
        <v>1730</v>
      </c>
      <c r="L172" s="811" t="s">
        <v>1189</v>
      </c>
      <c r="M172" s="811" t="s">
        <v>1710</v>
      </c>
      <c r="N172" s="811" t="s">
        <v>1710</v>
      </c>
      <c r="O172" s="811" t="s">
        <v>1756</v>
      </c>
      <c r="P172" s="811" t="s">
        <v>1732</v>
      </c>
      <c r="Q172" s="811" t="s">
        <v>1757</v>
      </c>
    </row>
    <row r="173" spans="1:17" x14ac:dyDescent="0.3">
      <c r="A173" s="811" t="s">
        <v>1724</v>
      </c>
      <c r="B173" s="811" t="s">
        <v>1958</v>
      </c>
      <c r="C173" s="812">
        <v>69750000</v>
      </c>
      <c r="D173" s="811" t="s">
        <v>1501</v>
      </c>
      <c r="E173" s="811" t="s">
        <v>1501</v>
      </c>
      <c r="F173" s="811" t="s">
        <v>1741</v>
      </c>
      <c r="G173" s="811" t="s">
        <v>1727</v>
      </c>
      <c r="H173" s="811" t="s">
        <v>1728</v>
      </c>
      <c r="I173" s="811" t="s">
        <v>1729</v>
      </c>
      <c r="J173" s="813">
        <v>69750000</v>
      </c>
      <c r="K173" s="811" t="s">
        <v>1730</v>
      </c>
      <c r="L173" s="811" t="s">
        <v>1189</v>
      </c>
      <c r="M173" s="811" t="s">
        <v>1710</v>
      </c>
      <c r="N173" s="811" t="s">
        <v>1710</v>
      </c>
      <c r="O173" s="811" t="s">
        <v>1756</v>
      </c>
      <c r="P173" s="811" t="s">
        <v>1732</v>
      </c>
      <c r="Q173" s="811" t="s">
        <v>1757</v>
      </c>
    </row>
    <row r="174" spans="1:17" x14ac:dyDescent="0.3">
      <c r="A174" s="811" t="s">
        <v>1724</v>
      </c>
      <c r="B174" s="811" t="s">
        <v>1959</v>
      </c>
      <c r="C174" s="812">
        <v>49000000</v>
      </c>
      <c r="D174" s="811" t="s">
        <v>1509</v>
      </c>
      <c r="E174" s="811" t="s">
        <v>1509</v>
      </c>
      <c r="F174" s="811" t="s">
        <v>1773</v>
      </c>
      <c r="G174" s="811" t="s">
        <v>1727</v>
      </c>
      <c r="H174" s="811" t="s">
        <v>1728</v>
      </c>
      <c r="I174" s="811" t="s">
        <v>1729</v>
      </c>
      <c r="J174" s="813">
        <v>49000000</v>
      </c>
      <c r="K174" s="811" t="s">
        <v>1730</v>
      </c>
      <c r="L174" s="811" t="s">
        <v>1189</v>
      </c>
      <c r="M174" s="811" t="s">
        <v>1710</v>
      </c>
      <c r="N174" s="811" t="s">
        <v>1710</v>
      </c>
      <c r="O174" s="811" t="s">
        <v>1756</v>
      </c>
      <c r="P174" s="811" t="s">
        <v>1732</v>
      </c>
      <c r="Q174" s="811" t="s">
        <v>1757</v>
      </c>
    </row>
    <row r="175" spans="1:17" x14ac:dyDescent="0.3">
      <c r="A175" s="811" t="s">
        <v>1724</v>
      </c>
      <c r="B175" s="811" t="s">
        <v>1960</v>
      </c>
      <c r="C175" s="812">
        <v>99000000</v>
      </c>
      <c r="D175" s="811" t="s">
        <v>1501</v>
      </c>
      <c r="E175" s="811" t="s">
        <v>1501</v>
      </c>
      <c r="F175" s="811" t="s">
        <v>1741</v>
      </c>
      <c r="G175" s="811" t="s">
        <v>1727</v>
      </c>
      <c r="H175" s="811" t="s">
        <v>1728</v>
      </c>
      <c r="I175" s="811" t="s">
        <v>1729</v>
      </c>
      <c r="J175" s="813">
        <v>99000000</v>
      </c>
      <c r="K175" s="811" t="s">
        <v>1730</v>
      </c>
      <c r="L175" s="811" t="s">
        <v>1189</v>
      </c>
      <c r="M175" s="811" t="s">
        <v>1710</v>
      </c>
      <c r="N175" s="811" t="s">
        <v>1710</v>
      </c>
      <c r="O175" s="811" t="s">
        <v>1756</v>
      </c>
      <c r="P175" s="811" t="s">
        <v>1732</v>
      </c>
      <c r="Q175" s="811" t="s">
        <v>1757</v>
      </c>
    </row>
    <row r="176" spans="1:17" x14ac:dyDescent="0.3">
      <c r="A176" s="811" t="s">
        <v>1724</v>
      </c>
      <c r="B176" s="811" t="s">
        <v>1961</v>
      </c>
      <c r="C176" s="812">
        <v>99000000</v>
      </c>
      <c r="D176" s="811" t="s">
        <v>1501</v>
      </c>
      <c r="E176" s="811" t="s">
        <v>1501</v>
      </c>
      <c r="F176" s="811" t="s">
        <v>1741</v>
      </c>
      <c r="G176" s="811" t="s">
        <v>1727</v>
      </c>
      <c r="H176" s="811" t="s">
        <v>1728</v>
      </c>
      <c r="I176" s="811" t="s">
        <v>1729</v>
      </c>
      <c r="J176" s="813">
        <v>99000000</v>
      </c>
      <c r="K176" s="811" t="s">
        <v>1730</v>
      </c>
      <c r="L176" s="811" t="s">
        <v>1189</v>
      </c>
      <c r="M176" s="811" t="s">
        <v>1710</v>
      </c>
      <c r="N176" s="811" t="s">
        <v>1710</v>
      </c>
      <c r="O176" s="811" t="s">
        <v>1756</v>
      </c>
      <c r="P176" s="811" t="s">
        <v>1732</v>
      </c>
      <c r="Q176" s="811" t="s">
        <v>1757</v>
      </c>
    </row>
    <row r="177" spans="1:17" x14ac:dyDescent="0.3">
      <c r="A177" s="811" t="s">
        <v>1724</v>
      </c>
      <c r="B177" s="811" t="s">
        <v>1962</v>
      </c>
      <c r="C177" s="812">
        <v>53100000</v>
      </c>
      <c r="D177" s="811" t="s">
        <v>1501</v>
      </c>
      <c r="E177" s="811" t="s">
        <v>1501</v>
      </c>
      <c r="F177" s="811" t="s">
        <v>1741</v>
      </c>
      <c r="G177" s="811" t="s">
        <v>1727</v>
      </c>
      <c r="H177" s="811" t="s">
        <v>1728</v>
      </c>
      <c r="I177" s="811" t="s">
        <v>1729</v>
      </c>
      <c r="J177" s="813">
        <v>53100000</v>
      </c>
      <c r="K177" s="811" t="s">
        <v>1730</v>
      </c>
      <c r="L177" s="811" t="s">
        <v>1189</v>
      </c>
      <c r="M177" s="811" t="s">
        <v>1710</v>
      </c>
      <c r="N177" s="811" t="s">
        <v>1710</v>
      </c>
      <c r="O177" s="811" t="s">
        <v>1756</v>
      </c>
      <c r="P177" s="811" t="s">
        <v>1963</v>
      </c>
      <c r="Q177" s="811" t="s">
        <v>1757</v>
      </c>
    </row>
    <row r="178" spans="1:17" x14ac:dyDescent="0.3">
      <c r="A178" s="811" t="s">
        <v>1724</v>
      </c>
      <c r="B178" s="811" t="s">
        <v>1964</v>
      </c>
      <c r="C178" s="812">
        <v>63000000</v>
      </c>
      <c r="D178" s="811" t="s">
        <v>1501</v>
      </c>
      <c r="E178" s="811" t="s">
        <v>1501</v>
      </c>
      <c r="F178" s="811" t="s">
        <v>1741</v>
      </c>
      <c r="G178" s="811" t="s">
        <v>1727</v>
      </c>
      <c r="H178" s="811" t="s">
        <v>1728</v>
      </c>
      <c r="I178" s="811" t="s">
        <v>1729</v>
      </c>
      <c r="J178" s="813">
        <v>63000000</v>
      </c>
      <c r="K178" s="811" t="s">
        <v>1730</v>
      </c>
      <c r="L178" s="811" t="s">
        <v>1189</v>
      </c>
      <c r="M178" s="811" t="s">
        <v>1710</v>
      </c>
      <c r="N178" s="811" t="s">
        <v>1710</v>
      </c>
      <c r="O178" s="811" t="s">
        <v>1756</v>
      </c>
      <c r="P178" s="811" t="s">
        <v>1965</v>
      </c>
      <c r="Q178" s="811" t="s">
        <v>1757</v>
      </c>
    </row>
    <row r="179" spans="1:17" x14ac:dyDescent="0.3">
      <c r="A179" s="811" t="s">
        <v>1724</v>
      </c>
      <c r="B179" s="811" t="s">
        <v>1966</v>
      </c>
      <c r="C179" s="812">
        <v>53148771</v>
      </c>
      <c r="D179" s="811" t="s">
        <v>1501</v>
      </c>
      <c r="E179" s="811" t="s">
        <v>1501</v>
      </c>
      <c r="F179" s="811" t="s">
        <v>1741</v>
      </c>
      <c r="G179" s="811" t="s">
        <v>1727</v>
      </c>
      <c r="H179" s="811" t="s">
        <v>1728</v>
      </c>
      <c r="I179" s="811" t="s">
        <v>1729</v>
      </c>
      <c r="J179" s="813">
        <v>53148771</v>
      </c>
      <c r="K179" s="811" t="s">
        <v>1730</v>
      </c>
      <c r="L179" s="811" t="s">
        <v>1189</v>
      </c>
      <c r="M179" s="811" t="s">
        <v>1710</v>
      </c>
      <c r="N179" s="811" t="s">
        <v>1710</v>
      </c>
      <c r="O179" s="811" t="s">
        <v>1756</v>
      </c>
      <c r="P179" s="811" t="s">
        <v>1732</v>
      </c>
      <c r="Q179" s="811" t="s">
        <v>1757</v>
      </c>
    </row>
    <row r="180" spans="1:17" x14ac:dyDescent="0.3">
      <c r="A180" s="811" t="s">
        <v>1724</v>
      </c>
      <c r="B180" s="811" t="s">
        <v>1967</v>
      </c>
      <c r="C180" s="812">
        <v>55800000</v>
      </c>
      <c r="D180" s="811" t="s">
        <v>1501</v>
      </c>
      <c r="E180" s="811" t="s">
        <v>1501</v>
      </c>
      <c r="F180" s="811" t="s">
        <v>1741</v>
      </c>
      <c r="G180" s="811" t="s">
        <v>1727</v>
      </c>
      <c r="H180" s="811" t="s">
        <v>1728</v>
      </c>
      <c r="I180" s="811" t="s">
        <v>1729</v>
      </c>
      <c r="J180" s="813">
        <v>55800000</v>
      </c>
      <c r="K180" s="811" t="s">
        <v>1730</v>
      </c>
      <c r="L180" s="811" t="s">
        <v>1189</v>
      </c>
      <c r="M180" s="811" t="s">
        <v>1710</v>
      </c>
      <c r="N180" s="811" t="s">
        <v>1710</v>
      </c>
      <c r="O180" s="811" t="s">
        <v>1756</v>
      </c>
      <c r="P180" s="811" t="s">
        <v>1732</v>
      </c>
      <c r="Q180" s="811" t="s">
        <v>1757</v>
      </c>
    </row>
    <row r="181" spans="1:17" x14ac:dyDescent="0.3">
      <c r="A181" s="811" t="s">
        <v>1724</v>
      </c>
      <c r="B181" s="811" t="s">
        <v>1968</v>
      </c>
      <c r="C181" s="812">
        <v>60300000</v>
      </c>
      <c r="D181" s="811" t="s">
        <v>1501</v>
      </c>
      <c r="E181" s="811" t="s">
        <v>1501</v>
      </c>
      <c r="F181" s="811" t="s">
        <v>1741</v>
      </c>
      <c r="G181" s="811" t="s">
        <v>1727</v>
      </c>
      <c r="H181" s="811" t="s">
        <v>1728</v>
      </c>
      <c r="I181" s="811" t="s">
        <v>1729</v>
      </c>
      <c r="J181" s="813">
        <v>60300000</v>
      </c>
      <c r="K181" s="811" t="s">
        <v>1730</v>
      </c>
      <c r="L181" s="811" t="s">
        <v>1189</v>
      </c>
      <c r="M181" s="811" t="s">
        <v>1710</v>
      </c>
      <c r="N181" s="811" t="s">
        <v>1710</v>
      </c>
      <c r="O181" s="811" t="s">
        <v>1756</v>
      </c>
      <c r="P181" s="811" t="s">
        <v>1732</v>
      </c>
      <c r="Q181" s="811" t="s">
        <v>1757</v>
      </c>
    </row>
    <row r="182" spans="1:17" x14ac:dyDescent="0.3">
      <c r="A182" s="811" t="s">
        <v>1724</v>
      </c>
      <c r="B182" s="811" t="s">
        <v>1969</v>
      </c>
      <c r="C182" s="812">
        <v>45500000</v>
      </c>
      <c r="D182" s="811" t="s">
        <v>1509</v>
      </c>
      <c r="E182" s="811" t="s">
        <v>1509</v>
      </c>
      <c r="F182" s="811" t="s">
        <v>1773</v>
      </c>
      <c r="G182" s="811" t="s">
        <v>1727</v>
      </c>
      <c r="H182" s="811" t="s">
        <v>1728</v>
      </c>
      <c r="I182" s="811" t="s">
        <v>1729</v>
      </c>
      <c r="J182" s="813">
        <v>45500000</v>
      </c>
      <c r="K182" s="811" t="s">
        <v>1730</v>
      </c>
      <c r="L182" s="811" t="s">
        <v>1189</v>
      </c>
      <c r="M182" s="811" t="s">
        <v>1710</v>
      </c>
      <c r="N182" s="811" t="s">
        <v>1710</v>
      </c>
      <c r="O182" s="811" t="s">
        <v>1756</v>
      </c>
      <c r="P182" s="811" t="s">
        <v>1732</v>
      </c>
      <c r="Q182" s="811" t="s">
        <v>1757</v>
      </c>
    </row>
    <row r="183" spans="1:17" x14ac:dyDescent="0.3">
      <c r="A183" s="811" t="s">
        <v>1724</v>
      </c>
      <c r="B183" s="811" t="s">
        <v>1970</v>
      </c>
      <c r="C183" s="812">
        <v>31798410</v>
      </c>
      <c r="D183" s="811" t="s">
        <v>1501</v>
      </c>
      <c r="E183" s="811" t="s">
        <v>1501</v>
      </c>
      <c r="F183" s="811" t="s">
        <v>1760</v>
      </c>
      <c r="G183" s="811" t="s">
        <v>1727</v>
      </c>
      <c r="H183" s="811" t="s">
        <v>1728</v>
      </c>
      <c r="I183" s="811" t="s">
        <v>1729</v>
      </c>
      <c r="J183" s="813">
        <v>31798410</v>
      </c>
      <c r="K183" s="811" t="s">
        <v>1730</v>
      </c>
      <c r="L183" s="811" t="s">
        <v>1189</v>
      </c>
      <c r="M183" s="811" t="s">
        <v>1710</v>
      </c>
      <c r="N183" s="811" t="s">
        <v>1710</v>
      </c>
      <c r="O183" s="811" t="s">
        <v>1920</v>
      </c>
      <c r="P183" s="811" t="s">
        <v>1732</v>
      </c>
      <c r="Q183" s="811" t="s">
        <v>1785</v>
      </c>
    </row>
    <row r="184" spans="1:17" x14ac:dyDescent="0.3">
      <c r="A184" s="811" t="s">
        <v>1724</v>
      </c>
      <c r="B184" s="811" t="s">
        <v>1971</v>
      </c>
      <c r="C184" s="812">
        <v>89035548</v>
      </c>
      <c r="D184" s="811" t="s">
        <v>1501</v>
      </c>
      <c r="E184" s="811" t="s">
        <v>1501</v>
      </c>
      <c r="F184" s="811" t="s">
        <v>1760</v>
      </c>
      <c r="G184" s="811" t="s">
        <v>1727</v>
      </c>
      <c r="H184" s="811" t="s">
        <v>1728</v>
      </c>
      <c r="I184" s="811" t="s">
        <v>1729</v>
      </c>
      <c r="J184" s="813">
        <v>89035548</v>
      </c>
      <c r="K184" s="811" t="s">
        <v>1730</v>
      </c>
      <c r="L184" s="811" t="s">
        <v>1189</v>
      </c>
      <c r="M184" s="811" t="s">
        <v>1710</v>
      </c>
      <c r="N184" s="811" t="s">
        <v>1710</v>
      </c>
      <c r="O184" s="811" t="s">
        <v>1920</v>
      </c>
      <c r="P184" s="811" t="s">
        <v>1732</v>
      </c>
      <c r="Q184" s="811" t="s">
        <v>1785</v>
      </c>
    </row>
    <row r="185" spans="1:17" x14ac:dyDescent="0.3">
      <c r="A185" s="811" t="s">
        <v>1724</v>
      </c>
      <c r="B185" s="811" t="s">
        <v>1972</v>
      </c>
      <c r="C185" s="812">
        <v>63000000</v>
      </c>
      <c r="D185" s="811" t="s">
        <v>1611</v>
      </c>
      <c r="E185" s="811" t="s">
        <v>1611</v>
      </c>
      <c r="F185" s="811" t="s">
        <v>1741</v>
      </c>
      <c r="G185" s="811" t="s">
        <v>1727</v>
      </c>
      <c r="H185" s="811" t="s">
        <v>1728</v>
      </c>
      <c r="I185" s="811" t="s">
        <v>1729</v>
      </c>
      <c r="J185" s="813">
        <v>63000000</v>
      </c>
      <c r="K185" s="811" t="s">
        <v>1730</v>
      </c>
      <c r="L185" s="811" t="s">
        <v>1189</v>
      </c>
      <c r="M185" s="811" t="s">
        <v>1710</v>
      </c>
      <c r="N185" s="811" t="s">
        <v>1710</v>
      </c>
      <c r="O185" s="811" t="s">
        <v>1920</v>
      </c>
      <c r="P185" s="811" t="s">
        <v>1732</v>
      </c>
      <c r="Q185" s="811" t="s">
        <v>1785</v>
      </c>
    </row>
    <row r="186" spans="1:17" x14ac:dyDescent="0.3">
      <c r="A186" s="811" t="s">
        <v>1724</v>
      </c>
      <c r="B186" s="811" t="s">
        <v>1973</v>
      </c>
      <c r="C186" s="812">
        <v>40883670</v>
      </c>
      <c r="D186" s="811" t="s">
        <v>1501</v>
      </c>
      <c r="E186" s="811" t="s">
        <v>1501</v>
      </c>
      <c r="F186" s="811" t="s">
        <v>1760</v>
      </c>
      <c r="G186" s="811" t="s">
        <v>1727</v>
      </c>
      <c r="H186" s="811" t="s">
        <v>1728</v>
      </c>
      <c r="I186" s="811" t="s">
        <v>1729</v>
      </c>
      <c r="J186" s="813">
        <v>40883670</v>
      </c>
      <c r="K186" s="811" t="s">
        <v>1730</v>
      </c>
      <c r="L186" s="811" t="s">
        <v>1189</v>
      </c>
      <c r="M186" s="811" t="s">
        <v>1710</v>
      </c>
      <c r="N186" s="811" t="s">
        <v>1710</v>
      </c>
      <c r="O186" s="811" t="s">
        <v>1920</v>
      </c>
      <c r="P186" s="811" t="s">
        <v>1732</v>
      </c>
      <c r="Q186" s="811" t="s">
        <v>1785</v>
      </c>
    </row>
    <row r="187" spans="1:17" x14ac:dyDescent="0.3">
      <c r="A187" s="811" t="s">
        <v>1724</v>
      </c>
      <c r="B187" s="811" t="s">
        <v>1974</v>
      </c>
      <c r="C187" s="812">
        <v>49060404</v>
      </c>
      <c r="D187" s="811" t="s">
        <v>1501</v>
      </c>
      <c r="E187" s="811" t="s">
        <v>1501</v>
      </c>
      <c r="F187" s="811" t="s">
        <v>1760</v>
      </c>
      <c r="G187" s="811" t="s">
        <v>1727</v>
      </c>
      <c r="H187" s="811" t="s">
        <v>1728</v>
      </c>
      <c r="I187" s="811" t="s">
        <v>1729</v>
      </c>
      <c r="J187" s="813">
        <v>49060404</v>
      </c>
      <c r="K187" s="811" t="s">
        <v>1730</v>
      </c>
      <c r="L187" s="811" t="s">
        <v>1189</v>
      </c>
      <c r="M187" s="811" t="s">
        <v>1710</v>
      </c>
      <c r="N187" s="811" t="s">
        <v>1710</v>
      </c>
      <c r="O187" s="811" t="s">
        <v>1920</v>
      </c>
      <c r="P187" s="811" t="s">
        <v>1732</v>
      </c>
      <c r="Q187" s="811" t="s">
        <v>1785</v>
      </c>
    </row>
    <row r="188" spans="1:17" x14ac:dyDescent="0.3">
      <c r="A188" s="811" t="s">
        <v>1724</v>
      </c>
      <c r="B188" s="811" t="s">
        <v>1975</v>
      </c>
      <c r="C188" s="812">
        <v>22713150</v>
      </c>
      <c r="D188" s="811" t="s">
        <v>1501</v>
      </c>
      <c r="E188" s="811" t="s">
        <v>1501</v>
      </c>
      <c r="F188" s="811" t="s">
        <v>1760</v>
      </c>
      <c r="G188" s="811" t="s">
        <v>1727</v>
      </c>
      <c r="H188" s="811" t="s">
        <v>1728</v>
      </c>
      <c r="I188" s="811" t="s">
        <v>1729</v>
      </c>
      <c r="J188" s="813">
        <v>22713150</v>
      </c>
      <c r="K188" s="811" t="s">
        <v>1730</v>
      </c>
      <c r="L188" s="811" t="s">
        <v>1189</v>
      </c>
      <c r="M188" s="811" t="s">
        <v>1710</v>
      </c>
      <c r="N188" s="811" t="s">
        <v>1710</v>
      </c>
      <c r="O188" s="811" t="s">
        <v>1920</v>
      </c>
      <c r="P188" s="811" t="s">
        <v>1732</v>
      </c>
      <c r="Q188" s="811" t="s">
        <v>1785</v>
      </c>
    </row>
    <row r="189" spans="1:17" x14ac:dyDescent="0.3">
      <c r="A189" s="811" t="s">
        <v>1976</v>
      </c>
      <c r="B189" s="811" t="s">
        <v>1977</v>
      </c>
      <c r="C189" s="812">
        <v>59000000</v>
      </c>
      <c r="D189" s="811" t="s">
        <v>1611</v>
      </c>
      <c r="E189" s="811" t="s">
        <v>1611</v>
      </c>
      <c r="F189" s="811" t="s">
        <v>1793</v>
      </c>
      <c r="G189" s="811" t="s">
        <v>1727</v>
      </c>
      <c r="H189" s="811" t="s">
        <v>1650</v>
      </c>
      <c r="I189" s="811" t="s">
        <v>1729</v>
      </c>
      <c r="J189" s="813">
        <v>59000000</v>
      </c>
      <c r="K189" s="811" t="s">
        <v>1730</v>
      </c>
      <c r="L189" s="811" t="s">
        <v>1189</v>
      </c>
      <c r="M189" s="811" t="s">
        <v>1710</v>
      </c>
      <c r="N189" s="811" t="s">
        <v>1710</v>
      </c>
      <c r="O189" s="811" t="s">
        <v>1920</v>
      </c>
      <c r="P189" s="811" t="s">
        <v>1732</v>
      </c>
      <c r="Q189" s="811" t="s">
        <v>1785</v>
      </c>
    </row>
    <row r="190" spans="1:17" x14ac:dyDescent="0.3">
      <c r="A190" s="811" t="s">
        <v>1724</v>
      </c>
      <c r="B190" s="811" t="s">
        <v>1978</v>
      </c>
      <c r="C190" s="812">
        <v>28618569</v>
      </c>
      <c r="D190" s="811" t="s">
        <v>1611</v>
      </c>
      <c r="E190" s="811" t="s">
        <v>1611</v>
      </c>
      <c r="F190" s="811" t="s">
        <v>1741</v>
      </c>
      <c r="G190" s="811" t="s">
        <v>1727</v>
      </c>
      <c r="H190" s="811" t="s">
        <v>1728</v>
      </c>
      <c r="I190" s="811" t="s">
        <v>1729</v>
      </c>
      <c r="J190" s="813">
        <v>28618569</v>
      </c>
      <c r="K190" s="811" t="s">
        <v>1730</v>
      </c>
      <c r="L190" s="811" t="s">
        <v>1189</v>
      </c>
      <c r="M190" s="811" t="s">
        <v>1710</v>
      </c>
      <c r="N190" s="811" t="s">
        <v>1710</v>
      </c>
      <c r="O190" s="811" t="s">
        <v>1920</v>
      </c>
      <c r="P190" s="811" t="s">
        <v>1732</v>
      </c>
      <c r="Q190" s="811" t="s">
        <v>1785</v>
      </c>
    </row>
    <row r="191" spans="1:17" x14ac:dyDescent="0.3">
      <c r="A191" s="811" t="s">
        <v>1724</v>
      </c>
      <c r="B191" s="811" t="s">
        <v>1979</v>
      </c>
      <c r="C191" s="812">
        <v>32706936</v>
      </c>
      <c r="D191" s="811" t="s">
        <v>1611</v>
      </c>
      <c r="E191" s="811" t="s">
        <v>1611</v>
      </c>
      <c r="F191" s="811" t="s">
        <v>1741</v>
      </c>
      <c r="G191" s="811" t="s">
        <v>1727</v>
      </c>
      <c r="H191" s="811" t="s">
        <v>1728</v>
      </c>
      <c r="I191" s="811" t="s">
        <v>1729</v>
      </c>
      <c r="J191" s="813">
        <v>32706936</v>
      </c>
      <c r="K191" s="811" t="s">
        <v>1730</v>
      </c>
      <c r="L191" s="811" t="s">
        <v>1189</v>
      </c>
      <c r="M191" s="811" t="s">
        <v>1710</v>
      </c>
      <c r="N191" s="811" t="s">
        <v>1710</v>
      </c>
      <c r="O191" s="811" t="s">
        <v>1920</v>
      </c>
      <c r="P191" s="811" t="s">
        <v>1732</v>
      </c>
      <c r="Q191" s="811" t="s">
        <v>1785</v>
      </c>
    </row>
    <row r="192" spans="1:17" x14ac:dyDescent="0.3">
      <c r="A192" s="811" t="s">
        <v>1724</v>
      </c>
      <c r="B192" s="811" t="s">
        <v>1980</v>
      </c>
      <c r="C192" s="812">
        <v>36795303</v>
      </c>
      <c r="D192" s="811" t="s">
        <v>1611</v>
      </c>
      <c r="E192" s="811" t="s">
        <v>1611</v>
      </c>
      <c r="F192" s="811" t="s">
        <v>1741</v>
      </c>
      <c r="G192" s="811" t="s">
        <v>1727</v>
      </c>
      <c r="H192" s="811" t="s">
        <v>1728</v>
      </c>
      <c r="I192" s="811" t="s">
        <v>1729</v>
      </c>
      <c r="J192" s="813">
        <v>36795303</v>
      </c>
      <c r="K192" s="811" t="s">
        <v>1730</v>
      </c>
      <c r="L192" s="811" t="s">
        <v>1189</v>
      </c>
      <c r="M192" s="811" t="s">
        <v>1710</v>
      </c>
      <c r="N192" s="811" t="s">
        <v>1710</v>
      </c>
      <c r="O192" s="811" t="s">
        <v>1920</v>
      </c>
      <c r="P192" s="811" t="s">
        <v>1732</v>
      </c>
      <c r="Q192" s="811" t="s">
        <v>1785</v>
      </c>
    </row>
    <row r="193" spans="1:17" x14ac:dyDescent="0.3">
      <c r="A193" s="811" t="s">
        <v>1724</v>
      </c>
      <c r="B193" s="811" t="s">
        <v>1981</v>
      </c>
      <c r="C193" s="812">
        <v>32706936</v>
      </c>
      <c r="D193" s="811" t="s">
        <v>1611</v>
      </c>
      <c r="E193" s="811" t="s">
        <v>1611</v>
      </c>
      <c r="F193" s="811" t="s">
        <v>1741</v>
      </c>
      <c r="G193" s="811" t="s">
        <v>1727</v>
      </c>
      <c r="H193" s="811" t="s">
        <v>1728</v>
      </c>
      <c r="I193" s="811" t="s">
        <v>1729</v>
      </c>
      <c r="J193" s="813">
        <v>32706936</v>
      </c>
      <c r="K193" s="811" t="s">
        <v>1730</v>
      </c>
      <c r="L193" s="811" t="s">
        <v>1189</v>
      </c>
      <c r="M193" s="811" t="s">
        <v>1710</v>
      </c>
      <c r="N193" s="811" t="s">
        <v>1710</v>
      </c>
      <c r="O193" s="811" t="s">
        <v>1920</v>
      </c>
      <c r="P193" s="811" t="s">
        <v>1732</v>
      </c>
      <c r="Q193" s="811" t="s">
        <v>1785</v>
      </c>
    </row>
    <row r="194" spans="1:17" x14ac:dyDescent="0.3">
      <c r="A194" s="811" t="s">
        <v>1724</v>
      </c>
      <c r="B194" s="811" t="s">
        <v>1982</v>
      </c>
      <c r="C194" s="812">
        <v>36795303</v>
      </c>
      <c r="D194" s="811" t="s">
        <v>1611</v>
      </c>
      <c r="E194" s="811" t="s">
        <v>1611</v>
      </c>
      <c r="F194" s="811" t="s">
        <v>1741</v>
      </c>
      <c r="G194" s="811" t="s">
        <v>1727</v>
      </c>
      <c r="H194" s="811" t="s">
        <v>1728</v>
      </c>
      <c r="I194" s="811" t="s">
        <v>1729</v>
      </c>
      <c r="J194" s="813">
        <v>36795303</v>
      </c>
      <c r="K194" s="811" t="s">
        <v>1730</v>
      </c>
      <c r="L194" s="811" t="s">
        <v>1189</v>
      </c>
      <c r="M194" s="811" t="s">
        <v>1710</v>
      </c>
      <c r="N194" s="811" t="s">
        <v>1710</v>
      </c>
      <c r="O194" s="811" t="s">
        <v>1920</v>
      </c>
      <c r="P194" s="811" t="s">
        <v>1732</v>
      </c>
      <c r="Q194" s="811" t="s">
        <v>1785</v>
      </c>
    </row>
    <row r="195" spans="1:17" x14ac:dyDescent="0.3">
      <c r="A195" s="811" t="s">
        <v>1724</v>
      </c>
      <c r="B195" s="811" t="s">
        <v>1983</v>
      </c>
      <c r="C195" s="812">
        <v>53148771</v>
      </c>
      <c r="D195" s="811" t="s">
        <v>1611</v>
      </c>
      <c r="E195" s="811" t="s">
        <v>1611</v>
      </c>
      <c r="F195" s="811" t="s">
        <v>1741</v>
      </c>
      <c r="G195" s="811" t="s">
        <v>1727</v>
      </c>
      <c r="H195" s="811" t="s">
        <v>1728</v>
      </c>
      <c r="I195" s="811" t="s">
        <v>1729</v>
      </c>
      <c r="J195" s="813">
        <v>53148771</v>
      </c>
      <c r="K195" s="811" t="s">
        <v>1730</v>
      </c>
      <c r="L195" s="811" t="s">
        <v>1189</v>
      </c>
      <c r="M195" s="811" t="s">
        <v>1710</v>
      </c>
      <c r="N195" s="811" t="s">
        <v>1710</v>
      </c>
      <c r="O195" s="811" t="s">
        <v>1920</v>
      </c>
      <c r="P195" s="811" t="s">
        <v>1732</v>
      </c>
      <c r="Q195" s="811" t="s">
        <v>1785</v>
      </c>
    </row>
    <row r="196" spans="1:17" x14ac:dyDescent="0.3">
      <c r="A196" s="811" t="s">
        <v>1724</v>
      </c>
      <c r="B196" s="811" t="s">
        <v>1984</v>
      </c>
      <c r="C196" s="812">
        <v>36795303</v>
      </c>
      <c r="D196" s="811" t="s">
        <v>1611</v>
      </c>
      <c r="E196" s="811" t="s">
        <v>1611</v>
      </c>
      <c r="F196" s="811" t="s">
        <v>1741</v>
      </c>
      <c r="G196" s="811" t="s">
        <v>1727</v>
      </c>
      <c r="H196" s="811" t="s">
        <v>1728</v>
      </c>
      <c r="I196" s="811" t="s">
        <v>1729</v>
      </c>
      <c r="J196" s="813">
        <v>36795303</v>
      </c>
      <c r="K196" s="811" t="s">
        <v>1730</v>
      </c>
      <c r="L196" s="811" t="s">
        <v>1189</v>
      </c>
      <c r="M196" s="811" t="s">
        <v>1710</v>
      </c>
      <c r="N196" s="811" t="s">
        <v>1710</v>
      </c>
      <c r="O196" s="811" t="s">
        <v>1920</v>
      </c>
      <c r="P196" s="811" t="s">
        <v>1732</v>
      </c>
      <c r="Q196" s="811" t="s">
        <v>1785</v>
      </c>
    </row>
    <row r="197" spans="1:17" x14ac:dyDescent="0.3">
      <c r="A197" s="811" t="s">
        <v>1724</v>
      </c>
      <c r="B197" s="811" t="s">
        <v>1985</v>
      </c>
      <c r="C197" s="812">
        <v>28618569</v>
      </c>
      <c r="D197" s="811" t="s">
        <v>1611</v>
      </c>
      <c r="E197" s="811" t="s">
        <v>1611</v>
      </c>
      <c r="F197" s="811" t="s">
        <v>1741</v>
      </c>
      <c r="G197" s="811" t="s">
        <v>1727</v>
      </c>
      <c r="H197" s="811" t="s">
        <v>1728</v>
      </c>
      <c r="I197" s="811" t="s">
        <v>1729</v>
      </c>
      <c r="J197" s="813">
        <v>28618569</v>
      </c>
      <c r="K197" s="811" t="s">
        <v>1730</v>
      </c>
      <c r="L197" s="811" t="s">
        <v>1189</v>
      </c>
      <c r="M197" s="811" t="s">
        <v>1710</v>
      </c>
      <c r="N197" s="811" t="s">
        <v>1710</v>
      </c>
      <c r="O197" s="811" t="s">
        <v>1920</v>
      </c>
      <c r="P197" s="811" t="s">
        <v>1732</v>
      </c>
      <c r="Q197" s="811" t="s">
        <v>1785</v>
      </c>
    </row>
    <row r="198" spans="1:17" x14ac:dyDescent="0.3">
      <c r="A198" s="811" t="s">
        <v>1724</v>
      </c>
      <c r="B198" s="811" t="s">
        <v>1986</v>
      </c>
      <c r="C198" s="812">
        <v>24530202</v>
      </c>
      <c r="D198" s="811" t="s">
        <v>1611</v>
      </c>
      <c r="E198" s="811" t="s">
        <v>1611</v>
      </c>
      <c r="F198" s="811" t="s">
        <v>1741</v>
      </c>
      <c r="G198" s="811" t="s">
        <v>1727</v>
      </c>
      <c r="H198" s="811" t="s">
        <v>1728</v>
      </c>
      <c r="I198" s="811" t="s">
        <v>1729</v>
      </c>
      <c r="J198" s="813">
        <v>24530202</v>
      </c>
      <c r="K198" s="811" t="s">
        <v>1730</v>
      </c>
      <c r="L198" s="811" t="s">
        <v>1189</v>
      </c>
      <c r="M198" s="811" t="s">
        <v>1710</v>
      </c>
      <c r="N198" s="811" t="s">
        <v>1710</v>
      </c>
      <c r="O198" s="811" t="s">
        <v>1920</v>
      </c>
      <c r="P198" s="811" t="s">
        <v>1732</v>
      </c>
      <c r="Q198" s="811" t="s">
        <v>1785</v>
      </c>
    </row>
    <row r="199" spans="1:17" x14ac:dyDescent="0.3">
      <c r="A199" s="811" t="s">
        <v>1724</v>
      </c>
      <c r="B199" s="811" t="s">
        <v>1987</v>
      </c>
      <c r="C199" s="812">
        <v>73590606</v>
      </c>
      <c r="D199" s="811" t="s">
        <v>1611</v>
      </c>
      <c r="E199" s="811" t="s">
        <v>1611</v>
      </c>
      <c r="F199" s="811" t="s">
        <v>1741</v>
      </c>
      <c r="G199" s="811" t="s">
        <v>1727</v>
      </c>
      <c r="H199" s="811" t="s">
        <v>1728</v>
      </c>
      <c r="I199" s="811" t="s">
        <v>1729</v>
      </c>
      <c r="J199" s="813">
        <v>73590606</v>
      </c>
      <c r="K199" s="811" t="s">
        <v>1730</v>
      </c>
      <c r="L199" s="811" t="s">
        <v>1189</v>
      </c>
      <c r="M199" s="811" t="s">
        <v>1710</v>
      </c>
      <c r="N199" s="811" t="s">
        <v>1710</v>
      </c>
      <c r="O199" s="811" t="s">
        <v>1920</v>
      </c>
      <c r="P199" s="811" t="s">
        <v>1732</v>
      </c>
      <c r="Q199" s="811" t="s">
        <v>1785</v>
      </c>
    </row>
    <row r="200" spans="1:17" x14ac:dyDescent="0.3">
      <c r="A200" s="811" t="s">
        <v>1988</v>
      </c>
      <c r="B200" s="811" t="s">
        <v>1989</v>
      </c>
      <c r="C200" s="812">
        <v>21000000</v>
      </c>
      <c r="D200" s="811" t="s">
        <v>1505</v>
      </c>
      <c r="E200" s="811" t="s">
        <v>1505</v>
      </c>
      <c r="F200" s="811" t="s">
        <v>1764</v>
      </c>
      <c r="G200" s="811" t="s">
        <v>1727</v>
      </c>
      <c r="H200" s="811" t="s">
        <v>1650</v>
      </c>
      <c r="I200" s="811" t="s">
        <v>1729</v>
      </c>
      <c r="J200" s="813">
        <v>21000000</v>
      </c>
      <c r="K200" s="811" t="s">
        <v>1730</v>
      </c>
      <c r="L200" s="811" t="s">
        <v>1189</v>
      </c>
      <c r="M200" s="811" t="s">
        <v>1710</v>
      </c>
      <c r="N200" s="811" t="s">
        <v>1710</v>
      </c>
      <c r="O200" s="811" t="s">
        <v>1920</v>
      </c>
      <c r="P200" s="811" t="s">
        <v>1732</v>
      </c>
      <c r="Q200" s="811" t="s">
        <v>1785</v>
      </c>
    </row>
    <row r="201" spans="1:17" x14ac:dyDescent="0.3">
      <c r="A201" s="811" t="s">
        <v>1724</v>
      </c>
      <c r="B201" s="811" t="s">
        <v>1990</v>
      </c>
      <c r="C201" s="812">
        <v>85847040</v>
      </c>
      <c r="D201" s="811" t="s">
        <v>1501</v>
      </c>
      <c r="E201" s="811" t="s">
        <v>1501</v>
      </c>
      <c r="F201" s="811" t="s">
        <v>1741</v>
      </c>
      <c r="G201" s="811" t="s">
        <v>1727</v>
      </c>
      <c r="H201" s="811" t="s">
        <v>1728</v>
      </c>
      <c r="I201" s="811" t="s">
        <v>1729</v>
      </c>
      <c r="J201" s="813">
        <v>85847040</v>
      </c>
      <c r="K201" s="811" t="s">
        <v>1730</v>
      </c>
      <c r="L201" s="811" t="s">
        <v>1189</v>
      </c>
      <c r="M201" s="811" t="s">
        <v>1710</v>
      </c>
      <c r="N201" s="811" t="s">
        <v>1710</v>
      </c>
      <c r="O201" s="811" t="s">
        <v>1756</v>
      </c>
      <c r="P201" s="811" t="s">
        <v>1732</v>
      </c>
      <c r="Q201" s="811" t="s">
        <v>1757</v>
      </c>
    </row>
    <row r="202" spans="1:17" x14ac:dyDescent="0.3">
      <c r="A202" s="811" t="s">
        <v>1724</v>
      </c>
      <c r="B202" s="811" t="s">
        <v>1991</v>
      </c>
      <c r="C202" s="812">
        <v>65205000</v>
      </c>
      <c r="D202" s="811" t="s">
        <v>1501</v>
      </c>
      <c r="E202" s="811" t="s">
        <v>1501</v>
      </c>
      <c r="F202" s="811" t="s">
        <v>1741</v>
      </c>
      <c r="G202" s="811" t="s">
        <v>1727</v>
      </c>
      <c r="H202" s="811" t="s">
        <v>1728</v>
      </c>
      <c r="I202" s="811" t="s">
        <v>1729</v>
      </c>
      <c r="J202" s="813">
        <v>65205000</v>
      </c>
      <c r="K202" s="811" t="s">
        <v>1730</v>
      </c>
      <c r="L202" s="811" t="s">
        <v>1189</v>
      </c>
      <c r="M202" s="811" t="s">
        <v>1710</v>
      </c>
      <c r="N202" s="811" t="s">
        <v>1710</v>
      </c>
      <c r="O202" s="811" t="s">
        <v>1756</v>
      </c>
      <c r="P202" s="811" t="s">
        <v>1732</v>
      </c>
      <c r="Q202" s="811" t="s">
        <v>1757</v>
      </c>
    </row>
    <row r="203" spans="1:17" x14ac:dyDescent="0.3">
      <c r="A203" s="811" t="s">
        <v>1724</v>
      </c>
      <c r="B203" s="811" t="s">
        <v>1992</v>
      </c>
      <c r="C203" s="812">
        <v>44574000</v>
      </c>
      <c r="D203" s="811" t="s">
        <v>1501</v>
      </c>
      <c r="E203" s="811" t="s">
        <v>1501</v>
      </c>
      <c r="F203" s="811" t="s">
        <v>1741</v>
      </c>
      <c r="G203" s="811" t="s">
        <v>1727</v>
      </c>
      <c r="H203" s="811" t="s">
        <v>1728</v>
      </c>
      <c r="I203" s="811" t="s">
        <v>1729</v>
      </c>
      <c r="J203" s="813">
        <v>44574000</v>
      </c>
      <c r="K203" s="811" t="s">
        <v>1730</v>
      </c>
      <c r="L203" s="811" t="s">
        <v>1189</v>
      </c>
      <c r="M203" s="811" t="s">
        <v>1710</v>
      </c>
      <c r="N203" s="811" t="s">
        <v>1710</v>
      </c>
      <c r="O203" s="811" t="s">
        <v>1742</v>
      </c>
      <c r="P203" s="811" t="s">
        <v>1732</v>
      </c>
      <c r="Q203" s="811" t="s">
        <v>1743</v>
      </c>
    </row>
    <row r="204" spans="1:17" x14ac:dyDescent="0.3">
      <c r="A204" s="811" t="s">
        <v>1993</v>
      </c>
      <c r="B204" s="811" t="s">
        <v>1994</v>
      </c>
      <c r="C204" s="812">
        <v>494703848</v>
      </c>
      <c r="D204" s="811" t="s">
        <v>1502</v>
      </c>
      <c r="E204" s="811" t="s">
        <v>1502</v>
      </c>
      <c r="F204" s="811" t="s">
        <v>1773</v>
      </c>
      <c r="G204" s="811" t="s">
        <v>1727</v>
      </c>
      <c r="H204" s="811" t="s">
        <v>1728</v>
      </c>
      <c r="I204" s="811" t="s">
        <v>1729</v>
      </c>
      <c r="J204" s="813">
        <v>494703848</v>
      </c>
      <c r="K204" s="811" t="s">
        <v>1730</v>
      </c>
      <c r="L204" s="811" t="s">
        <v>1189</v>
      </c>
      <c r="M204" s="811" t="s">
        <v>1710</v>
      </c>
      <c r="N204" s="811" t="s">
        <v>1710</v>
      </c>
      <c r="O204" s="811" t="s">
        <v>1742</v>
      </c>
      <c r="P204" s="811" t="s">
        <v>1732</v>
      </c>
      <c r="Q204" s="811" t="s">
        <v>1743</v>
      </c>
    </row>
    <row r="205" spans="1:17" x14ac:dyDescent="0.3">
      <c r="A205" s="811" t="s">
        <v>1724</v>
      </c>
      <c r="B205" s="811" t="s">
        <v>1995</v>
      </c>
      <c r="C205" s="812">
        <v>99000000</v>
      </c>
      <c r="D205" s="811" t="s">
        <v>1505</v>
      </c>
      <c r="E205" s="811" t="s">
        <v>1505</v>
      </c>
      <c r="F205" s="811" t="s">
        <v>1764</v>
      </c>
      <c r="G205" s="811" t="s">
        <v>1727</v>
      </c>
      <c r="H205" s="811" t="s">
        <v>1728</v>
      </c>
      <c r="I205" s="811" t="s">
        <v>1729</v>
      </c>
      <c r="J205" s="813">
        <v>99000000</v>
      </c>
      <c r="K205" s="811" t="s">
        <v>1730</v>
      </c>
      <c r="L205" s="811" t="s">
        <v>1189</v>
      </c>
      <c r="M205" s="811" t="s">
        <v>1710</v>
      </c>
      <c r="N205" s="811" t="s">
        <v>1710</v>
      </c>
      <c r="O205" s="811" t="s">
        <v>1742</v>
      </c>
      <c r="P205" s="811" t="s">
        <v>1732</v>
      </c>
      <c r="Q205" s="811" t="s">
        <v>1743</v>
      </c>
    </row>
    <row r="206" spans="1:17" x14ac:dyDescent="0.3">
      <c r="A206" s="811" t="s">
        <v>1724</v>
      </c>
      <c r="B206" s="811" t="s">
        <v>1996</v>
      </c>
      <c r="C206" s="812">
        <v>44319000</v>
      </c>
      <c r="D206" s="811" t="s">
        <v>1505</v>
      </c>
      <c r="E206" s="811" t="s">
        <v>1505</v>
      </c>
      <c r="F206" s="811" t="s">
        <v>1764</v>
      </c>
      <c r="G206" s="811" t="s">
        <v>1727</v>
      </c>
      <c r="H206" s="811" t="s">
        <v>1728</v>
      </c>
      <c r="I206" s="811" t="s">
        <v>1729</v>
      </c>
      <c r="J206" s="813">
        <v>44319000</v>
      </c>
      <c r="K206" s="811" t="s">
        <v>1730</v>
      </c>
      <c r="L206" s="811" t="s">
        <v>1189</v>
      </c>
      <c r="M206" s="811" t="s">
        <v>1710</v>
      </c>
      <c r="N206" s="811" t="s">
        <v>1710</v>
      </c>
      <c r="O206" s="811" t="s">
        <v>1742</v>
      </c>
      <c r="P206" s="811" t="s">
        <v>1732</v>
      </c>
      <c r="Q206" s="811" t="s">
        <v>1743</v>
      </c>
    </row>
    <row r="207" spans="1:17" x14ac:dyDescent="0.3">
      <c r="A207" s="811" t="s">
        <v>1724</v>
      </c>
      <c r="B207" s="811" t="s">
        <v>1997</v>
      </c>
      <c r="C207" s="812">
        <v>36950520</v>
      </c>
      <c r="D207" s="811" t="s">
        <v>1495</v>
      </c>
      <c r="E207" s="811" t="s">
        <v>1495</v>
      </c>
      <c r="F207" s="811" t="s">
        <v>1747</v>
      </c>
      <c r="G207" s="811" t="s">
        <v>1727</v>
      </c>
      <c r="H207" s="811" t="s">
        <v>1728</v>
      </c>
      <c r="I207" s="811" t="s">
        <v>1729</v>
      </c>
      <c r="J207" s="813">
        <v>36950520</v>
      </c>
      <c r="K207" s="811" t="s">
        <v>1730</v>
      </c>
      <c r="L207" s="811" t="s">
        <v>1189</v>
      </c>
      <c r="M207" s="811" t="s">
        <v>1710</v>
      </c>
      <c r="N207" s="811" t="s">
        <v>1710</v>
      </c>
      <c r="O207" s="811" t="s">
        <v>1742</v>
      </c>
      <c r="P207" s="811" t="s">
        <v>1732</v>
      </c>
      <c r="Q207" s="811" t="s">
        <v>1743</v>
      </c>
    </row>
    <row r="208" spans="1:17" x14ac:dyDescent="0.3">
      <c r="A208" s="811" t="s">
        <v>1724</v>
      </c>
      <c r="B208" s="811" t="s">
        <v>1998</v>
      </c>
      <c r="C208" s="812">
        <v>24050000</v>
      </c>
      <c r="D208" s="811" t="s">
        <v>1510</v>
      </c>
      <c r="E208" s="811" t="s">
        <v>1510</v>
      </c>
      <c r="F208" s="811" t="s">
        <v>1814</v>
      </c>
      <c r="G208" s="811" t="s">
        <v>1727</v>
      </c>
      <c r="H208" s="811" t="s">
        <v>1728</v>
      </c>
      <c r="I208" s="811" t="s">
        <v>1729</v>
      </c>
      <c r="J208" s="813">
        <v>24050000</v>
      </c>
      <c r="K208" s="811" t="s">
        <v>1730</v>
      </c>
      <c r="L208" s="811" t="s">
        <v>1189</v>
      </c>
      <c r="M208" s="811" t="s">
        <v>1710</v>
      </c>
      <c r="N208" s="811" t="s">
        <v>1710</v>
      </c>
      <c r="O208" s="811" t="s">
        <v>1742</v>
      </c>
      <c r="P208" s="811" t="s">
        <v>1732</v>
      </c>
      <c r="Q208" s="811" t="s">
        <v>1743</v>
      </c>
    </row>
    <row r="209" spans="1:17" x14ac:dyDescent="0.3">
      <c r="A209" s="811" t="s">
        <v>1724</v>
      </c>
      <c r="B209" s="811" t="s">
        <v>1999</v>
      </c>
      <c r="C209" s="812">
        <v>45000000</v>
      </c>
      <c r="D209" s="811" t="s">
        <v>1510</v>
      </c>
      <c r="E209" s="811" t="s">
        <v>1510</v>
      </c>
      <c r="F209" s="811" t="s">
        <v>1737</v>
      </c>
      <c r="G209" s="811" t="s">
        <v>1727</v>
      </c>
      <c r="H209" s="811" t="s">
        <v>1728</v>
      </c>
      <c r="I209" s="811" t="s">
        <v>1729</v>
      </c>
      <c r="J209" s="813">
        <v>45000000</v>
      </c>
      <c r="K209" s="811" t="s">
        <v>1730</v>
      </c>
      <c r="L209" s="811" t="s">
        <v>1189</v>
      </c>
      <c r="M209" s="811" t="s">
        <v>1710</v>
      </c>
      <c r="N209" s="811" t="s">
        <v>1710</v>
      </c>
      <c r="O209" s="811" t="s">
        <v>214</v>
      </c>
      <c r="P209" s="811" t="s">
        <v>1732</v>
      </c>
      <c r="Q209" s="811" t="s">
        <v>1757</v>
      </c>
    </row>
    <row r="210" spans="1:17" x14ac:dyDescent="0.3">
      <c r="A210" s="811" t="s">
        <v>2000</v>
      </c>
      <c r="B210" s="811" t="s">
        <v>2001</v>
      </c>
      <c r="C210" s="812">
        <v>40000000</v>
      </c>
      <c r="D210" s="811" t="s">
        <v>1510</v>
      </c>
      <c r="E210" s="811" t="s">
        <v>1510</v>
      </c>
      <c r="F210" s="811" t="s">
        <v>1791</v>
      </c>
      <c r="G210" s="811" t="s">
        <v>1727</v>
      </c>
      <c r="H210" s="811" t="s">
        <v>1650</v>
      </c>
      <c r="I210" s="811" t="s">
        <v>1729</v>
      </c>
      <c r="J210" s="813">
        <v>40000000</v>
      </c>
      <c r="K210" s="811" t="s">
        <v>1730</v>
      </c>
      <c r="L210" s="811" t="s">
        <v>1189</v>
      </c>
      <c r="M210" s="811" t="s">
        <v>1710</v>
      </c>
      <c r="N210" s="811" t="s">
        <v>1710</v>
      </c>
      <c r="O210" s="811" t="s">
        <v>1852</v>
      </c>
      <c r="P210" s="811" t="s">
        <v>1732</v>
      </c>
      <c r="Q210" s="811" t="s">
        <v>1733</v>
      </c>
    </row>
    <row r="211" spans="1:17" x14ac:dyDescent="0.3">
      <c r="A211" s="811" t="s">
        <v>1724</v>
      </c>
      <c r="B211" s="811" t="s">
        <v>2002</v>
      </c>
      <c r="C211" s="812">
        <v>19987572</v>
      </c>
      <c r="D211" s="811" t="s">
        <v>1505</v>
      </c>
      <c r="E211" s="811" t="s">
        <v>1505</v>
      </c>
      <c r="F211" s="811" t="s">
        <v>1764</v>
      </c>
      <c r="G211" s="811" t="s">
        <v>1727</v>
      </c>
      <c r="H211" s="811" t="s">
        <v>1728</v>
      </c>
      <c r="I211" s="811" t="s">
        <v>1729</v>
      </c>
      <c r="J211" s="813">
        <v>19987572</v>
      </c>
      <c r="K211" s="811" t="s">
        <v>1730</v>
      </c>
      <c r="L211" s="811" t="s">
        <v>1189</v>
      </c>
      <c r="M211" s="811" t="s">
        <v>1710</v>
      </c>
      <c r="N211" s="811" t="s">
        <v>1710</v>
      </c>
      <c r="O211" s="811" t="s">
        <v>1920</v>
      </c>
      <c r="P211" s="811" t="s">
        <v>1732</v>
      </c>
      <c r="Q211" s="811" t="s">
        <v>1785</v>
      </c>
    </row>
    <row r="212" spans="1:17" x14ac:dyDescent="0.3">
      <c r="A212" s="811" t="s">
        <v>1724</v>
      </c>
      <c r="B212" s="811" t="s">
        <v>2003</v>
      </c>
      <c r="C212" s="812">
        <v>44972037</v>
      </c>
      <c r="D212" s="811" t="s">
        <v>1505</v>
      </c>
      <c r="E212" s="811" t="s">
        <v>1505</v>
      </c>
      <c r="F212" s="811" t="s">
        <v>1764</v>
      </c>
      <c r="G212" s="811" t="s">
        <v>1727</v>
      </c>
      <c r="H212" s="811" t="s">
        <v>1728</v>
      </c>
      <c r="I212" s="811" t="s">
        <v>1729</v>
      </c>
      <c r="J212" s="813">
        <v>44972037</v>
      </c>
      <c r="K212" s="811" t="s">
        <v>1730</v>
      </c>
      <c r="L212" s="811" t="s">
        <v>1189</v>
      </c>
      <c r="M212" s="811" t="s">
        <v>1710</v>
      </c>
      <c r="N212" s="811" t="s">
        <v>1710</v>
      </c>
      <c r="O212" s="811" t="s">
        <v>1920</v>
      </c>
      <c r="P212" s="811" t="s">
        <v>1732</v>
      </c>
      <c r="Q212" s="811" t="s">
        <v>1785</v>
      </c>
    </row>
    <row r="213" spans="1:17" x14ac:dyDescent="0.3">
      <c r="A213" s="811" t="s">
        <v>1724</v>
      </c>
      <c r="B213" s="811" t="s">
        <v>2004</v>
      </c>
      <c r="C213" s="812">
        <v>39975144</v>
      </c>
      <c r="D213" s="811" t="s">
        <v>1505</v>
      </c>
      <c r="E213" s="811" t="s">
        <v>1505</v>
      </c>
      <c r="F213" s="811" t="s">
        <v>1764</v>
      </c>
      <c r="G213" s="811" t="s">
        <v>1727</v>
      </c>
      <c r="H213" s="811" t="s">
        <v>1728</v>
      </c>
      <c r="I213" s="811" t="s">
        <v>1729</v>
      </c>
      <c r="J213" s="813">
        <v>39975144</v>
      </c>
      <c r="K213" s="811" t="s">
        <v>1730</v>
      </c>
      <c r="L213" s="811" t="s">
        <v>1189</v>
      </c>
      <c r="M213" s="811" t="s">
        <v>1710</v>
      </c>
      <c r="N213" s="811" t="s">
        <v>1710</v>
      </c>
      <c r="O213" s="811" t="s">
        <v>1920</v>
      </c>
      <c r="P213" s="811" t="s">
        <v>1732</v>
      </c>
      <c r="Q213" s="811" t="s">
        <v>1785</v>
      </c>
    </row>
    <row r="214" spans="1:17" x14ac:dyDescent="0.3">
      <c r="A214" s="811" t="s">
        <v>1724</v>
      </c>
      <c r="B214" s="811" t="s">
        <v>2005</v>
      </c>
      <c r="C214" s="812">
        <v>29981358</v>
      </c>
      <c r="D214" s="811" t="s">
        <v>1505</v>
      </c>
      <c r="E214" s="811" t="s">
        <v>1505</v>
      </c>
      <c r="F214" s="811" t="s">
        <v>1764</v>
      </c>
      <c r="G214" s="811" t="s">
        <v>1727</v>
      </c>
      <c r="H214" s="811" t="s">
        <v>1728</v>
      </c>
      <c r="I214" s="811" t="s">
        <v>1729</v>
      </c>
      <c r="J214" s="813">
        <v>29981358</v>
      </c>
      <c r="K214" s="811" t="s">
        <v>1730</v>
      </c>
      <c r="L214" s="811" t="s">
        <v>1189</v>
      </c>
      <c r="M214" s="811" t="s">
        <v>1710</v>
      </c>
      <c r="N214" s="811" t="s">
        <v>1710</v>
      </c>
      <c r="O214" s="811" t="s">
        <v>1920</v>
      </c>
      <c r="P214" s="811" t="s">
        <v>1732</v>
      </c>
      <c r="Q214" s="811" t="s">
        <v>1785</v>
      </c>
    </row>
    <row r="215" spans="1:17" x14ac:dyDescent="0.3">
      <c r="A215" s="811" t="s">
        <v>1724</v>
      </c>
      <c r="B215" s="811" t="s">
        <v>2006</v>
      </c>
      <c r="C215" s="812">
        <v>29981358</v>
      </c>
      <c r="D215" s="811" t="s">
        <v>1505</v>
      </c>
      <c r="E215" s="811" t="s">
        <v>1505</v>
      </c>
      <c r="F215" s="811" t="s">
        <v>1764</v>
      </c>
      <c r="G215" s="811" t="s">
        <v>1727</v>
      </c>
      <c r="H215" s="811" t="s">
        <v>1728</v>
      </c>
      <c r="I215" s="811" t="s">
        <v>1729</v>
      </c>
      <c r="J215" s="813">
        <v>29981358</v>
      </c>
      <c r="K215" s="811" t="s">
        <v>1730</v>
      </c>
      <c r="L215" s="811" t="s">
        <v>1189</v>
      </c>
      <c r="M215" s="811" t="s">
        <v>1710</v>
      </c>
      <c r="N215" s="811" t="s">
        <v>1710</v>
      </c>
      <c r="O215" s="811" t="s">
        <v>1920</v>
      </c>
      <c r="P215" s="811" t="s">
        <v>1732</v>
      </c>
      <c r="Q215" s="811" t="s">
        <v>1785</v>
      </c>
    </row>
    <row r="216" spans="1:17" x14ac:dyDescent="0.3">
      <c r="A216" s="811" t="s">
        <v>1724</v>
      </c>
      <c r="B216" s="811" t="s">
        <v>2007</v>
      </c>
      <c r="C216" s="812">
        <v>53148771</v>
      </c>
      <c r="D216" s="811" t="s">
        <v>1505</v>
      </c>
      <c r="E216" s="811" t="s">
        <v>1505</v>
      </c>
      <c r="F216" s="811" t="s">
        <v>1741</v>
      </c>
      <c r="G216" s="811" t="s">
        <v>1727</v>
      </c>
      <c r="H216" s="811" t="s">
        <v>1728</v>
      </c>
      <c r="I216" s="811" t="s">
        <v>1729</v>
      </c>
      <c r="J216" s="813">
        <v>53148771</v>
      </c>
      <c r="K216" s="811" t="s">
        <v>1730</v>
      </c>
      <c r="L216" s="811" t="s">
        <v>1189</v>
      </c>
      <c r="M216" s="811" t="s">
        <v>1710</v>
      </c>
      <c r="N216" s="811" t="s">
        <v>1710</v>
      </c>
      <c r="O216" s="811" t="s">
        <v>1920</v>
      </c>
      <c r="P216" s="811" t="s">
        <v>1732</v>
      </c>
      <c r="Q216" s="811" t="s">
        <v>1785</v>
      </c>
    </row>
    <row r="217" spans="1:17" x14ac:dyDescent="0.3">
      <c r="A217" s="811" t="s">
        <v>1724</v>
      </c>
      <c r="B217" s="811" t="s">
        <v>2008</v>
      </c>
      <c r="C217" s="812">
        <v>34978251</v>
      </c>
      <c r="D217" s="811" t="s">
        <v>1505</v>
      </c>
      <c r="E217" s="811" t="s">
        <v>1505</v>
      </c>
      <c r="F217" s="811" t="s">
        <v>1764</v>
      </c>
      <c r="G217" s="811" t="s">
        <v>1727</v>
      </c>
      <c r="H217" s="811" t="s">
        <v>1728</v>
      </c>
      <c r="I217" s="811" t="s">
        <v>1729</v>
      </c>
      <c r="J217" s="813">
        <v>34978251</v>
      </c>
      <c r="K217" s="811" t="s">
        <v>1730</v>
      </c>
      <c r="L217" s="811" t="s">
        <v>1189</v>
      </c>
      <c r="M217" s="811" t="s">
        <v>1710</v>
      </c>
      <c r="N217" s="811" t="s">
        <v>1710</v>
      </c>
      <c r="O217" s="811" t="s">
        <v>1920</v>
      </c>
      <c r="P217" s="811" t="s">
        <v>1732</v>
      </c>
      <c r="Q217" s="811" t="s">
        <v>1785</v>
      </c>
    </row>
    <row r="218" spans="1:17" x14ac:dyDescent="0.3">
      <c r="A218" s="811" t="s">
        <v>1724</v>
      </c>
      <c r="B218" s="811" t="s">
        <v>2009</v>
      </c>
      <c r="C218" s="812">
        <v>34978251</v>
      </c>
      <c r="D218" s="811" t="s">
        <v>1505</v>
      </c>
      <c r="E218" s="811" t="s">
        <v>1505</v>
      </c>
      <c r="F218" s="811" t="s">
        <v>1764</v>
      </c>
      <c r="G218" s="811" t="s">
        <v>1727</v>
      </c>
      <c r="H218" s="811" t="s">
        <v>1728</v>
      </c>
      <c r="I218" s="811" t="s">
        <v>1729</v>
      </c>
      <c r="J218" s="813">
        <v>34978251</v>
      </c>
      <c r="K218" s="811" t="s">
        <v>1730</v>
      </c>
      <c r="L218" s="811" t="s">
        <v>1189</v>
      </c>
      <c r="M218" s="811" t="s">
        <v>1710</v>
      </c>
      <c r="N218" s="811" t="s">
        <v>1710</v>
      </c>
      <c r="O218" s="811" t="s">
        <v>1920</v>
      </c>
      <c r="P218" s="811" t="s">
        <v>1732</v>
      </c>
      <c r="Q218" s="811" t="s">
        <v>1785</v>
      </c>
    </row>
    <row r="219" spans="1:17" x14ac:dyDescent="0.3">
      <c r="A219" s="811" t="s">
        <v>1724</v>
      </c>
      <c r="B219" s="811" t="s">
        <v>2010</v>
      </c>
      <c r="C219" s="812">
        <v>29981358</v>
      </c>
      <c r="D219" s="811" t="s">
        <v>1505</v>
      </c>
      <c r="E219" s="811" t="s">
        <v>1505</v>
      </c>
      <c r="F219" s="811" t="s">
        <v>1764</v>
      </c>
      <c r="G219" s="811" t="s">
        <v>1727</v>
      </c>
      <c r="H219" s="811" t="s">
        <v>1728</v>
      </c>
      <c r="I219" s="811" t="s">
        <v>1729</v>
      </c>
      <c r="J219" s="813">
        <v>29981358</v>
      </c>
      <c r="K219" s="811" t="s">
        <v>1730</v>
      </c>
      <c r="L219" s="811" t="s">
        <v>1189</v>
      </c>
      <c r="M219" s="811" t="s">
        <v>1710</v>
      </c>
      <c r="N219" s="811" t="s">
        <v>1710</v>
      </c>
      <c r="O219" s="811" t="s">
        <v>1920</v>
      </c>
      <c r="P219" s="811" t="s">
        <v>1732</v>
      </c>
      <c r="Q219" s="811" t="s">
        <v>1785</v>
      </c>
    </row>
    <row r="220" spans="1:17" x14ac:dyDescent="0.3">
      <c r="A220" s="811" t="s">
        <v>1724</v>
      </c>
      <c r="B220" s="811" t="s">
        <v>2011</v>
      </c>
      <c r="C220" s="812">
        <v>28800000</v>
      </c>
      <c r="D220" s="811" t="s">
        <v>1611</v>
      </c>
      <c r="E220" s="811" t="s">
        <v>1611</v>
      </c>
      <c r="F220" s="811" t="s">
        <v>1726</v>
      </c>
      <c r="G220" s="811" t="s">
        <v>1727</v>
      </c>
      <c r="H220" s="811" t="s">
        <v>1728</v>
      </c>
      <c r="I220" s="811" t="s">
        <v>1729</v>
      </c>
      <c r="J220" s="813">
        <v>28800000</v>
      </c>
      <c r="K220" s="811" t="s">
        <v>1730</v>
      </c>
      <c r="L220" s="811" t="s">
        <v>1189</v>
      </c>
      <c r="M220" s="811" t="s">
        <v>1710</v>
      </c>
      <c r="N220" s="811" t="s">
        <v>1710</v>
      </c>
      <c r="O220" s="811" t="s">
        <v>1731</v>
      </c>
      <c r="P220" s="811" t="s">
        <v>1732</v>
      </c>
      <c r="Q220" s="811" t="s">
        <v>1733</v>
      </c>
    </row>
    <row r="221" spans="1:17" x14ac:dyDescent="0.3">
      <c r="A221" s="811" t="s">
        <v>1724</v>
      </c>
      <c r="B221" s="811" t="s">
        <v>2012</v>
      </c>
      <c r="C221" s="812">
        <v>24530202</v>
      </c>
      <c r="D221" s="811" t="s">
        <v>1611</v>
      </c>
      <c r="E221" s="811" t="s">
        <v>1611</v>
      </c>
      <c r="F221" s="811" t="s">
        <v>1741</v>
      </c>
      <c r="G221" s="811" t="s">
        <v>1727</v>
      </c>
      <c r="H221" s="811" t="s">
        <v>1728</v>
      </c>
      <c r="I221" s="811" t="s">
        <v>1729</v>
      </c>
      <c r="J221" s="813">
        <v>24530202</v>
      </c>
      <c r="K221" s="811" t="s">
        <v>1730</v>
      </c>
      <c r="L221" s="811" t="s">
        <v>1189</v>
      </c>
      <c r="M221" s="811" t="s">
        <v>1710</v>
      </c>
      <c r="N221" s="811" t="s">
        <v>1710</v>
      </c>
      <c r="O221" s="811" t="s">
        <v>1920</v>
      </c>
      <c r="P221" s="811" t="s">
        <v>1732</v>
      </c>
      <c r="Q221" s="811" t="s">
        <v>1785</v>
      </c>
    </row>
    <row r="222" spans="1:17" x14ac:dyDescent="0.3">
      <c r="A222" s="811" t="s">
        <v>1724</v>
      </c>
      <c r="B222" s="811" t="s">
        <v>2013</v>
      </c>
      <c r="C222" s="812">
        <v>24530202</v>
      </c>
      <c r="D222" s="811" t="s">
        <v>1611</v>
      </c>
      <c r="E222" s="811" t="s">
        <v>1611</v>
      </c>
      <c r="F222" s="811" t="s">
        <v>1741</v>
      </c>
      <c r="G222" s="811" t="s">
        <v>1727</v>
      </c>
      <c r="H222" s="811" t="s">
        <v>1728</v>
      </c>
      <c r="I222" s="811" t="s">
        <v>1729</v>
      </c>
      <c r="J222" s="813">
        <v>24530202</v>
      </c>
      <c r="K222" s="811" t="s">
        <v>1730</v>
      </c>
      <c r="L222" s="811" t="s">
        <v>1189</v>
      </c>
      <c r="M222" s="811" t="s">
        <v>1710</v>
      </c>
      <c r="N222" s="811" t="s">
        <v>1710</v>
      </c>
      <c r="O222" s="811" t="s">
        <v>1920</v>
      </c>
      <c r="P222" s="811" t="s">
        <v>1732</v>
      </c>
      <c r="Q222" s="811" t="s">
        <v>1785</v>
      </c>
    </row>
    <row r="223" spans="1:17" x14ac:dyDescent="0.3">
      <c r="A223" s="811" t="s">
        <v>1724</v>
      </c>
      <c r="B223" s="811" t="s">
        <v>2014</v>
      </c>
      <c r="C223" s="812">
        <v>53148771</v>
      </c>
      <c r="D223" s="811" t="s">
        <v>1611</v>
      </c>
      <c r="E223" s="811" t="s">
        <v>1611</v>
      </c>
      <c r="F223" s="811" t="s">
        <v>1741</v>
      </c>
      <c r="G223" s="811" t="s">
        <v>1727</v>
      </c>
      <c r="H223" s="811" t="s">
        <v>1728</v>
      </c>
      <c r="I223" s="811" t="s">
        <v>1729</v>
      </c>
      <c r="J223" s="813">
        <v>53148771</v>
      </c>
      <c r="K223" s="811" t="s">
        <v>1730</v>
      </c>
      <c r="L223" s="811" t="s">
        <v>1189</v>
      </c>
      <c r="M223" s="811" t="s">
        <v>1710</v>
      </c>
      <c r="N223" s="811" t="s">
        <v>1710</v>
      </c>
      <c r="O223" s="811" t="s">
        <v>1920</v>
      </c>
      <c r="P223" s="811" t="s">
        <v>1732</v>
      </c>
      <c r="Q223" s="811" t="s">
        <v>1785</v>
      </c>
    </row>
    <row r="224" spans="1:17" x14ac:dyDescent="0.3">
      <c r="A224" s="811" t="s">
        <v>1724</v>
      </c>
      <c r="B224" s="811" t="s">
        <v>2015</v>
      </c>
      <c r="C224" s="812">
        <v>53148771</v>
      </c>
      <c r="D224" s="811" t="s">
        <v>1611</v>
      </c>
      <c r="E224" s="811" t="s">
        <v>1611</v>
      </c>
      <c r="F224" s="811" t="s">
        <v>1741</v>
      </c>
      <c r="G224" s="811" t="s">
        <v>1727</v>
      </c>
      <c r="H224" s="811" t="s">
        <v>1728</v>
      </c>
      <c r="I224" s="811" t="s">
        <v>1729</v>
      </c>
      <c r="J224" s="813">
        <v>53148771</v>
      </c>
      <c r="K224" s="811" t="s">
        <v>1730</v>
      </c>
      <c r="L224" s="811" t="s">
        <v>1189</v>
      </c>
      <c r="M224" s="811" t="s">
        <v>1710</v>
      </c>
      <c r="N224" s="811" t="s">
        <v>1710</v>
      </c>
      <c r="O224" s="811" t="s">
        <v>1920</v>
      </c>
      <c r="P224" s="811" t="s">
        <v>1732</v>
      </c>
      <c r="Q224" s="811" t="s">
        <v>1785</v>
      </c>
    </row>
    <row r="225" spans="1:17" x14ac:dyDescent="0.3">
      <c r="A225" s="811" t="s">
        <v>1724</v>
      </c>
      <c r="B225" s="811" t="s">
        <v>2016</v>
      </c>
      <c r="C225" s="812">
        <v>36795303</v>
      </c>
      <c r="D225" s="811" t="s">
        <v>1611</v>
      </c>
      <c r="E225" s="811" t="s">
        <v>1611</v>
      </c>
      <c r="F225" s="811" t="s">
        <v>1741</v>
      </c>
      <c r="G225" s="811" t="s">
        <v>1727</v>
      </c>
      <c r="H225" s="811" t="s">
        <v>1728</v>
      </c>
      <c r="I225" s="811" t="s">
        <v>1729</v>
      </c>
      <c r="J225" s="813">
        <v>36795303</v>
      </c>
      <c r="K225" s="811" t="s">
        <v>1730</v>
      </c>
      <c r="L225" s="811" t="s">
        <v>1189</v>
      </c>
      <c r="M225" s="811" t="s">
        <v>1710</v>
      </c>
      <c r="N225" s="811" t="s">
        <v>1710</v>
      </c>
      <c r="O225" s="811" t="s">
        <v>1920</v>
      </c>
      <c r="P225" s="811" t="s">
        <v>1732</v>
      </c>
      <c r="Q225" s="811" t="s">
        <v>1785</v>
      </c>
    </row>
    <row r="226" spans="1:17" x14ac:dyDescent="0.3">
      <c r="A226" s="811" t="s">
        <v>1724</v>
      </c>
      <c r="B226" s="811" t="s">
        <v>2017</v>
      </c>
      <c r="C226" s="812">
        <v>24530202</v>
      </c>
      <c r="D226" s="811" t="s">
        <v>1611</v>
      </c>
      <c r="E226" s="811" t="s">
        <v>1611</v>
      </c>
      <c r="F226" s="811" t="s">
        <v>1741</v>
      </c>
      <c r="G226" s="811" t="s">
        <v>1727</v>
      </c>
      <c r="H226" s="811" t="s">
        <v>1728</v>
      </c>
      <c r="I226" s="811" t="s">
        <v>1729</v>
      </c>
      <c r="J226" s="813">
        <v>24530202</v>
      </c>
      <c r="K226" s="811" t="s">
        <v>1730</v>
      </c>
      <c r="L226" s="811" t="s">
        <v>1189</v>
      </c>
      <c r="M226" s="811" t="s">
        <v>1710</v>
      </c>
      <c r="N226" s="811" t="s">
        <v>1710</v>
      </c>
      <c r="O226" s="811" t="s">
        <v>1920</v>
      </c>
      <c r="P226" s="811" t="s">
        <v>1732</v>
      </c>
      <c r="Q226" s="811" t="s">
        <v>1785</v>
      </c>
    </row>
    <row r="227" spans="1:17" x14ac:dyDescent="0.3">
      <c r="A227" s="811" t="s">
        <v>1724</v>
      </c>
      <c r="B227" s="811" t="s">
        <v>2018</v>
      </c>
      <c r="C227" s="812">
        <v>32706936</v>
      </c>
      <c r="D227" s="811" t="s">
        <v>1611</v>
      </c>
      <c r="E227" s="811" t="s">
        <v>1611</v>
      </c>
      <c r="F227" s="811" t="s">
        <v>1741</v>
      </c>
      <c r="G227" s="811" t="s">
        <v>1727</v>
      </c>
      <c r="H227" s="811" t="s">
        <v>1728</v>
      </c>
      <c r="I227" s="811" t="s">
        <v>1729</v>
      </c>
      <c r="J227" s="813">
        <v>32706936</v>
      </c>
      <c r="K227" s="811" t="s">
        <v>1730</v>
      </c>
      <c r="L227" s="811" t="s">
        <v>1189</v>
      </c>
      <c r="M227" s="811" t="s">
        <v>1710</v>
      </c>
      <c r="N227" s="811" t="s">
        <v>1710</v>
      </c>
      <c r="O227" s="811" t="s">
        <v>1920</v>
      </c>
      <c r="P227" s="811" t="s">
        <v>1732</v>
      </c>
      <c r="Q227" s="811" t="s">
        <v>1785</v>
      </c>
    </row>
    <row r="228" spans="1:17" x14ac:dyDescent="0.3">
      <c r="A228" s="811" t="s">
        <v>2019</v>
      </c>
      <c r="B228" s="811" t="s">
        <v>2020</v>
      </c>
      <c r="C228" s="812">
        <v>70000000</v>
      </c>
      <c r="D228" s="811" t="s">
        <v>1611</v>
      </c>
      <c r="E228" s="811" t="s">
        <v>1611</v>
      </c>
      <c r="F228" s="811" t="s">
        <v>1741</v>
      </c>
      <c r="G228" s="811" t="s">
        <v>1727</v>
      </c>
      <c r="H228" s="811" t="s">
        <v>1865</v>
      </c>
      <c r="I228" s="811" t="s">
        <v>1729</v>
      </c>
      <c r="J228" s="813">
        <v>70000000</v>
      </c>
      <c r="K228" s="811" t="s">
        <v>1730</v>
      </c>
      <c r="L228" s="811" t="s">
        <v>1189</v>
      </c>
      <c r="M228" s="811" t="s">
        <v>1710</v>
      </c>
      <c r="N228" s="811" t="s">
        <v>1710</v>
      </c>
      <c r="O228" s="811" t="s">
        <v>1920</v>
      </c>
      <c r="P228" s="811" t="s">
        <v>1732</v>
      </c>
      <c r="Q228" s="811" t="s">
        <v>1785</v>
      </c>
    </row>
    <row r="229" spans="1:17" x14ac:dyDescent="0.3">
      <c r="A229" s="811" t="s">
        <v>2019</v>
      </c>
      <c r="B229" s="811" t="s">
        <v>2021</v>
      </c>
      <c r="C229" s="812">
        <v>20000000</v>
      </c>
      <c r="D229" s="811" t="s">
        <v>1611</v>
      </c>
      <c r="E229" s="811" t="s">
        <v>1611</v>
      </c>
      <c r="F229" s="811" t="s">
        <v>1741</v>
      </c>
      <c r="G229" s="811" t="s">
        <v>1727</v>
      </c>
      <c r="H229" s="811" t="s">
        <v>1865</v>
      </c>
      <c r="I229" s="811" t="s">
        <v>1729</v>
      </c>
      <c r="J229" s="813">
        <v>20000000</v>
      </c>
      <c r="K229" s="811" t="s">
        <v>1730</v>
      </c>
      <c r="L229" s="811" t="s">
        <v>1189</v>
      </c>
      <c r="M229" s="811" t="s">
        <v>1710</v>
      </c>
      <c r="N229" s="811" t="s">
        <v>1710</v>
      </c>
      <c r="O229" s="811" t="s">
        <v>1920</v>
      </c>
      <c r="P229" s="811" t="s">
        <v>1732</v>
      </c>
      <c r="Q229" s="811" t="s">
        <v>1785</v>
      </c>
    </row>
    <row r="230" spans="1:17" x14ac:dyDescent="0.3">
      <c r="A230" s="811" t="s">
        <v>2022</v>
      </c>
      <c r="B230" s="811" t="s">
        <v>2023</v>
      </c>
      <c r="C230" s="812">
        <v>120000000</v>
      </c>
      <c r="D230" s="811" t="s">
        <v>1611</v>
      </c>
      <c r="E230" s="811" t="s">
        <v>1611</v>
      </c>
      <c r="F230" s="811" t="s">
        <v>1741</v>
      </c>
      <c r="G230" s="811" t="s">
        <v>1727</v>
      </c>
      <c r="H230" s="811" t="s">
        <v>1728</v>
      </c>
      <c r="I230" s="811" t="s">
        <v>1729</v>
      </c>
      <c r="J230" s="813">
        <v>120000000</v>
      </c>
      <c r="K230" s="811" t="s">
        <v>1730</v>
      </c>
      <c r="L230" s="811" t="s">
        <v>1189</v>
      </c>
      <c r="M230" s="811" t="s">
        <v>1710</v>
      </c>
      <c r="N230" s="811" t="s">
        <v>1710</v>
      </c>
      <c r="O230" s="811" t="s">
        <v>1920</v>
      </c>
      <c r="P230" s="811" t="s">
        <v>1732</v>
      </c>
      <c r="Q230" s="811" t="s">
        <v>1785</v>
      </c>
    </row>
    <row r="231" spans="1:17" x14ac:dyDescent="0.3">
      <c r="A231" s="811" t="s">
        <v>2024</v>
      </c>
      <c r="B231" s="811" t="s">
        <v>2025</v>
      </c>
      <c r="C231" s="812">
        <v>88000000</v>
      </c>
      <c r="D231" s="811" t="s">
        <v>1611</v>
      </c>
      <c r="E231" s="811" t="s">
        <v>1611</v>
      </c>
      <c r="F231" s="811" t="s">
        <v>1793</v>
      </c>
      <c r="G231" s="811" t="s">
        <v>1727</v>
      </c>
      <c r="H231" s="811" t="s">
        <v>1865</v>
      </c>
      <c r="I231" s="811" t="s">
        <v>1729</v>
      </c>
      <c r="J231" s="813">
        <v>88000000</v>
      </c>
      <c r="K231" s="811" t="s">
        <v>1730</v>
      </c>
      <c r="L231" s="811" t="s">
        <v>1189</v>
      </c>
      <c r="M231" s="811" t="s">
        <v>1710</v>
      </c>
      <c r="N231" s="811" t="s">
        <v>1710</v>
      </c>
      <c r="O231" s="811" t="s">
        <v>1920</v>
      </c>
      <c r="P231" s="811" t="s">
        <v>1732</v>
      </c>
      <c r="Q231" s="811" t="s">
        <v>1785</v>
      </c>
    </row>
    <row r="232" spans="1:17" x14ac:dyDescent="0.3">
      <c r="A232" s="811" t="s">
        <v>2024</v>
      </c>
      <c r="B232" s="811" t="s">
        <v>2026</v>
      </c>
      <c r="C232" s="812">
        <v>30000000</v>
      </c>
      <c r="D232" s="811" t="s">
        <v>1611</v>
      </c>
      <c r="E232" s="811" t="s">
        <v>1611</v>
      </c>
      <c r="F232" s="811" t="s">
        <v>1793</v>
      </c>
      <c r="G232" s="811" t="s">
        <v>1727</v>
      </c>
      <c r="H232" s="811" t="s">
        <v>1650</v>
      </c>
      <c r="I232" s="811" t="s">
        <v>1729</v>
      </c>
      <c r="J232" s="813">
        <v>30000000</v>
      </c>
      <c r="K232" s="811" t="s">
        <v>1730</v>
      </c>
      <c r="L232" s="811" t="s">
        <v>1189</v>
      </c>
      <c r="M232" s="811" t="s">
        <v>1710</v>
      </c>
      <c r="N232" s="811" t="s">
        <v>1710</v>
      </c>
      <c r="O232" s="811" t="s">
        <v>1920</v>
      </c>
      <c r="P232" s="811" t="s">
        <v>1732</v>
      </c>
      <c r="Q232" s="811" t="s">
        <v>1785</v>
      </c>
    </row>
    <row r="233" spans="1:17" x14ac:dyDescent="0.3">
      <c r="A233" s="811" t="s">
        <v>1724</v>
      </c>
      <c r="B233" s="811" t="s">
        <v>2027</v>
      </c>
      <c r="C233" s="812">
        <v>58872500</v>
      </c>
      <c r="D233" s="811" t="s">
        <v>1611</v>
      </c>
      <c r="E233" s="811" t="s">
        <v>1611</v>
      </c>
      <c r="F233" s="811" t="s">
        <v>1726</v>
      </c>
      <c r="G233" s="811" t="s">
        <v>1727</v>
      </c>
      <c r="H233" s="811" t="s">
        <v>1728</v>
      </c>
      <c r="I233" s="811" t="s">
        <v>1729</v>
      </c>
      <c r="J233" s="813">
        <v>58872500</v>
      </c>
      <c r="K233" s="811" t="s">
        <v>1730</v>
      </c>
      <c r="L233" s="811" t="s">
        <v>1189</v>
      </c>
      <c r="M233" s="811" t="s">
        <v>1710</v>
      </c>
      <c r="N233" s="811" t="s">
        <v>1710</v>
      </c>
      <c r="O233" s="811" t="s">
        <v>1920</v>
      </c>
      <c r="P233" s="811" t="s">
        <v>1732</v>
      </c>
      <c r="Q233" s="811" t="s">
        <v>1785</v>
      </c>
    </row>
    <row r="234" spans="1:17" x14ac:dyDescent="0.3">
      <c r="A234" s="811" t="s">
        <v>2028</v>
      </c>
      <c r="B234" s="811" t="s">
        <v>2029</v>
      </c>
      <c r="C234" s="812">
        <v>1530501871</v>
      </c>
      <c r="D234" s="811" t="s">
        <v>1510</v>
      </c>
      <c r="E234" s="811" t="s">
        <v>1510</v>
      </c>
      <c r="F234" s="811" t="s">
        <v>1737</v>
      </c>
      <c r="G234" s="811" t="s">
        <v>1727</v>
      </c>
      <c r="H234" s="811" t="s">
        <v>1728</v>
      </c>
      <c r="I234" s="811" t="s">
        <v>1729</v>
      </c>
      <c r="J234" s="813">
        <v>1530501871</v>
      </c>
      <c r="K234" s="811" t="s">
        <v>1730</v>
      </c>
      <c r="L234" s="811" t="s">
        <v>1189</v>
      </c>
      <c r="M234" s="811" t="s">
        <v>1710</v>
      </c>
      <c r="N234" s="811" t="s">
        <v>1710</v>
      </c>
      <c r="O234" s="811" t="s">
        <v>1920</v>
      </c>
      <c r="P234" s="811" t="s">
        <v>1732</v>
      </c>
      <c r="Q234" s="811" t="s">
        <v>1785</v>
      </c>
    </row>
    <row r="235" spans="1:17" x14ac:dyDescent="0.3">
      <c r="A235" s="811" t="s">
        <v>1724</v>
      </c>
      <c r="B235" s="811" t="s">
        <v>2030</v>
      </c>
      <c r="C235" s="812">
        <v>44000000</v>
      </c>
      <c r="D235" s="811" t="s">
        <v>1501</v>
      </c>
      <c r="E235" s="811" t="s">
        <v>1501</v>
      </c>
      <c r="F235" s="811" t="s">
        <v>1741</v>
      </c>
      <c r="G235" s="811" t="s">
        <v>1727</v>
      </c>
      <c r="H235" s="811" t="s">
        <v>1728</v>
      </c>
      <c r="I235" s="811" t="s">
        <v>1729</v>
      </c>
      <c r="J235" s="813">
        <v>44000000</v>
      </c>
      <c r="K235" s="811" t="s">
        <v>1730</v>
      </c>
      <c r="L235" s="811" t="s">
        <v>1189</v>
      </c>
      <c r="M235" s="811" t="s">
        <v>1710</v>
      </c>
      <c r="N235" s="811" t="s">
        <v>1710</v>
      </c>
      <c r="O235" s="811" t="s">
        <v>1761</v>
      </c>
      <c r="P235" s="811" t="s">
        <v>1732</v>
      </c>
      <c r="Q235" s="811" t="s">
        <v>1733</v>
      </c>
    </row>
    <row r="236" spans="1:17" x14ac:dyDescent="0.3">
      <c r="A236" s="811" t="s">
        <v>1724</v>
      </c>
      <c r="B236" s="811" t="s">
        <v>2031</v>
      </c>
      <c r="C236" s="812">
        <v>50150000</v>
      </c>
      <c r="D236" s="811" t="s">
        <v>1611</v>
      </c>
      <c r="E236" s="811" t="s">
        <v>1611</v>
      </c>
      <c r="F236" s="811" t="s">
        <v>1726</v>
      </c>
      <c r="G236" s="811" t="s">
        <v>1727</v>
      </c>
      <c r="H236" s="811" t="s">
        <v>1728</v>
      </c>
      <c r="I236" s="811" t="s">
        <v>1729</v>
      </c>
      <c r="J236" s="813">
        <v>50150000</v>
      </c>
      <c r="K236" s="811" t="s">
        <v>1730</v>
      </c>
      <c r="L236" s="811" t="s">
        <v>1189</v>
      </c>
      <c r="M236" s="811" t="s">
        <v>1710</v>
      </c>
      <c r="N236" s="811" t="s">
        <v>1710</v>
      </c>
      <c r="O236" s="811" t="s">
        <v>1761</v>
      </c>
      <c r="P236" s="811" t="s">
        <v>1732</v>
      </c>
      <c r="Q236" s="811" t="s">
        <v>1733</v>
      </c>
    </row>
    <row r="237" spans="1:17" x14ac:dyDescent="0.3">
      <c r="A237" s="811" t="s">
        <v>1724</v>
      </c>
      <c r="B237" s="811" t="s">
        <v>2032</v>
      </c>
      <c r="C237" s="812">
        <v>34100000</v>
      </c>
      <c r="D237" s="811" t="s">
        <v>1501</v>
      </c>
      <c r="E237" s="811" t="s">
        <v>1501</v>
      </c>
      <c r="F237" s="811" t="s">
        <v>1741</v>
      </c>
      <c r="G237" s="811" t="s">
        <v>1727</v>
      </c>
      <c r="H237" s="811" t="s">
        <v>1728</v>
      </c>
      <c r="I237" s="811" t="s">
        <v>1729</v>
      </c>
      <c r="J237" s="813">
        <v>34100000</v>
      </c>
      <c r="K237" s="811" t="s">
        <v>1730</v>
      </c>
      <c r="L237" s="811" t="s">
        <v>1189</v>
      </c>
      <c r="M237" s="811" t="s">
        <v>1710</v>
      </c>
      <c r="N237" s="811" t="s">
        <v>1710</v>
      </c>
      <c r="O237" s="811" t="s">
        <v>1761</v>
      </c>
      <c r="P237" s="811" t="s">
        <v>1732</v>
      </c>
      <c r="Q237" s="811" t="s">
        <v>1733</v>
      </c>
    </row>
    <row r="238" spans="1:17" x14ac:dyDescent="0.3">
      <c r="A238" s="811" t="s">
        <v>1724</v>
      </c>
      <c r="B238" s="811" t="s">
        <v>2033</v>
      </c>
      <c r="C238" s="812">
        <v>33000000</v>
      </c>
      <c r="D238" s="811" t="s">
        <v>1501</v>
      </c>
      <c r="E238" s="811" t="s">
        <v>1501</v>
      </c>
      <c r="F238" s="811" t="s">
        <v>1741</v>
      </c>
      <c r="G238" s="811" t="s">
        <v>1727</v>
      </c>
      <c r="H238" s="811" t="s">
        <v>1728</v>
      </c>
      <c r="I238" s="811" t="s">
        <v>1729</v>
      </c>
      <c r="J238" s="813">
        <v>33000000</v>
      </c>
      <c r="K238" s="811" t="s">
        <v>1730</v>
      </c>
      <c r="L238" s="811" t="s">
        <v>1189</v>
      </c>
      <c r="M238" s="811" t="s">
        <v>1710</v>
      </c>
      <c r="N238" s="811" t="s">
        <v>1710</v>
      </c>
      <c r="O238" s="811" t="s">
        <v>1761</v>
      </c>
      <c r="P238" s="811" t="s">
        <v>1732</v>
      </c>
      <c r="Q238" s="811" t="s">
        <v>1733</v>
      </c>
    </row>
    <row r="239" spans="1:17" x14ac:dyDescent="0.3">
      <c r="A239" s="811" t="s">
        <v>1724</v>
      </c>
      <c r="B239" s="811" t="s">
        <v>2034</v>
      </c>
      <c r="C239" s="812">
        <v>34100000</v>
      </c>
      <c r="D239" s="811" t="s">
        <v>1501</v>
      </c>
      <c r="E239" s="811" t="s">
        <v>1501</v>
      </c>
      <c r="F239" s="811" t="s">
        <v>1741</v>
      </c>
      <c r="G239" s="811" t="s">
        <v>1727</v>
      </c>
      <c r="H239" s="811" t="s">
        <v>1728</v>
      </c>
      <c r="I239" s="811" t="s">
        <v>1729</v>
      </c>
      <c r="J239" s="813">
        <v>34100000</v>
      </c>
      <c r="K239" s="811" t="s">
        <v>1730</v>
      </c>
      <c r="L239" s="811" t="s">
        <v>1189</v>
      </c>
      <c r="M239" s="811" t="s">
        <v>1710</v>
      </c>
      <c r="N239" s="811" t="s">
        <v>1710</v>
      </c>
      <c r="O239" s="811" t="s">
        <v>1761</v>
      </c>
      <c r="P239" s="811" t="s">
        <v>1732</v>
      </c>
      <c r="Q239" s="811" t="s">
        <v>1733</v>
      </c>
    </row>
    <row r="240" spans="1:17" x14ac:dyDescent="0.3">
      <c r="A240" s="811" t="s">
        <v>1724</v>
      </c>
      <c r="B240" s="811" t="s">
        <v>2035</v>
      </c>
      <c r="C240" s="812">
        <v>33000000</v>
      </c>
      <c r="D240" s="811" t="s">
        <v>1611</v>
      </c>
      <c r="E240" s="811" t="s">
        <v>1611</v>
      </c>
      <c r="F240" s="811" t="s">
        <v>1726</v>
      </c>
      <c r="G240" s="811" t="s">
        <v>1727</v>
      </c>
      <c r="H240" s="811" t="s">
        <v>1728</v>
      </c>
      <c r="I240" s="811" t="s">
        <v>1729</v>
      </c>
      <c r="J240" s="813">
        <v>33000000</v>
      </c>
      <c r="K240" s="811" t="s">
        <v>1730</v>
      </c>
      <c r="L240" s="811" t="s">
        <v>1189</v>
      </c>
      <c r="M240" s="811" t="s">
        <v>1710</v>
      </c>
      <c r="N240" s="811" t="s">
        <v>1710</v>
      </c>
      <c r="O240" s="811" t="s">
        <v>1761</v>
      </c>
      <c r="P240" s="811" t="s">
        <v>1732</v>
      </c>
      <c r="Q240" s="811" t="s">
        <v>1733</v>
      </c>
    </row>
    <row r="241" spans="1:17" x14ac:dyDescent="0.3">
      <c r="A241" s="811" t="s">
        <v>1724</v>
      </c>
      <c r="B241" s="811" t="s">
        <v>2036</v>
      </c>
      <c r="C241" s="812">
        <v>42400000</v>
      </c>
      <c r="D241" s="811" t="s">
        <v>1611</v>
      </c>
      <c r="E241" s="811" t="s">
        <v>1611</v>
      </c>
      <c r="F241" s="811" t="s">
        <v>1726</v>
      </c>
      <c r="G241" s="811" t="s">
        <v>1727</v>
      </c>
      <c r="H241" s="811" t="s">
        <v>1728</v>
      </c>
      <c r="I241" s="811" t="s">
        <v>1729</v>
      </c>
      <c r="J241" s="813">
        <v>42400000</v>
      </c>
      <c r="K241" s="811" t="s">
        <v>1730</v>
      </c>
      <c r="L241" s="811" t="s">
        <v>1189</v>
      </c>
      <c r="M241" s="811" t="s">
        <v>1710</v>
      </c>
      <c r="N241" s="811" t="s">
        <v>1710</v>
      </c>
      <c r="O241" s="811" t="s">
        <v>1761</v>
      </c>
      <c r="P241" s="811" t="s">
        <v>1732</v>
      </c>
      <c r="Q241" s="811" t="s">
        <v>1733</v>
      </c>
    </row>
    <row r="242" spans="1:17" x14ac:dyDescent="0.3">
      <c r="A242" s="811" t="s">
        <v>1724</v>
      </c>
      <c r="B242" s="811" t="s">
        <v>2037</v>
      </c>
      <c r="C242" s="812">
        <v>33000000</v>
      </c>
      <c r="D242" s="811" t="s">
        <v>1611</v>
      </c>
      <c r="E242" s="811" t="s">
        <v>1611</v>
      </c>
      <c r="F242" s="811" t="s">
        <v>1764</v>
      </c>
      <c r="G242" s="811" t="s">
        <v>1727</v>
      </c>
      <c r="H242" s="811" t="s">
        <v>1728</v>
      </c>
      <c r="I242" s="811" t="s">
        <v>1729</v>
      </c>
      <c r="J242" s="813">
        <v>33000000</v>
      </c>
      <c r="K242" s="811" t="s">
        <v>1730</v>
      </c>
      <c r="L242" s="811" t="s">
        <v>1189</v>
      </c>
      <c r="M242" s="811" t="s">
        <v>1710</v>
      </c>
      <c r="N242" s="811" t="s">
        <v>1710</v>
      </c>
      <c r="O242" s="811" t="s">
        <v>1761</v>
      </c>
      <c r="P242" s="811" t="s">
        <v>1732</v>
      </c>
      <c r="Q242" s="811" t="s">
        <v>1733</v>
      </c>
    </row>
    <row r="243" spans="1:17" x14ac:dyDescent="0.3">
      <c r="A243" s="811" t="s">
        <v>2038</v>
      </c>
      <c r="B243" s="811" t="s">
        <v>2039</v>
      </c>
      <c r="C243" s="812">
        <v>200000000</v>
      </c>
      <c r="D243" s="811" t="s">
        <v>1509</v>
      </c>
      <c r="E243" s="811" t="s">
        <v>1509</v>
      </c>
      <c r="F243" s="811" t="s">
        <v>1737</v>
      </c>
      <c r="G243" s="811" t="s">
        <v>1727</v>
      </c>
      <c r="H243" s="811" t="s">
        <v>1865</v>
      </c>
      <c r="I243" s="811" t="s">
        <v>1729</v>
      </c>
      <c r="J243" s="813">
        <v>200000000</v>
      </c>
      <c r="K243" s="811" t="s">
        <v>1730</v>
      </c>
      <c r="L243" s="811" t="s">
        <v>1189</v>
      </c>
      <c r="M243" s="811" t="s">
        <v>1710</v>
      </c>
      <c r="N243" s="811" t="s">
        <v>1710</v>
      </c>
      <c r="O243" s="811" t="s">
        <v>1920</v>
      </c>
      <c r="P243" s="811" t="s">
        <v>1732</v>
      </c>
      <c r="Q243" s="811" t="s">
        <v>1785</v>
      </c>
    </row>
    <row r="244" spans="1:17" x14ac:dyDescent="0.3">
      <c r="A244" s="811" t="s">
        <v>2040</v>
      </c>
      <c r="B244" s="811" t="s">
        <v>2041</v>
      </c>
      <c r="C244" s="812">
        <v>20000000</v>
      </c>
      <c r="D244" s="811" t="s">
        <v>1509</v>
      </c>
      <c r="E244" s="811" t="s">
        <v>1509</v>
      </c>
      <c r="F244" s="811" t="s">
        <v>1737</v>
      </c>
      <c r="G244" s="811" t="s">
        <v>1727</v>
      </c>
      <c r="H244" s="811" t="s">
        <v>1650</v>
      </c>
      <c r="I244" s="811" t="s">
        <v>1729</v>
      </c>
      <c r="J244" s="813">
        <v>20000000</v>
      </c>
      <c r="K244" s="811" t="s">
        <v>1730</v>
      </c>
      <c r="L244" s="811" t="s">
        <v>1189</v>
      </c>
      <c r="M244" s="811" t="s">
        <v>1710</v>
      </c>
      <c r="N244" s="811" t="s">
        <v>1710</v>
      </c>
      <c r="O244" s="811" t="s">
        <v>1920</v>
      </c>
      <c r="P244" s="811" t="s">
        <v>1732</v>
      </c>
      <c r="Q244" s="811" t="s">
        <v>1785</v>
      </c>
    </row>
    <row r="245" spans="1:17" x14ac:dyDescent="0.3">
      <c r="A245" s="811" t="s">
        <v>2042</v>
      </c>
      <c r="B245" s="811" t="s">
        <v>2043</v>
      </c>
      <c r="C245" s="812">
        <v>450000000</v>
      </c>
      <c r="D245" s="811" t="s">
        <v>1509</v>
      </c>
      <c r="E245" s="811" t="s">
        <v>1510</v>
      </c>
      <c r="F245" s="811" t="s">
        <v>1793</v>
      </c>
      <c r="G245" s="811" t="s">
        <v>1727</v>
      </c>
      <c r="H245" s="811" t="s">
        <v>1859</v>
      </c>
      <c r="I245" s="811" t="s">
        <v>1729</v>
      </c>
      <c r="J245" s="813">
        <v>450000000</v>
      </c>
      <c r="K245" s="811" t="s">
        <v>1730</v>
      </c>
      <c r="L245" s="811" t="s">
        <v>1189</v>
      </c>
      <c r="M245" s="811" t="s">
        <v>1710</v>
      </c>
      <c r="N245" s="811" t="s">
        <v>1710</v>
      </c>
      <c r="O245" s="811" t="s">
        <v>1920</v>
      </c>
      <c r="P245" s="811" t="s">
        <v>1732</v>
      </c>
      <c r="Q245" s="811" t="s">
        <v>1785</v>
      </c>
    </row>
    <row r="246" spans="1:17" x14ac:dyDescent="0.3">
      <c r="A246" s="811" t="s">
        <v>2042</v>
      </c>
      <c r="B246" s="811" t="s">
        <v>2043</v>
      </c>
      <c r="C246" s="812">
        <v>250710000</v>
      </c>
      <c r="D246" s="811" t="s">
        <v>1509</v>
      </c>
      <c r="E246" s="811" t="s">
        <v>1510</v>
      </c>
      <c r="F246" s="811" t="s">
        <v>1793</v>
      </c>
      <c r="G246" s="811" t="s">
        <v>1727</v>
      </c>
      <c r="H246" s="811" t="s">
        <v>1859</v>
      </c>
      <c r="I246" s="811" t="s">
        <v>1729</v>
      </c>
      <c r="J246" s="813">
        <v>250710000</v>
      </c>
      <c r="K246" s="811" t="s">
        <v>1730</v>
      </c>
      <c r="L246" s="811" t="s">
        <v>1189</v>
      </c>
      <c r="M246" s="811" t="s">
        <v>1710</v>
      </c>
      <c r="N246" s="811" t="s">
        <v>1710</v>
      </c>
      <c r="O246" s="811" t="s">
        <v>1920</v>
      </c>
      <c r="P246" s="811" t="s">
        <v>1732</v>
      </c>
      <c r="Q246" s="811" t="s">
        <v>1785</v>
      </c>
    </row>
    <row r="247" spans="1:17" x14ac:dyDescent="0.3">
      <c r="A247" s="811" t="s">
        <v>2044</v>
      </c>
      <c r="B247" s="811" t="s">
        <v>2045</v>
      </c>
      <c r="C247" s="812">
        <v>30000000</v>
      </c>
      <c r="D247" s="811" t="s">
        <v>1525</v>
      </c>
      <c r="E247" s="811" t="s">
        <v>1525</v>
      </c>
      <c r="F247" s="811" t="s">
        <v>1814</v>
      </c>
      <c r="G247" s="811" t="s">
        <v>1727</v>
      </c>
      <c r="H247" s="811" t="s">
        <v>1650</v>
      </c>
      <c r="I247" s="811" t="s">
        <v>1729</v>
      </c>
      <c r="J247" s="813">
        <v>30000000</v>
      </c>
      <c r="K247" s="811" t="s">
        <v>1730</v>
      </c>
      <c r="L247" s="811" t="s">
        <v>1189</v>
      </c>
      <c r="M247" s="811" t="s">
        <v>1710</v>
      </c>
      <c r="N247" s="811" t="s">
        <v>1710</v>
      </c>
      <c r="O247" s="811" t="s">
        <v>1920</v>
      </c>
      <c r="P247" s="811" t="s">
        <v>1732</v>
      </c>
      <c r="Q247" s="811" t="s">
        <v>1785</v>
      </c>
    </row>
    <row r="248" spans="1:17" x14ac:dyDescent="0.3">
      <c r="A248" s="811" t="s">
        <v>2046</v>
      </c>
      <c r="B248" s="811" t="s">
        <v>2047</v>
      </c>
      <c r="C248" s="812">
        <v>1300000000</v>
      </c>
      <c r="D248" s="811" t="s">
        <v>1611</v>
      </c>
      <c r="E248" s="811" t="s">
        <v>1502</v>
      </c>
      <c r="F248" s="811" t="s">
        <v>1764</v>
      </c>
      <c r="G248" s="811" t="s">
        <v>1727</v>
      </c>
      <c r="H248" s="811" t="s">
        <v>1859</v>
      </c>
      <c r="I248" s="811" t="s">
        <v>1729</v>
      </c>
      <c r="J248" s="813">
        <v>1300000000</v>
      </c>
      <c r="K248" s="811" t="s">
        <v>1730</v>
      </c>
      <c r="L248" s="811" t="s">
        <v>1189</v>
      </c>
      <c r="M248" s="811" t="s">
        <v>1710</v>
      </c>
      <c r="N248" s="811" t="s">
        <v>1710</v>
      </c>
      <c r="O248" s="811" t="s">
        <v>1920</v>
      </c>
      <c r="P248" s="811" t="s">
        <v>1732</v>
      </c>
      <c r="Q248" s="811" t="s">
        <v>1785</v>
      </c>
    </row>
    <row r="249" spans="1:17" x14ac:dyDescent="0.3">
      <c r="A249" s="811" t="s">
        <v>2048</v>
      </c>
      <c r="B249" s="811" t="s">
        <v>2049</v>
      </c>
      <c r="C249" s="812">
        <v>57000000</v>
      </c>
      <c r="D249" s="811" t="s">
        <v>1495</v>
      </c>
      <c r="E249" s="811" t="s">
        <v>1495</v>
      </c>
      <c r="F249" s="811" t="s">
        <v>1791</v>
      </c>
      <c r="G249" s="811" t="s">
        <v>1727</v>
      </c>
      <c r="H249" s="811" t="s">
        <v>1803</v>
      </c>
      <c r="I249" s="811" t="s">
        <v>1729</v>
      </c>
      <c r="J249" s="813">
        <v>57000000</v>
      </c>
      <c r="K249" s="811" t="s">
        <v>1730</v>
      </c>
      <c r="L249" s="811" t="s">
        <v>1189</v>
      </c>
      <c r="M249" s="811" t="s">
        <v>1710</v>
      </c>
      <c r="N249" s="811" t="s">
        <v>1710</v>
      </c>
      <c r="O249" s="811" t="s">
        <v>1761</v>
      </c>
      <c r="P249" s="811" t="s">
        <v>1732</v>
      </c>
      <c r="Q249" s="811" t="s">
        <v>1733</v>
      </c>
    </row>
    <row r="250" spans="1:17" x14ac:dyDescent="0.3">
      <c r="A250" s="811" t="s">
        <v>1724</v>
      </c>
      <c r="B250" s="811" t="s">
        <v>2050</v>
      </c>
      <c r="C250" s="812">
        <v>34000000</v>
      </c>
      <c r="D250" s="811" t="s">
        <v>1505</v>
      </c>
      <c r="E250" s="811" t="s">
        <v>1505</v>
      </c>
      <c r="F250" s="811" t="s">
        <v>1747</v>
      </c>
      <c r="G250" s="811" t="s">
        <v>1727</v>
      </c>
      <c r="H250" s="811" t="s">
        <v>1728</v>
      </c>
      <c r="I250" s="811" t="s">
        <v>1729</v>
      </c>
      <c r="J250" s="813">
        <v>34000000</v>
      </c>
      <c r="K250" s="811" t="s">
        <v>1730</v>
      </c>
      <c r="L250" s="811" t="s">
        <v>1189</v>
      </c>
      <c r="M250" s="811" t="s">
        <v>1710</v>
      </c>
      <c r="N250" s="811" t="s">
        <v>1710</v>
      </c>
      <c r="O250" s="811" t="s">
        <v>1761</v>
      </c>
      <c r="P250" s="811" t="s">
        <v>1732</v>
      </c>
      <c r="Q250" s="811" t="s">
        <v>1733</v>
      </c>
    </row>
    <row r="251" spans="1:17" x14ac:dyDescent="0.3">
      <c r="A251" s="811" t="s">
        <v>1724</v>
      </c>
      <c r="B251" s="811" t="s">
        <v>2051</v>
      </c>
      <c r="C251" s="812">
        <v>44000000</v>
      </c>
      <c r="D251" s="811" t="s">
        <v>1505</v>
      </c>
      <c r="E251" s="811" t="s">
        <v>1505</v>
      </c>
      <c r="F251" s="811" t="s">
        <v>1726</v>
      </c>
      <c r="G251" s="811" t="s">
        <v>1727</v>
      </c>
      <c r="H251" s="811" t="s">
        <v>1728</v>
      </c>
      <c r="I251" s="811" t="s">
        <v>1729</v>
      </c>
      <c r="J251" s="813">
        <v>44000000</v>
      </c>
      <c r="K251" s="811" t="s">
        <v>1730</v>
      </c>
      <c r="L251" s="811" t="s">
        <v>1189</v>
      </c>
      <c r="M251" s="811" t="s">
        <v>1710</v>
      </c>
      <c r="N251" s="811" t="s">
        <v>1710</v>
      </c>
      <c r="O251" s="811" t="s">
        <v>1761</v>
      </c>
      <c r="P251" s="811" t="s">
        <v>1732</v>
      </c>
      <c r="Q251" s="811" t="s">
        <v>1733</v>
      </c>
    </row>
    <row r="252" spans="1:17" x14ac:dyDescent="0.3">
      <c r="A252" s="811" t="s">
        <v>1724</v>
      </c>
      <c r="B252" s="811" t="s">
        <v>1911</v>
      </c>
      <c r="C252" s="812">
        <v>48348000</v>
      </c>
      <c r="D252" s="811" t="s">
        <v>1505</v>
      </c>
      <c r="E252" s="811" t="s">
        <v>1505</v>
      </c>
      <c r="F252" s="811" t="s">
        <v>1747</v>
      </c>
      <c r="G252" s="811" t="s">
        <v>1727</v>
      </c>
      <c r="H252" s="811" t="s">
        <v>1728</v>
      </c>
      <c r="I252" s="811" t="s">
        <v>1729</v>
      </c>
      <c r="J252" s="813">
        <v>48348000</v>
      </c>
      <c r="K252" s="811" t="s">
        <v>1730</v>
      </c>
      <c r="L252" s="811" t="s">
        <v>1189</v>
      </c>
      <c r="M252" s="811" t="s">
        <v>1710</v>
      </c>
      <c r="N252" s="811" t="s">
        <v>1710</v>
      </c>
      <c r="O252" s="811" t="s">
        <v>1761</v>
      </c>
      <c r="P252" s="811" t="s">
        <v>1732</v>
      </c>
      <c r="Q252" s="811" t="s">
        <v>1733</v>
      </c>
    </row>
    <row r="253" spans="1:17" x14ac:dyDescent="0.3">
      <c r="A253" s="811" t="s">
        <v>1724</v>
      </c>
      <c r="B253" s="811" t="s">
        <v>2052</v>
      </c>
      <c r="C253" s="812">
        <v>112560000</v>
      </c>
      <c r="D253" s="811" t="s">
        <v>1505</v>
      </c>
      <c r="E253" s="811" t="s">
        <v>1505</v>
      </c>
      <c r="F253" s="811" t="s">
        <v>1747</v>
      </c>
      <c r="G253" s="811" t="s">
        <v>1727</v>
      </c>
      <c r="H253" s="811" t="s">
        <v>1728</v>
      </c>
      <c r="I253" s="811" t="s">
        <v>1729</v>
      </c>
      <c r="J253" s="813">
        <v>112560000</v>
      </c>
      <c r="K253" s="811" t="s">
        <v>1730</v>
      </c>
      <c r="L253" s="811" t="s">
        <v>1189</v>
      </c>
      <c r="M253" s="811" t="s">
        <v>1710</v>
      </c>
      <c r="N253" s="811" t="s">
        <v>1710</v>
      </c>
      <c r="O253" s="811" t="s">
        <v>1761</v>
      </c>
      <c r="P253" s="811" t="s">
        <v>1732</v>
      </c>
      <c r="Q253" s="811" t="s">
        <v>1733</v>
      </c>
    </row>
    <row r="254" spans="1:17" x14ac:dyDescent="0.3">
      <c r="A254" s="811" t="s">
        <v>1724</v>
      </c>
      <c r="B254" s="811" t="s">
        <v>2053</v>
      </c>
      <c r="C254" s="812">
        <v>44319000</v>
      </c>
      <c r="D254" s="811" t="s">
        <v>1495</v>
      </c>
      <c r="E254" s="811" t="s">
        <v>1495</v>
      </c>
      <c r="F254" s="811" t="s">
        <v>1764</v>
      </c>
      <c r="G254" s="811" t="s">
        <v>1727</v>
      </c>
      <c r="H254" s="811" t="s">
        <v>1728</v>
      </c>
      <c r="I254" s="811" t="s">
        <v>1729</v>
      </c>
      <c r="J254" s="813">
        <v>44319000</v>
      </c>
      <c r="K254" s="811" t="s">
        <v>1730</v>
      </c>
      <c r="L254" s="811" t="s">
        <v>1189</v>
      </c>
      <c r="M254" s="811" t="s">
        <v>1710</v>
      </c>
      <c r="N254" s="811" t="s">
        <v>1710</v>
      </c>
      <c r="O254" s="811" t="s">
        <v>1761</v>
      </c>
      <c r="P254" s="811" t="s">
        <v>1732</v>
      </c>
      <c r="Q254" s="811" t="s">
        <v>1733</v>
      </c>
    </row>
    <row r="255" spans="1:17" x14ac:dyDescent="0.3">
      <c r="A255" s="811" t="s">
        <v>1724</v>
      </c>
      <c r="B255" s="811" t="s">
        <v>2053</v>
      </c>
      <c r="C255" s="812">
        <v>64900000</v>
      </c>
      <c r="D255" s="811" t="s">
        <v>1505</v>
      </c>
      <c r="E255" s="811" t="s">
        <v>1505</v>
      </c>
      <c r="F255" s="811" t="s">
        <v>1764</v>
      </c>
      <c r="G255" s="811" t="s">
        <v>1727</v>
      </c>
      <c r="H255" s="811" t="s">
        <v>1728</v>
      </c>
      <c r="I255" s="811" t="s">
        <v>1729</v>
      </c>
      <c r="J255" s="813">
        <v>64900000</v>
      </c>
      <c r="K255" s="811" t="s">
        <v>1730</v>
      </c>
      <c r="L255" s="811" t="s">
        <v>1189</v>
      </c>
      <c r="M255" s="811" t="s">
        <v>1710</v>
      </c>
      <c r="N255" s="811" t="s">
        <v>1710</v>
      </c>
      <c r="O255" s="811" t="s">
        <v>1761</v>
      </c>
      <c r="P255" s="811" t="s">
        <v>1732</v>
      </c>
      <c r="Q255" s="811" t="s">
        <v>1733</v>
      </c>
    </row>
    <row r="256" spans="1:17" x14ac:dyDescent="0.3">
      <c r="A256" s="811" t="s">
        <v>1724</v>
      </c>
      <c r="B256" s="811" t="s">
        <v>2054</v>
      </c>
      <c r="C256" s="812">
        <v>26572000</v>
      </c>
      <c r="D256" s="811" t="s">
        <v>1509</v>
      </c>
      <c r="E256" s="811" t="s">
        <v>1509</v>
      </c>
      <c r="F256" s="811" t="s">
        <v>1773</v>
      </c>
      <c r="G256" s="811" t="s">
        <v>1727</v>
      </c>
      <c r="H256" s="811" t="s">
        <v>1728</v>
      </c>
      <c r="I256" s="811" t="s">
        <v>1729</v>
      </c>
      <c r="J256" s="813">
        <v>26572000</v>
      </c>
      <c r="K256" s="811" t="s">
        <v>1730</v>
      </c>
      <c r="L256" s="811" t="s">
        <v>1189</v>
      </c>
      <c r="M256" s="811" t="s">
        <v>1710</v>
      </c>
      <c r="N256" s="811" t="s">
        <v>1710</v>
      </c>
      <c r="O256" s="811" t="s">
        <v>1742</v>
      </c>
      <c r="P256" s="811" t="s">
        <v>1732</v>
      </c>
      <c r="Q256" s="811" t="s">
        <v>2055</v>
      </c>
    </row>
    <row r="257" spans="1:17" x14ac:dyDescent="0.3">
      <c r="A257" s="811" t="s">
        <v>1724</v>
      </c>
      <c r="B257" s="811" t="s">
        <v>2056</v>
      </c>
      <c r="C257" s="812">
        <v>24528000</v>
      </c>
      <c r="D257" s="811" t="s">
        <v>1509</v>
      </c>
      <c r="E257" s="811" t="s">
        <v>1509</v>
      </c>
      <c r="F257" s="811" t="s">
        <v>1773</v>
      </c>
      <c r="G257" s="811" t="s">
        <v>1727</v>
      </c>
      <c r="H257" s="811" t="s">
        <v>1728</v>
      </c>
      <c r="I257" s="811" t="s">
        <v>1729</v>
      </c>
      <c r="J257" s="813">
        <v>24528000</v>
      </c>
      <c r="K257" s="811" t="s">
        <v>1730</v>
      </c>
      <c r="L257" s="811" t="s">
        <v>1189</v>
      </c>
      <c r="M257" s="811" t="s">
        <v>1710</v>
      </c>
      <c r="N257" s="811" t="s">
        <v>1710</v>
      </c>
      <c r="O257" s="811" t="s">
        <v>1742</v>
      </c>
      <c r="P257" s="811" t="s">
        <v>1732</v>
      </c>
      <c r="Q257" s="811" t="s">
        <v>1743</v>
      </c>
    </row>
    <row r="258" spans="1:17" x14ac:dyDescent="0.3">
      <c r="A258" s="811" t="s">
        <v>1724</v>
      </c>
      <c r="B258" s="811" t="s">
        <v>2057</v>
      </c>
      <c r="C258" s="812">
        <v>46410000</v>
      </c>
      <c r="D258" s="811" t="s">
        <v>1509</v>
      </c>
      <c r="E258" s="811" t="s">
        <v>1509</v>
      </c>
      <c r="F258" s="811" t="s">
        <v>1773</v>
      </c>
      <c r="G258" s="811" t="s">
        <v>1727</v>
      </c>
      <c r="H258" s="811" t="s">
        <v>1728</v>
      </c>
      <c r="I258" s="811" t="s">
        <v>1729</v>
      </c>
      <c r="J258" s="813">
        <v>46410000</v>
      </c>
      <c r="K258" s="811" t="s">
        <v>1730</v>
      </c>
      <c r="L258" s="811" t="s">
        <v>1189</v>
      </c>
      <c r="M258" s="811" t="s">
        <v>1710</v>
      </c>
      <c r="N258" s="811" t="s">
        <v>1710</v>
      </c>
      <c r="O258" s="811" t="s">
        <v>1742</v>
      </c>
      <c r="P258" s="811" t="s">
        <v>1732</v>
      </c>
      <c r="Q258" s="811" t="s">
        <v>1743</v>
      </c>
    </row>
    <row r="259" spans="1:17" x14ac:dyDescent="0.3">
      <c r="A259" s="811" t="s">
        <v>1724</v>
      </c>
      <c r="B259" s="811" t="s">
        <v>2058</v>
      </c>
      <c r="C259" s="812">
        <v>12000000</v>
      </c>
      <c r="D259" s="811" t="s">
        <v>1510</v>
      </c>
      <c r="E259" s="811" t="s">
        <v>1510</v>
      </c>
      <c r="F259" s="811" t="s">
        <v>1737</v>
      </c>
      <c r="G259" s="811" t="s">
        <v>1727</v>
      </c>
      <c r="H259" s="811" t="s">
        <v>1728</v>
      </c>
      <c r="I259" s="811" t="s">
        <v>1729</v>
      </c>
      <c r="J259" s="813">
        <v>12000000</v>
      </c>
      <c r="K259" s="811" t="s">
        <v>1730</v>
      </c>
      <c r="L259" s="811" t="s">
        <v>1189</v>
      </c>
      <c r="M259" s="811" t="s">
        <v>1710</v>
      </c>
      <c r="N259" s="811" t="s">
        <v>1710</v>
      </c>
      <c r="O259" s="811" t="s">
        <v>1784</v>
      </c>
      <c r="P259" s="811" t="s">
        <v>1732</v>
      </c>
      <c r="Q259" s="811" t="s">
        <v>1785</v>
      </c>
    </row>
    <row r="260" spans="1:17" x14ac:dyDescent="0.3">
      <c r="A260" s="811" t="s">
        <v>1724</v>
      </c>
      <c r="B260" s="811" t="s">
        <v>2059</v>
      </c>
      <c r="C260" s="812">
        <v>12000000</v>
      </c>
      <c r="D260" s="811" t="s">
        <v>1510</v>
      </c>
      <c r="E260" s="811" t="s">
        <v>1510</v>
      </c>
      <c r="F260" s="811" t="s">
        <v>1737</v>
      </c>
      <c r="G260" s="811" t="s">
        <v>1727</v>
      </c>
      <c r="H260" s="811" t="s">
        <v>1728</v>
      </c>
      <c r="I260" s="811" t="s">
        <v>1729</v>
      </c>
      <c r="J260" s="813">
        <v>12000000</v>
      </c>
      <c r="K260" s="811" t="s">
        <v>1730</v>
      </c>
      <c r="L260" s="811" t="s">
        <v>1189</v>
      </c>
      <c r="M260" s="811" t="s">
        <v>1710</v>
      </c>
      <c r="N260" s="811" t="s">
        <v>1710</v>
      </c>
      <c r="O260" s="811" t="s">
        <v>1784</v>
      </c>
      <c r="P260" s="811" t="s">
        <v>1732</v>
      </c>
      <c r="Q260" s="811" t="s">
        <v>1785</v>
      </c>
    </row>
    <row r="261" spans="1:17" x14ac:dyDescent="0.3">
      <c r="A261" s="811" t="s">
        <v>1724</v>
      </c>
      <c r="B261" s="811" t="s">
        <v>2060</v>
      </c>
      <c r="C261" s="812">
        <v>24000000</v>
      </c>
      <c r="D261" s="811" t="s">
        <v>1501</v>
      </c>
      <c r="E261" s="811" t="s">
        <v>1501</v>
      </c>
      <c r="F261" s="811" t="s">
        <v>1737</v>
      </c>
      <c r="G261" s="811" t="s">
        <v>1727</v>
      </c>
      <c r="H261" s="811" t="s">
        <v>1728</v>
      </c>
      <c r="I261" s="811" t="s">
        <v>1729</v>
      </c>
      <c r="J261" s="813">
        <v>24000000</v>
      </c>
      <c r="K261" s="811" t="s">
        <v>1730</v>
      </c>
      <c r="L261" s="811" t="s">
        <v>1189</v>
      </c>
      <c r="M261" s="811" t="s">
        <v>1710</v>
      </c>
      <c r="N261" s="811" t="s">
        <v>1710</v>
      </c>
      <c r="O261" s="811" t="s">
        <v>1804</v>
      </c>
      <c r="P261" s="811" t="s">
        <v>1732</v>
      </c>
      <c r="Q261" s="811" t="s">
        <v>1739</v>
      </c>
    </row>
    <row r="262" spans="1:17" x14ac:dyDescent="0.3">
      <c r="A262" s="811" t="s">
        <v>2061</v>
      </c>
      <c r="B262" s="811" t="s">
        <v>2062</v>
      </c>
      <c r="C262" s="812">
        <v>2300000000</v>
      </c>
      <c r="D262" s="811" t="s">
        <v>1525</v>
      </c>
      <c r="E262" s="811" t="s">
        <v>1525</v>
      </c>
      <c r="F262" s="811" t="s">
        <v>1737</v>
      </c>
      <c r="G262" s="811" t="s">
        <v>1727</v>
      </c>
      <c r="H262" s="811" t="s">
        <v>1728</v>
      </c>
      <c r="I262" s="811" t="s">
        <v>1729</v>
      </c>
      <c r="J262" s="813">
        <v>2300000000</v>
      </c>
      <c r="K262" s="811" t="s">
        <v>1730</v>
      </c>
      <c r="L262" s="811" t="s">
        <v>1189</v>
      </c>
      <c r="M262" s="811" t="s">
        <v>1710</v>
      </c>
      <c r="N262" s="811" t="s">
        <v>1710</v>
      </c>
      <c r="O262" s="811" t="s">
        <v>1804</v>
      </c>
      <c r="P262" s="811" t="s">
        <v>1732</v>
      </c>
      <c r="Q262" s="811" t="s">
        <v>1739</v>
      </c>
    </row>
    <row r="263" spans="1:17" x14ac:dyDescent="0.3">
      <c r="A263" s="811" t="s">
        <v>1810</v>
      </c>
      <c r="B263" s="811" t="s">
        <v>2063</v>
      </c>
      <c r="C263" s="812">
        <v>6300000000</v>
      </c>
      <c r="D263" s="811" t="s">
        <v>1525</v>
      </c>
      <c r="E263" s="811" t="s">
        <v>1525</v>
      </c>
      <c r="F263" s="811" t="s">
        <v>1737</v>
      </c>
      <c r="G263" s="811" t="s">
        <v>1727</v>
      </c>
      <c r="H263" s="811" t="s">
        <v>1728</v>
      </c>
      <c r="I263" s="811" t="s">
        <v>1729</v>
      </c>
      <c r="J263" s="813">
        <v>6300000000</v>
      </c>
      <c r="K263" s="811" t="s">
        <v>1730</v>
      </c>
      <c r="L263" s="811" t="s">
        <v>1189</v>
      </c>
      <c r="M263" s="811" t="s">
        <v>1710</v>
      </c>
      <c r="N263" s="811" t="s">
        <v>1710</v>
      </c>
      <c r="O263" s="811" t="s">
        <v>1804</v>
      </c>
      <c r="P263" s="811" t="s">
        <v>1732</v>
      </c>
      <c r="Q263" s="811" t="s">
        <v>1739</v>
      </c>
    </row>
    <row r="264" spans="1:17" x14ac:dyDescent="0.3">
      <c r="A264" s="811" t="s">
        <v>1724</v>
      </c>
      <c r="B264" s="811" t="s">
        <v>2064</v>
      </c>
      <c r="C264" s="812">
        <v>34850000</v>
      </c>
      <c r="D264" s="811" t="s">
        <v>1611</v>
      </c>
      <c r="E264" s="811" t="s">
        <v>1611</v>
      </c>
      <c r="F264" s="811" t="s">
        <v>1741</v>
      </c>
      <c r="G264" s="811" t="s">
        <v>1727</v>
      </c>
      <c r="H264" s="811" t="s">
        <v>1728</v>
      </c>
      <c r="I264" s="811" t="s">
        <v>1729</v>
      </c>
      <c r="J264" s="813">
        <v>34850000</v>
      </c>
      <c r="K264" s="811" t="s">
        <v>1730</v>
      </c>
      <c r="L264" s="811" t="s">
        <v>1189</v>
      </c>
      <c r="M264" s="811" t="s">
        <v>1710</v>
      </c>
      <c r="N264" s="811" t="s">
        <v>1710</v>
      </c>
      <c r="O264" s="811" t="s">
        <v>1742</v>
      </c>
      <c r="P264" s="811" t="s">
        <v>1732</v>
      </c>
      <c r="Q264" s="811" t="s">
        <v>1743</v>
      </c>
    </row>
    <row r="265" spans="1:17" x14ac:dyDescent="0.3">
      <c r="A265" s="811" t="s">
        <v>1724</v>
      </c>
      <c r="B265" s="811" t="s">
        <v>2065</v>
      </c>
      <c r="C265" s="812">
        <v>24530202</v>
      </c>
      <c r="D265" s="811" t="s">
        <v>1611</v>
      </c>
      <c r="E265" s="811" t="s">
        <v>1611</v>
      </c>
      <c r="F265" s="811" t="s">
        <v>1741</v>
      </c>
      <c r="G265" s="811" t="s">
        <v>1727</v>
      </c>
      <c r="H265" s="811" t="s">
        <v>1728</v>
      </c>
      <c r="I265" s="811" t="s">
        <v>1729</v>
      </c>
      <c r="J265" s="813">
        <v>24530202</v>
      </c>
      <c r="K265" s="811" t="s">
        <v>1730</v>
      </c>
      <c r="L265" s="811" t="s">
        <v>1189</v>
      </c>
      <c r="M265" s="811" t="s">
        <v>1710</v>
      </c>
      <c r="N265" s="811" t="s">
        <v>1710</v>
      </c>
      <c r="O265" s="811" t="s">
        <v>1920</v>
      </c>
      <c r="P265" s="811" t="s">
        <v>1732</v>
      </c>
      <c r="Q265" s="811" t="s">
        <v>1785</v>
      </c>
    </row>
    <row r="266" spans="1:17" x14ac:dyDescent="0.3">
      <c r="A266" s="811" t="s">
        <v>1724</v>
      </c>
      <c r="B266" s="811" t="s">
        <v>2066</v>
      </c>
      <c r="C266" s="812">
        <v>24530202</v>
      </c>
      <c r="D266" s="811" t="s">
        <v>1611</v>
      </c>
      <c r="E266" s="811" t="s">
        <v>1611</v>
      </c>
      <c r="F266" s="811" t="s">
        <v>1741</v>
      </c>
      <c r="G266" s="811" t="s">
        <v>1727</v>
      </c>
      <c r="H266" s="811" t="s">
        <v>1728</v>
      </c>
      <c r="I266" s="811" t="s">
        <v>1729</v>
      </c>
      <c r="J266" s="813">
        <v>24530202</v>
      </c>
      <c r="K266" s="811" t="s">
        <v>1730</v>
      </c>
      <c r="L266" s="811" t="s">
        <v>1189</v>
      </c>
      <c r="M266" s="811" t="s">
        <v>1710</v>
      </c>
      <c r="N266" s="811" t="s">
        <v>1710</v>
      </c>
      <c r="O266" s="811" t="s">
        <v>1920</v>
      </c>
      <c r="P266" s="811" t="s">
        <v>1732</v>
      </c>
      <c r="Q266" s="811" t="s">
        <v>1785</v>
      </c>
    </row>
    <row r="267" spans="1:17" x14ac:dyDescent="0.3">
      <c r="A267" s="811" t="s">
        <v>1724</v>
      </c>
      <c r="B267" s="811" t="s">
        <v>2067</v>
      </c>
      <c r="C267" s="812">
        <v>73590606</v>
      </c>
      <c r="D267" s="811" t="s">
        <v>1611</v>
      </c>
      <c r="E267" s="811" t="s">
        <v>1611</v>
      </c>
      <c r="F267" s="811" t="s">
        <v>1741</v>
      </c>
      <c r="G267" s="811" t="s">
        <v>1727</v>
      </c>
      <c r="H267" s="811" t="s">
        <v>1728</v>
      </c>
      <c r="I267" s="811" t="s">
        <v>1729</v>
      </c>
      <c r="J267" s="813">
        <v>73590606</v>
      </c>
      <c r="K267" s="811" t="s">
        <v>1730</v>
      </c>
      <c r="L267" s="811" t="s">
        <v>1189</v>
      </c>
      <c r="M267" s="811" t="s">
        <v>1710</v>
      </c>
      <c r="N267" s="811" t="s">
        <v>1710</v>
      </c>
      <c r="O267" s="811" t="s">
        <v>1920</v>
      </c>
      <c r="P267" s="811" t="s">
        <v>1732</v>
      </c>
      <c r="Q267" s="811" t="s">
        <v>1785</v>
      </c>
    </row>
    <row r="268" spans="1:17" x14ac:dyDescent="0.3">
      <c r="A268" s="811" t="s">
        <v>1724</v>
      </c>
      <c r="B268" s="811" t="s">
        <v>2068</v>
      </c>
      <c r="C268" s="812">
        <v>57000000</v>
      </c>
      <c r="D268" s="811" t="s">
        <v>1611</v>
      </c>
      <c r="E268" s="811" t="s">
        <v>1611</v>
      </c>
      <c r="F268" s="811" t="s">
        <v>1741</v>
      </c>
      <c r="G268" s="811" t="s">
        <v>1727</v>
      </c>
      <c r="H268" s="811" t="s">
        <v>1728</v>
      </c>
      <c r="I268" s="811" t="s">
        <v>1729</v>
      </c>
      <c r="J268" s="813">
        <v>57000000</v>
      </c>
      <c r="K268" s="811" t="s">
        <v>1730</v>
      </c>
      <c r="L268" s="811" t="s">
        <v>1189</v>
      </c>
      <c r="M268" s="811" t="s">
        <v>1710</v>
      </c>
      <c r="N268" s="811" t="s">
        <v>1710</v>
      </c>
      <c r="O268" s="811" t="s">
        <v>1920</v>
      </c>
      <c r="P268" s="811" t="s">
        <v>1732</v>
      </c>
      <c r="Q268" s="811" t="s">
        <v>1785</v>
      </c>
    </row>
    <row r="269" spans="1:17" x14ac:dyDescent="0.3">
      <c r="A269" s="811" t="s">
        <v>1724</v>
      </c>
      <c r="B269" s="811" t="s">
        <v>2069</v>
      </c>
      <c r="C269" s="812">
        <v>36795303</v>
      </c>
      <c r="D269" s="811" t="s">
        <v>1611</v>
      </c>
      <c r="E269" s="811" t="s">
        <v>1611</v>
      </c>
      <c r="F269" s="811" t="s">
        <v>1741</v>
      </c>
      <c r="G269" s="811" t="s">
        <v>1727</v>
      </c>
      <c r="H269" s="811" t="s">
        <v>1728</v>
      </c>
      <c r="I269" s="811" t="s">
        <v>1729</v>
      </c>
      <c r="J269" s="813">
        <v>36795303</v>
      </c>
      <c r="K269" s="811" t="s">
        <v>1730</v>
      </c>
      <c r="L269" s="811" t="s">
        <v>1189</v>
      </c>
      <c r="M269" s="811" t="s">
        <v>1710</v>
      </c>
      <c r="N269" s="811" t="s">
        <v>1710</v>
      </c>
      <c r="O269" s="811" t="s">
        <v>1920</v>
      </c>
      <c r="P269" s="811" t="s">
        <v>1732</v>
      </c>
      <c r="Q269" s="811" t="s">
        <v>1785</v>
      </c>
    </row>
    <row r="270" spans="1:17" x14ac:dyDescent="0.3">
      <c r="A270" s="811" t="s">
        <v>1724</v>
      </c>
      <c r="B270" s="811" t="s">
        <v>2070</v>
      </c>
      <c r="C270" s="812">
        <v>27800895</v>
      </c>
      <c r="D270" s="811" t="s">
        <v>1611</v>
      </c>
      <c r="E270" s="811" t="s">
        <v>1611</v>
      </c>
      <c r="F270" s="811" t="s">
        <v>1741</v>
      </c>
      <c r="G270" s="811" t="s">
        <v>1727</v>
      </c>
      <c r="H270" s="811" t="s">
        <v>1728</v>
      </c>
      <c r="I270" s="811" t="s">
        <v>1729</v>
      </c>
      <c r="J270" s="813">
        <v>27800895</v>
      </c>
      <c r="K270" s="811" t="s">
        <v>1730</v>
      </c>
      <c r="L270" s="811" t="s">
        <v>1189</v>
      </c>
      <c r="M270" s="811" t="s">
        <v>1710</v>
      </c>
      <c r="N270" s="811" t="s">
        <v>1710</v>
      </c>
      <c r="O270" s="811" t="s">
        <v>1920</v>
      </c>
      <c r="P270" s="811" t="s">
        <v>1732</v>
      </c>
      <c r="Q270" s="811" t="s">
        <v>1785</v>
      </c>
    </row>
    <row r="271" spans="1:17" x14ac:dyDescent="0.3">
      <c r="A271" s="811" t="s">
        <v>1724</v>
      </c>
      <c r="B271" s="811" t="s">
        <v>2071</v>
      </c>
      <c r="C271" s="812">
        <v>16000000</v>
      </c>
      <c r="D271" s="811" t="s">
        <v>1611</v>
      </c>
      <c r="E271" s="811" t="s">
        <v>1611</v>
      </c>
      <c r="F271" s="811" t="s">
        <v>1791</v>
      </c>
      <c r="G271" s="811" t="s">
        <v>1727</v>
      </c>
      <c r="H271" s="811" t="s">
        <v>1728</v>
      </c>
      <c r="I271" s="811" t="s">
        <v>1729</v>
      </c>
      <c r="J271" s="813">
        <v>16000000</v>
      </c>
      <c r="K271" s="811" t="s">
        <v>1730</v>
      </c>
      <c r="L271" s="811" t="s">
        <v>1189</v>
      </c>
      <c r="M271" s="811" t="s">
        <v>1710</v>
      </c>
      <c r="N271" s="811" t="s">
        <v>1710</v>
      </c>
      <c r="O271" s="811" t="s">
        <v>1868</v>
      </c>
      <c r="P271" s="811" t="s">
        <v>1732</v>
      </c>
      <c r="Q271" s="811" t="s">
        <v>1785</v>
      </c>
    </row>
    <row r="272" spans="1:17" x14ac:dyDescent="0.3">
      <c r="A272" s="811" t="s">
        <v>2072</v>
      </c>
      <c r="B272" s="811" t="s">
        <v>2073</v>
      </c>
      <c r="C272" s="812">
        <v>59000000</v>
      </c>
      <c r="D272" s="811" t="s">
        <v>1510</v>
      </c>
      <c r="E272" s="811" t="s">
        <v>1510</v>
      </c>
      <c r="F272" s="811" t="s">
        <v>2074</v>
      </c>
      <c r="G272" s="811" t="s">
        <v>1727</v>
      </c>
      <c r="H272" s="811" t="s">
        <v>1650</v>
      </c>
      <c r="I272" s="811" t="s">
        <v>1729</v>
      </c>
      <c r="J272" s="813">
        <v>59000000</v>
      </c>
      <c r="K272" s="811" t="s">
        <v>1730</v>
      </c>
      <c r="L272" s="811" t="s">
        <v>1189</v>
      </c>
      <c r="M272" s="811" t="s">
        <v>1710</v>
      </c>
      <c r="N272" s="811" t="s">
        <v>1710</v>
      </c>
      <c r="O272" s="811" t="s">
        <v>1731</v>
      </c>
      <c r="P272" s="811" t="s">
        <v>1732</v>
      </c>
      <c r="Q272" s="811" t="s">
        <v>1733</v>
      </c>
    </row>
    <row r="273" spans="1:17" x14ac:dyDescent="0.3">
      <c r="A273" s="811" t="s">
        <v>1724</v>
      </c>
      <c r="B273" s="811" t="s">
        <v>2075</v>
      </c>
      <c r="C273" s="812">
        <v>33000000</v>
      </c>
      <c r="D273" s="811" t="s">
        <v>1611</v>
      </c>
      <c r="E273" s="811" t="s">
        <v>1611</v>
      </c>
      <c r="F273" s="811" t="s">
        <v>1726</v>
      </c>
      <c r="G273" s="811" t="s">
        <v>1727</v>
      </c>
      <c r="H273" s="811" t="s">
        <v>1728</v>
      </c>
      <c r="I273" s="811" t="s">
        <v>1729</v>
      </c>
      <c r="J273" s="813">
        <v>33000000</v>
      </c>
      <c r="K273" s="811" t="s">
        <v>1730</v>
      </c>
      <c r="L273" s="811" t="s">
        <v>1189</v>
      </c>
      <c r="M273" s="811" t="s">
        <v>1710</v>
      </c>
      <c r="N273" s="811" t="s">
        <v>1710</v>
      </c>
      <c r="O273" s="811" t="s">
        <v>1761</v>
      </c>
      <c r="P273" s="811" t="s">
        <v>1732</v>
      </c>
      <c r="Q273" s="811" t="s">
        <v>1733</v>
      </c>
    </row>
    <row r="274" spans="1:17" x14ac:dyDescent="0.3">
      <c r="A274" s="811" t="s">
        <v>1724</v>
      </c>
      <c r="B274" s="811" t="s">
        <v>2076</v>
      </c>
      <c r="C274" s="812">
        <v>34100000</v>
      </c>
      <c r="D274" s="811" t="s">
        <v>1611</v>
      </c>
      <c r="E274" s="811" t="s">
        <v>1611</v>
      </c>
      <c r="F274" s="811" t="s">
        <v>1726</v>
      </c>
      <c r="G274" s="811" t="s">
        <v>1727</v>
      </c>
      <c r="H274" s="811" t="s">
        <v>1728</v>
      </c>
      <c r="I274" s="811" t="s">
        <v>1729</v>
      </c>
      <c r="J274" s="813">
        <v>34100000</v>
      </c>
      <c r="K274" s="811" t="s">
        <v>1730</v>
      </c>
      <c r="L274" s="811" t="s">
        <v>1189</v>
      </c>
      <c r="M274" s="811" t="s">
        <v>1710</v>
      </c>
      <c r="N274" s="811" t="s">
        <v>1710</v>
      </c>
      <c r="O274" s="811" t="s">
        <v>1761</v>
      </c>
      <c r="P274" s="811" t="s">
        <v>1732</v>
      </c>
      <c r="Q274" s="811" t="s">
        <v>1733</v>
      </c>
    </row>
    <row r="275" spans="1:17" x14ac:dyDescent="0.3">
      <c r="A275" s="811" t="s">
        <v>1724</v>
      </c>
      <c r="B275" s="811" t="s">
        <v>2077</v>
      </c>
      <c r="C275" s="812">
        <v>29600000</v>
      </c>
      <c r="D275" s="811" t="s">
        <v>1611</v>
      </c>
      <c r="E275" s="811" t="s">
        <v>1611</v>
      </c>
      <c r="F275" s="811" t="s">
        <v>1726</v>
      </c>
      <c r="G275" s="811" t="s">
        <v>1727</v>
      </c>
      <c r="H275" s="811" t="s">
        <v>1728</v>
      </c>
      <c r="I275" s="811" t="s">
        <v>1729</v>
      </c>
      <c r="J275" s="813">
        <v>29600000</v>
      </c>
      <c r="K275" s="811" t="s">
        <v>1730</v>
      </c>
      <c r="L275" s="811" t="s">
        <v>1189</v>
      </c>
      <c r="M275" s="811" t="s">
        <v>1710</v>
      </c>
      <c r="N275" s="811" t="s">
        <v>1710</v>
      </c>
      <c r="O275" s="811" t="s">
        <v>1731</v>
      </c>
      <c r="P275" s="811" t="s">
        <v>1732</v>
      </c>
      <c r="Q275" s="811" t="s">
        <v>1733</v>
      </c>
    </row>
    <row r="276" spans="1:17" x14ac:dyDescent="0.3">
      <c r="A276" s="811" t="s">
        <v>1724</v>
      </c>
      <c r="B276" s="811" t="s">
        <v>2078</v>
      </c>
      <c r="C276" s="812">
        <v>28800000</v>
      </c>
      <c r="D276" s="811" t="s">
        <v>1611</v>
      </c>
      <c r="E276" s="811" t="s">
        <v>1611</v>
      </c>
      <c r="F276" s="811" t="s">
        <v>1726</v>
      </c>
      <c r="G276" s="811" t="s">
        <v>1727</v>
      </c>
      <c r="H276" s="811" t="s">
        <v>1728</v>
      </c>
      <c r="I276" s="811" t="s">
        <v>1729</v>
      </c>
      <c r="J276" s="813">
        <v>28800000</v>
      </c>
      <c r="K276" s="811" t="s">
        <v>1730</v>
      </c>
      <c r="L276" s="811" t="s">
        <v>1189</v>
      </c>
      <c r="M276" s="811" t="s">
        <v>1710</v>
      </c>
      <c r="N276" s="811" t="s">
        <v>1710</v>
      </c>
      <c r="O276" s="811" t="s">
        <v>1731</v>
      </c>
      <c r="P276" s="811" t="s">
        <v>1732</v>
      </c>
      <c r="Q276" s="811" t="s">
        <v>1733</v>
      </c>
    </row>
    <row r="277" spans="1:17" x14ac:dyDescent="0.3">
      <c r="A277" s="811" t="s">
        <v>1724</v>
      </c>
      <c r="B277" s="811" t="s">
        <v>2079</v>
      </c>
      <c r="C277" s="812">
        <v>28800000</v>
      </c>
      <c r="D277" s="811" t="s">
        <v>1611</v>
      </c>
      <c r="E277" s="811" t="s">
        <v>1611</v>
      </c>
      <c r="F277" s="811" t="s">
        <v>1726</v>
      </c>
      <c r="G277" s="811" t="s">
        <v>1727</v>
      </c>
      <c r="H277" s="811" t="s">
        <v>1728</v>
      </c>
      <c r="I277" s="811" t="s">
        <v>1729</v>
      </c>
      <c r="J277" s="813">
        <v>28800000</v>
      </c>
      <c r="K277" s="811" t="s">
        <v>1730</v>
      </c>
      <c r="L277" s="811" t="s">
        <v>1189</v>
      </c>
      <c r="M277" s="811" t="s">
        <v>1710</v>
      </c>
      <c r="N277" s="811" t="s">
        <v>1710</v>
      </c>
      <c r="O277" s="811" t="s">
        <v>1731</v>
      </c>
      <c r="P277" s="811" t="s">
        <v>1732</v>
      </c>
      <c r="Q277" s="811" t="s">
        <v>1733</v>
      </c>
    </row>
    <row r="278" spans="1:17" x14ac:dyDescent="0.3">
      <c r="A278" s="811" t="s">
        <v>1724</v>
      </c>
      <c r="B278" s="811" t="s">
        <v>2080</v>
      </c>
      <c r="C278" s="812">
        <v>28800000</v>
      </c>
      <c r="D278" s="811" t="s">
        <v>1611</v>
      </c>
      <c r="E278" s="811" t="s">
        <v>1611</v>
      </c>
      <c r="F278" s="811" t="s">
        <v>1814</v>
      </c>
      <c r="G278" s="811" t="s">
        <v>1727</v>
      </c>
      <c r="H278" s="811" t="s">
        <v>1728</v>
      </c>
      <c r="I278" s="811" t="s">
        <v>1729</v>
      </c>
      <c r="J278" s="813">
        <v>28800000</v>
      </c>
      <c r="K278" s="811" t="s">
        <v>1730</v>
      </c>
      <c r="L278" s="811" t="s">
        <v>1189</v>
      </c>
      <c r="M278" s="811" t="s">
        <v>1710</v>
      </c>
      <c r="N278" s="811" t="s">
        <v>1710</v>
      </c>
      <c r="O278" s="811" t="s">
        <v>1731</v>
      </c>
      <c r="P278" s="811" t="s">
        <v>1732</v>
      </c>
      <c r="Q278" s="811" t="s">
        <v>1733</v>
      </c>
    </row>
    <row r="279" spans="1:17" x14ac:dyDescent="0.3">
      <c r="A279" s="811" t="s">
        <v>1724</v>
      </c>
      <c r="B279" s="811" t="s">
        <v>2081</v>
      </c>
      <c r="C279" s="812">
        <v>16000000</v>
      </c>
      <c r="D279" s="811" t="s">
        <v>1611</v>
      </c>
      <c r="E279" s="811" t="s">
        <v>1611</v>
      </c>
      <c r="F279" s="811" t="s">
        <v>1793</v>
      </c>
      <c r="G279" s="811" t="s">
        <v>1727</v>
      </c>
      <c r="H279" s="811" t="s">
        <v>1728</v>
      </c>
      <c r="I279" s="811" t="s">
        <v>1729</v>
      </c>
      <c r="J279" s="813">
        <v>16000000</v>
      </c>
      <c r="K279" s="811" t="s">
        <v>1730</v>
      </c>
      <c r="L279" s="811" t="s">
        <v>1189</v>
      </c>
      <c r="M279" s="811" t="s">
        <v>1710</v>
      </c>
      <c r="N279" s="811" t="s">
        <v>1710</v>
      </c>
      <c r="O279" s="811" t="s">
        <v>2082</v>
      </c>
      <c r="P279" s="811" t="s">
        <v>1732</v>
      </c>
      <c r="Q279" s="811" t="s">
        <v>2055</v>
      </c>
    </row>
    <row r="280" spans="1:17" x14ac:dyDescent="0.3">
      <c r="A280" s="811" t="s">
        <v>1724</v>
      </c>
      <c r="B280" s="811" t="s">
        <v>2083</v>
      </c>
      <c r="C280" s="812">
        <v>36000000</v>
      </c>
      <c r="D280" s="811" t="s">
        <v>1611</v>
      </c>
      <c r="E280" s="811" t="s">
        <v>1611</v>
      </c>
      <c r="F280" s="811" t="s">
        <v>1737</v>
      </c>
      <c r="G280" s="811" t="s">
        <v>1727</v>
      </c>
      <c r="H280" s="811" t="s">
        <v>1728</v>
      </c>
      <c r="I280" s="811" t="s">
        <v>1729</v>
      </c>
      <c r="J280" s="813">
        <v>36000000</v>
      </c>
      <c r="K280" s="811" t="s">
        <v>1730</v>
      </c>
      <c r="L280" s="811" t="s">
        <v>1189</v>
      </c>
      <c r="M280" s="811" t="s">
        <v>1710</v>
      </c>
      <c r="N280" s="811" t="s">
        <v>1710</v>
      </c>
      <c r="O280" s="811" t="s">
        <v>1779</v>
      </c>
      <c r="P280" s="811" t="s">
        <v>1732</v>
      </c>
      <c r="Q280" s="811" t="s">
        <v>1780</v>
      </c>
    </row>
    <row r="281" spans="1:17" x14ac:dyDescent="0.3">
      <c r="A281" s="811" t="s">
        <v>1724</v>
      </c>
      <c r="B281" s="811" t="s">
        <v>2084</v>
      </c>
      <c r="C281" s="812">
        <v>48000000</v>
      </c>
      <c r="D281" s="811" t="s">
        <v>1501</v>
      </c>
      <c r="E281" s="811" t="s">
        <v>1501</v>
      </c>
      <c r="F281" s="811" t="s">
        <v>1737</v>
      </c>
      <c r="G281" s="811" t="s">
        <v>1727</v>
      </c>
      <c r="H281" s="811" t="s">
        <v>1728</v>
      </c>
      <c r="I281" s="811" t="s">
        <v>1729</v>
      </c>
      <c r="J281" s="813">
        <v>48000000</v>
      </c>
      <c r="K281" s="811" t="s">
        <v>1730</v>
      </c>
      <c r="L281" s="811" t="s">
        <v>1189</v>
      </c>
      <c r="M281" s="811" t="s">
        <v>1710</v>
      </c>
      <c r="N281" s="811" t="s">
        <v>1710</v>
      </c>
      <c r="O281" s="811" t="s">
        <v>1804</v>
      </c>
      <c r="P281" s="811" t="s">
        <v>1732</v>
      </c>
      <c r="Q281" s="811" t="s">
        <v>1739</v>
      </c>
    </row>
    <row r="282" spans="1:17" x14ac:dyDescent="0.3">
      <c r="A282" s="811" t="s">
        <v>1724</v>
      </c>
      <c r="B282" s="811" t="s">
        <v>2085</v>
      </c>
      <c r="C282" s="812">
        <v>24000000</v>
      </c>
      <c r="D282" s="811" t="s">
        <v>1501</v>
      </c>
      <c r="E282" s="811" t="s">
        <v>1501</v>
      </c>
      <c r="F282" s="811" t="s">
        <v>1737</v>
      </c>
      <c r="G282" s="811" t="s">
        <v>1727</v>
      </c>
      <c r="H282" s="811" t="s">
        <v>1728</v>
      </c>
      <c r="I282" s="811" t="s">
        <v>1729</v>
      </c>
      <c r="J282" s="813">
        <v>24000000</v>
      </c>
      <c r="K282" s="811" t="s">
        <v>1730</v>
      </c>
      <c r="L282" s="811" t="s">
        <v>1189</v>
      </c>
      <c r="M282" s="811" t="s">
        <v>1710</v>
      </c>
      <c r="N282" s="811" t="s">
        <v>1710</v>
      </c>
      <c r="O282" s="811" t="s">
        <v>1804</v>
      </c>
      <c r="P282" s="811" t="s">
        <v>1732</v>
      </c>
      <c r="Q282" s="811" t="s">
        <v>1739</v>
      </c>
    </row>
    <row r="283" spans="1:17" x14ac:dyDescent="0.3">
      <c r="A283" s="811" t="s">
        <v>1724</v>
      </c>
      <c r="B283" s="811" t="s">
        <v>2086</v>
      </c>
      <c r="C283" s="812">
        <v>24000000</v>
      </c>
      <c r="D283" s="811" t="s">
        <v>1501</v>
      </c>
      <c r="E283" s="811" t="s">
        <v>1501</v>
      </c>
      <c r="F283" s="811" t="s">
        <v>1737</v>
      </c>
      <c r="G283" s="811" t="s">
        <v>1727</v>
      </c>
      <c r="H283" s="811" t="s">
        <v>1728</v>
      </c>
      <c r="I283" s="811" t="s">
        <v>1729</v>
      </c>
      <c r="J283" s="813">
        <v>24000000</v>
      </c>
      <c r="K283" s="811" t="s">
        <v>1730</v>
      </c>
      <c r="L283" s="811" t="s">
        <v>1189</v>
      </c>
      <c r="M283" s="811" t="s">
        <v>1710</v>
      </c>
      <c r="N283" s="811" t="s">
        <v>1710</v>
      </c>
      <c r="O283" s="811" t="s">
        <v>1804</v>
      </c>
      <c r="P283" s="811" t="s">
        <v>1732</v>
      </c>
      <c r="Q283" s="811" t="s">
        <v>1739</v>
      </c>
    </row>
    <row r="284" spans="1:17" x14ac:dyDescent="0.3">
      <c r="A284" s="811" t="s">
        <v>1724</v>
      </c>
      <c r="B284" s="811" t="s">
        <v>2087</v>
      </c>
      <c r="C284" s="812">
        <v>24000000</v>
      </c>
      <c r="D284" s="811" t="s">
        <v>1501</v>
      </c>
      <c r="E284" s="811" t="s">
        <v>1501</v>
      </c>
      <c r="F284" s="811" t="s">
        <v>1737</v>
      </c>
      <c r="G284" s="811" t="s">
        <v>1727</v>
      </c>
      <c r="H284" s="811" t="s">
        <v>1728</v>
      </c>
      <c r="I284" s="811" t="s">
        <v>1729</v>
      </c>
      <c r="J284" s="813">
        <v>24000000</v>
      </c>
      <c r="K284" s="811" t="s">
        <v>1730</v>
      </c>
      <c r="L284" s="811" t="s">
        <v>1189</v>
      </c>
      <c r="M284" s="811" t="s">
        <v>1710</v>
      </c>
      <c r="N284" s="811" t="s">
        <v>1710</v>
      </c>
      <c r="O284" s="811" t="s">
        <v>1804</v>
      </c>
      <c r="P284" s="811" t="s">
        <v>1732</v>
      </c>
      <c r="Q284" s="811" t="s">
        <v>1739</v>
      </c>
    </row>
    <row r="285" spans="1:17" x14ac:dyDescent="0.3">
      <c r="A285" s="811" t="s">
        <v>1724</v>
      </c>
      <c r="B285" s="811" t="s">
        <v>2088</v>
      </c>
      <c r="C285" s="812">
        <v>34850000</v>
      </c>
      <c r="D285" s="811" t="s">
        <v>1611</v>
      </c>
      <c r="E285" s="811" t="s">
        <v>1611</v>
      </c>
      <c r="F285" s="811" t="s">
        <v>1741</v>
      </c>
      <c r="G285" s="811" t="s">
        <v>1727</v>
      </c>
      <c r="H285" s="811" t="s">
        <v>1728</v>
      </c>
      <c r="I285" s="811" t="s">
        <v>1729</v>
      </c>
      <c r="J285" s="813">
        <v>34850000</v>
      </c>
      <c r="K285" s="811" t="s">
        <v>1730</v>
      </c>
      <c r="L285" s="811" t="s">
        <v>1189</v>
      </c>
      <c r="M285" s="811" t="s">
        <v>1710</v>
      </c>
      <c r="N285" s="811" t="s">
        <v>1710</v>
      </c>
      <c r="O285" s="811" t="s">
        <v>1742</v>
      </c>
      <c r="P285" s="811" t="s">
        <v>1732</v>
      </c>
      <c r="Q285" s="811" t="s">
        <v>1743</v>
      </c>
    </row>
    <row r="286" spans="1:17" x14ac:dyDescent="0.3">
      <c r="A286" s="811" t="s">
        <v>1724</v>
      </c>
      <c r="B286" s="811" t="s">
        <v>2089</v>
      </c>
      <c r="C286" s="812">
        <v>34850000</v>
      </c>
      <c r="D286" s="811" t="s">
        <v>1611</v>
      </c>
      <c r="E286" s="811" t="s">
        <v>1611</v>
      </c>
      <c r="F286" s="811" t="s">
        <v>1741</v>
      </c>
      <c r="G286" s="811" t="s">
        <v>1727</v>
      </c>
      <c r="H286" s="811" t="s">
        <v>1728</v>
      </c>
      <c r="I286" s="811" t="s">
        <v>1729</v>
      </c>
      <c r="J286" s="813">
        <v>34850000</v>
      </c>
      <c r="K286" s="811" t="s">
        <v>1730</v>
      </c>
      <c r="L286" s="811" t="s">
        <v>1189</v>
      </c>
      <c r="M286" s="811" t="s">
        <v>1710</v>
      </c>
      <c r="N286" s="811" t="s">
        <v>1710</v>
      </c>
      <c r="O286" s="811" t="s">
        <v>1742</v>
      </c>
      <c r="P286" s="811" t="s">
        <v>1732</v>
      </c>
      <c r="Q286" s="811" t="s">
        <v>1743</v>
      </c>
    </row>
    <row r="287" spans="1:17" x14ac:dyDescent="0.3">
      <c r="A287" s="811" t="s">
        <v>1724</v>
      </c>
      <c r="B287" s="811" t="s">
        <v>2090</v>
      </c>
      <c r="C287" s="812">
        <v>58300000</v>
      </c>
      <c r="D287" s="811" t="s">
        <v>1505</v>
      </c>
      <c r="E287" s="811" t="s">
        <v>1505</v>
      </c>
      <c r="F287" s="811" t="s">
        <v>1764</v>
      </c>
      <c r="G287" s="811" t="s">
        <v>1727</v>
      </c>
      <c r="H287" s="811" t="s">
        <v>1728</v>
      </c>
      <c r="I287" s="811" t="s">
        <v>1729</v>
      </c>
      <c r="J287" s="813">
        <v>58300000</v>
      </c>
      <c r="K287" s="811" t="s">
        <v>1730</v>
      </c>
      <c r="L287" s="811" t="s">
        <v>1189</v>
      </c>
      <c r="M287" s="811" t="s">
        <v>1710</v>
      </c>
      <c r="N287" s="811" t="s">
        <v>1710</v>
      </c>
      <c r="O287" s="811" t="s">
        <v>1834</v>
      </c>
      <c r="P287" s="811" t="s">
        <v>1835</v>
      </c>
      <c r="Q287" s="811" t="s">
        <v>1733</v>
      </c>
    </row>
    <row r="288" spans="1:17" x14ac:dyDescent="0.3">
      <c r="A288" s="811" t="s">
        <v>1724</v>
      </c>
      <c r="B288" s="811" t="s">
        <v>2091</v>
      </c>
      <c r="C288" s="812">
        <v>64900000</v>
      </c>
      <c r="D288" s="811" t="s">
        <v>1505</v>
      </c>
      <c r="E288" s="811" t="s">
        <v>1505</v>
      </c>
      <c r="F288" s="811" t="s">
        <v>1764</v>
      </c>
      <c r="G288" s="811" t="s">
        <v>1727</v>
      </c>
      <c r="H288" s="811" t="s">
        <v>1728</v>
      </c>
      <c r="I288" s="811" t="s">
        <v>1729</v>
      </c>
      <c r="J288" s="813">
        <v>64900000</v>
      </c>
      <c r="K288" s="811" t="s">
        <v>1730</v>
      </c>
      <c r="L288" s="811" t="s">
        <v>1189</v>
      </c>
      <c r="M288" s="811" t="s">
        <v>1710</v>
      </c>
      <c r="N288" s="811" t="s">
        <v>1710</v>
      </c>
      <c r="O288" s="811" t="s">
        <v>1834</v>
      </c>
      <c r="P288" s="811" t="s">
        <v>1835</v>
      </c>
      <c r="Q288" s="811" t="s">
        <v>1733</v>
      </c>
    </row>
    <row r="289" spans="1:17" x14ac:dyDescent="0.3">
      <c r="A289" s="811" t="s">
        <v>1724</v>
      </c>
      <c r="B289" s="811" t="s">
        <v>2092</v>
      </c>
      <c r="C289" s="812">
        <v>44000000</v>
      </c>
      <c r="D289" s="811" t="s">
        <v>1505</v>
      </c>
      <c r="E289" s="811" t="s">
        <v>1505</v>
      </c>
      <c r="F289" s="811" t="s">
        <v>1764</v>
      </c>
      <c r="G289" s="811" t="s">
        <v>1727</v>
      </c>
      <c r="H289" s="811" t="s">
        <v>1728</v>
      </c>
      <c r="I289" s="811" t="s">
        <v>1729</v>
      </c>
      <c r="J289" s="813">
        <v>44000000</v>
      </c>
      <c r="K289" s="811" t="s">
        <v>1730</v>
      </c>
      <c r="L289" s="811" t="s">
        <v>1189</v>
      </c>
      <c r="M289" s="811" t="s">
        <v>1710</v>
      </c>
      <c r="N289" s="811" t="s">
        <v>1710</v>
      </c>
      <c r="O289" s="811" t="s">
        <v>1834</v>
      </c>
      <c r="P289" s="811" t="s">
        <v>1835</v>
      </c>
      <c r="Q289" s="811" t="s">
        <v>1733</v>
      </c>
    </row>
    <row r="290" spans="1:17" x14ac:dyDescent="0.3">
      <c r="A290" s="811" t="s">
        <v>1724</v>
      </c>
      <c r="B290" s="811" t="s">
        <v>2093</v>
      </c>
      <c r="C290" s="812">
        <v>64900000</v>
      </c>
      <c r="D290" s="811" t="s">
        <v>1505</v>
      </c>
      <c r="E290" s="811" t="s">
        <v>1505</v>
      </c>
      <c r="F290" s="811" t="s">
        <v>1764</v>
      </c>
      <c r="G290" s="811" t="s">
        <v>1727</v>
      </c>
      <c r="H290" s="811" t="s">
        <v>1728</v>
      </c>
      <c r="I290" s="811" t="s">
        <v>1729</v>
      </c>
      <c r="J290" s="813">
        <v>64900000</v>
      </c>
      <c r="K290" s="811" t="s">
        <v>1730</v>
      </c>
      <c r="L290" s="811" t="s">
        <v>1189</v>
      </c>
      <c r="M290" s="811" t="s">
        <v>1710</v>
      </c>
      <c r="N290" s="811" t="s">
        <v>1710</v>
      </c>
      <c r="O290" s="811" t="s">
        <v>1834</v>
      </c>
      <c r="P290" s="811" t="s">
        <v>1835</v>
      </c>
      <c r="Q290" s="811" t="s">
        <v>1733</v>
      </c>
    </row>
    <row r="291" spans="1:17" x14ac:dyDescent="0.3">
      <c r="A291" s="811" t="s">
        <v>1724</v>
      </c>
      <c r="B291" s="811" t="s">
        <v>2094</v>
      </c>
      <c r="C291" s="812">
        <v>64900000</v>
      </c>
      <c r="D291" s="811" t="s">
        <v>1505</v>
      </c>
      <c r="E291" s="811" t="s">
        <v>1505</v>
      </c>
      <c r="F291" s="811" t="s">
        <v>1764</v>
      </c>
      <c r="G291" s="811" t="s">
        <v>1727</v>
      </c>
      <c r="H291" s="811" t="s">
        <v>1728</v>
      </c>
      <c r="I291" s="811" t="s">
        <v>1729</v>
      </c>
      <c r="J291" s="813">
        <v>64900000</v>
      </c>
      <c r="K291" s="811" t="s">
        <v>1730</v>
      </c>
      <c r="L291" s="811" t="s">
        <v>1189</v>
      </c>
      <c r="M291" s="811" t="s">
        <v>1710</v>
      </c>
      <c r="N291" s="811" t="s">
        <v>1710</v>
      </c>
      <c r="O291" s="811" t="s">
        <v>1834</v>
      </c>
      <c r="P291" s="811" t="s">
        <v>1835</v>
      </c>
      <c r="Q291" s="811" t="s">
        <v>1733</v>
      </c>
    </row>
    <row r="292" spans="1:17" x14ac:dyDescent="0.3">
      <c r="A292" s="811" t="s">
        <v>1724</v>
      </c>
      <c r="B292" s="811" t="s">
        <v>2095</v>
      </c>
      <c r="C292" s="812">
        <v>70800000</v>
      </c>
      <c r="D292" s="811" t="s">
        <v>1495</v>
      </c>
      <c r="E292" s="811" t="s">
        <v>1495</v>
      </c>
      <c r="F292" s="811" t="s">
        <v>1747</v>
      </c>
      <c r="G292" s="811" t="s">
        <v>1727</v>
      </c>
      <c r="H292" s="811" t="s">
        <v>1728</v>
      </c>
      <c r="I292" s="811" t="s">
        <v>1729</v>
      </c>
      <c r="J292" s="813">
        <v>70800000</v>
      </c>
      <c r="K292" s="811" t="s">
        <v>1730</v>
      </c>
      <c r="L292" s="811" t="s">
        <v>1189</v>
      </c>
      <c r="M292" s="811" t="s">
        <v>1710</v>
      </c>
      <c r="N292" s="811" t="s">
        <v>1710</v>
      </c>
      <c r="O292" s="811" t="s">
        <v>1834</v>
      </c>
      <c r="P292" s="811" t="s">
        <v>1835</v>
      </c>
      <c r="Q292" s="811" t="s">
        <v>1733</v>
      </c>
    </row>
    <row r="293" spans="1:17" x14ac:dyDescent="0.3">
      <c r="A293" s="811" t="s">
        <v>1724</v>
      </c>
      <c r="B293" s="811" t="s">
        <v>2096</v>
      </c>
      <c r="C293" s="812">
        <v>28600000</v>
      </c>
      <c r="D293" s="811" t="s">
        <v>1505</v>
      </c>
      <c r="E293" s="811" t="s">
        <v>1505</v>
      </c>
      <c r="F293" s="811" t="s">
        <v>1764</v>
      </c>
      <c r="G293" s="811" t="s">
        <v>1727</v>
      </c>
      <c r="H293" s="811" t="s">
        <v>1728</v>
      </c>
      <c r="I293" s="811" t="s">
        <v>1729</v>
      </c>
      <c r="J293" s="813">
        <v>28600000</v>
      </c>
      <c r="K293" s="811" t="s">
        <v>1730</v>
      </c>
      <c r="L293" s="811" t="s">
        <v>1189</v>
      </c>
      <c r="M293" s="811" t="s">
        <v>1710</v>
      </c>
      <c r="N293" s="811" t="s">
        <v>1710</v>
      </c>
      <c r="O293" s="811" t="s">
        <v>1834</v>
      </c>
      <c r="P293" s="811" t="s">
        <v>1835</v>
      </c>
      <c r="Q293" s="811" t="s">
        <v>1733</v>
      </c>
    </row>
    <row r="294" spans="1:17" x14ac:dyDescent="0.3">
      <c r="A294" s="811" t="s">
        <v>1724</v>
      </c>
      <c r="B294" s="811" t="s">
        <v>1763</v>
      </c>
      <c r="C294" s="812">
        <v>44330000</v>
      </c>
      <c r="D294" s="811" t="s">
        <v>1505</v>
      </c>
      <c r="E294" s="811" t="s">
        <v>1505</v>
      </c>
      <c r="F294" s="811" t="s">
        <v>1747</v>
      </c>
      <c r="G294" s="811" t="s">
        <v>1727</v>
      </c>
      <c r="H294" s="811" t="s">
        <v>1728</v>
      </c>
      <c r="I294" s="811" t="s">
        <v>1729</v>
      </c>
      <c r="J294" s="813">
        <v>44330000</v>
      </c>
      <c r="K294" s="811" t="s">
        <v>1730</v>
      </c>
      <c r="L294" s="811" t="s">
        <v>1189</v>
      </c>
      <c r="M294" s="811" t="s">
        <v>1710</v>
      </c>
      <c r="N294" s="811" t="s">
        <v>1710</v>
      </c>
      <c r="O294" s="811" t="s">
        <v>1834</v>
      </c>
      <c r="P294" s="811" t="s">
        <v>1835</v>
      </c>
      <c r="Q294" s="811" t="s">
        <v>1733</v>
      </c>
    </row>
    <row r="295" spans="1:17" x14ac:dyDescent="0.3">
      <c r="A295" s="811" t="s">
        <v>1724</v>
      </c>
      <c r="B295" s="811" t="s">
        <v>2097</v>
      </c>
      <c r="C295" s="812">
        <v>77000000</v>
      </c>
      <c r="D295" s="811" t="s">
        <v>1505</v>
      </c>
      <c r="E295" s="811" t="s">
        <v>1505</v>
      </c>
      <c r="F295" s="811" t="s">
        <v>1764</v>
      </c>
      <c r="G295" s="811" t="s">
        <v>1727</v>
      </c>
      <c r="H295" s="811" t="s">
        <v>1728</v>
      </c>
      <c r="I295" s="811" t="s">
        <v>1729</v>
      </c>
      <c r="J295" s="813">
        <v>77000000</v>
      </c>
      <c r="K295" s="811" t="s">
        <v>1730</v>
      </c>
      <c r="L295" s="811" t="s">
        <v>1189</v>
      </c>
      <c r="M295" s="811" t="s">
        <v>1710</v>
      </c>
      <c r="N295" s="811" t="s">
        <v>1710</v>
      </c>
      <c r="O295" s="811" t="s">
        <v>1834</v>
      </c>
      <c r="P295" s="811" t="s">
        <v>1835</v>
      </c>
      <c r="Q295" s="811" t="s">
        <v>1733</v>
      </c>
    </row>
    <row r="296" spans="1:17" x14ac:dyDescent="0.3">
      <c r="A296" s="811" t="s">
        <v>1724</v>
      </c>
      <c r="B296" s="811" t="s">
        <v>1762</v>
      </c>
      <c r="C296" s="812">
        <v>58300000</v>
      </c>
      <c r="D296" s="811" t="s">
        <v>1505</v>
      </c>
      <c r="E296" s="811" t="s">
        <v>1505</v>
      </c>
      <c r="F296" s="811" t="s">
        <v>1747</v>
      </c>
      <c r="G296" s="811" t="s">
        <v>1727</v>
      </c>
      <c r="H296" s="811" t="s">
        <v>1728</v>
      </c>
      <c r="I296" s="811" t="s">
        <v>1729</v>
      </c>
      <c r="J296" s="813">
        <v>58300000</v>
      </c>
      <c r="K296" s="811" t="s">
        <v>1730</v>
      </c>
      <c r="L296" s="811" t="s">
        <v>1189</v>
      </c>
      <c r="M296" s="811" t="s">
        <v>1710</v>
      </c>
      <c r="N296" s="811" t="s">
        <v>1710</v>
      </c>
      <c r="O296" s="811" t="s">
        <v>1834</v>
      </c>
      <c r="P296" s="811" t="s">
        <v>1835</v>
      </c>
      <c r="Q296" s="811" t="s">
        <v>1733</v>
      </c>
    </row>
    <row r="297" spans="1:17" x14ac:dyDescent="0.3">
      <c r="A297" s="811" t="s">
        <v>1724</v>
      </c>
      <c r="B297" s="811" t="s">
        <v>2051</v>
      </c>
      <c r="C297" s="812">
        <v>44000000</v>
      </c>
      <c r="D297" s="811" t="s">
        <v>1505</v>
      </c>
      <c r="E297" s="811" t="s">
        <v>1505</v>
      </c>
      <c r="F297" s="811" t="s">
        <v>1747</v>
      </c>
      <c r="G297" s="811" t="s">
        <v>1727</v>
      </c>
      <c r="H297" s="811" t="s">
        <v>1728</v>
      </c>
      <c r="I297" s="811" t="s">
        <v>1729</v>
      </c>
      <c r="J297" s="813">
        <v>44000000</v>
      </c>
      <c r="K297" s="811" t="s">
        <v>1730</v>
      </c>
      <c r="L297" s="811" t="s">
        <v>1189</v>
      </c>
      <c r="M297" s="811" t="s">
        <v>1710</v>
      </c>
      <c r="N297" s="811" t="s">
        <v>1710</v>
      </c>
      <c r="O297" s="811" t="s">
        <v>1834</v>
      </c>
      <c r="P297" s="811" t="s">
        <v>1835</v>
      </c>
      <c r="Q297" s="811" t="s">
        <v>1733</v>
      </c>
    </row>
    <row r="298" spans="1:17" x14ac:dyDescent="0.3">
      <c r="A298" s="811" t="s">
        <v>1724</v>
      </c>
      <c r="B298" s="811" t="s">
        <v>1762</v>
      </c>
      <c r="C298" s="812">
        <v>43780000</v>
      </c>
      <c r="D298" s="811" t="s">
        <v>1505</v>
      </c>
      <c r="E298" s="811" t="s">
        <v>1505</v>
      </c>
      <c r="F298" s="811" t="s">
        <v>1747</v>
      </c>
      <c r="G298" s="811" t="s">
        <v>1727</v>
      </c>
      <c r="H298" s="811" t="s">
        <v>1728</v>
      </c>
      <c r="I298" s="811" t="s">
        <v>1729</v>
      </c>
      <c r="J298" s="813">
        <v>43780000</v>
      </c>
      <c r="K298" s="811" t="s">
        <v>1730</v>
      </c>
      <c r="L298" s="811" t="s">
        <v>1189</v>
      </c>
      <c r="M298" s="811" t="s">
        <v>1710</v>
      </c>
      <c r="N298" s="811" t="s">
        <v>1710</v>
      </c>
      <c r="O298" s="811" t="s">
        <v>1834</v>
      </c>
      <c r="P298" s="811" t="s">
        <v>1835</v>
      </c>
      <c r="Q298" s="811" t="s">
        <v>1733</v>
      </c>
    </row>
    <row r="299" spans="1:17" x14ac:dyDescent="0.3">
      <c r="A299" s="811" t="s">
        <v>1724</v>
      </c>
      <c r="B299" s="811" t="s">
        <v>2098</v>
      </c>
      <c r="C299" s="812">
        <v>64900000</v>
      </c>
      <c r="D299" s="811" t="s">
        <v>1505</v>
      </c>
      <c r="E299" s="811" t="s">
        <v>1505</v>
      </c>
      <c r="F299" s="811" t="s">
        <v>1747</v>
      </c>
      <c r="G299" s="811" t="s">
        <v>1727</v>
      </c>
      <c r="H299" s="811" t="s">
        <v>1728</v>
      </c>
      <c r="I299" s="811" t="s">
        <v>1729</v>
      </c>
      <c r="J299" s="813">
        <v>64900000</v>
      </c>
      <c r="K299" s="811" t="s">
        <v>1730</v>
      </c>
      <c r="L299" s="811" t="s">
        <v>1189</v>
      </c>
      <c r="M299" s="811" t="s">
        <v>1710</v>
      </c>
      <c r="N299" s="811" t="s">
        <v>1710</v>
      </c>
      <c r="O299" s="811" t="s">
        <v>1834</v>
      </c>
      <c r="P299" s="811" t="s">
        <v>1835</v>
      </c>
      <c r="Q299" s="811" t="s">
        <v>1733</v>
      </c>
    </row>
    <row r="300" spans="1:17" x14ac:dyDescent="0.3">
      <c r="A300" s="811" t="s">
        <v>1724</v>
      </c>
      <c r="B300" s="811" t="s">
        <v>1763</v>
      </c>
      <c r="C300" s="812">
        <v>58300000</v>
      </c>
      <c r="D300" s="811" t="s">
        <v>1505</v>
      </c>
      <c r="E300" s="811" t="s">
        <v>1505</v>
      </c>
      <c r="F300" s="811" t="s">
        <v>1764</v>
      </c>
      <c r="G300" s="811" t="s">
        <v>1727</v>
      </c>
      <c r="H300" s="811" t="s">
        <v>1728</v>
      </c>
      <c r="I300" s="811" t="s">
        <v>1729</v>
      </c>
      <c r="J300" s="813">
        <v>58300000</v>
      </c>
      <c r="K300" s="811" t="s">
        <v>1730</v>
      </c>
      <c r="L300" s="811" t="s">
        <v>1189</v>
      </c>
      <c r="M300" s="811" t="s">
        <v>1710</v>
      </c>
      <c r="N300" s="811" t="s">
        <v>1710</v>
      </c>
      <c r="O300" s="811" t="s">
        <v>1834</v>
      </c>
      <c r="P300" s="811" t="s">
        <v>1835</v>
      </c>
      <c r="Q300" s="811" t="s">
        <v>1733</v>
      </c>
    </row>
    <row r="301" spans="1:17" x14ac:dyDescent="0.3">
      <c r="A301" s="811" t="s">
        <v>1724</v>
      </c>
      <c r="B301" s="811" t="s">
        <v>2099</v>
      </c>
      <c r="C301" s="812">
        <v>88320000</v>
      </c>
      <c r="D301" s="811" t="s">
        <v>1505</v>
      </c>
      <c r="E301" s="811" t="s">
        <v>1505</v>
      </c>
      <c r="F301" s="811" t="s">
        <v>1764</v>
      </c>
      <c r="G301" s="811" t="s">
        <v>1727</v>
      </c>
      <c r="H301" s="811" t="s">
        <v>1728</v>
      </c>
      <c r="I301" s="811" t="s">
        <v>1729</v>
      </c>
      <c r="J301" s="813">
        <v>88320000</v>
      </c>
      <c r="K301" s="811" t="s">
        <v>1730</v>
      </c>
      <c r="L301" s="811" t="s">
        <v>1189</v>
      </c>
      <c r="M301" s="811" t="s">
        <v>1710</v>
      </c>
      <c r="N301" s="811" t="s">
        <v>1710</v>
      </c>
      <c r="O301" s="811" t="s">
        <v>1834</v>
      </c>
      <c r="P301" s="811" t="s">
        <v>1835</v>
      </c>
      <c r="Q301" s="811" t="s">
        <v>1733</v>
      </c>
    </row>
    <row r="302" spans="1:17" x14ac:dyDescent="0.3">
      <c r="A302" s="811" t="s">
        <v>1724</v>
      </c>
      <c r="B302" s="811" t="s">
        <v>2100</v>
      </c>
      <c r="C302" s="812">
        <v>33000000</v>
      </c>
      <c r="D302" s="811" t="s">
        <v>1501</v>
      </c>
      <c r="E302" s="811" t="s">
        <v>1501</v>
      </c>
      <c r="F302" s="811" t="s">
        <v>1764</v>
      </c>
      <c r="G302" s="811" t="s">
        <v>1727</v>
      </c>
      <c r="H302" s="811" t="s">
        <v>1728</v>
      </c>
      <c r="I302" s="811" t="s">
        <v>1729</v>
      </c>
      <c r="J302" s="813">
        <v>33000000</v>
      </c>
      <c r="K302" s="811" t="s">
        <v>1730</v>
      </c>
      <c r="L302" s="811" t="s">
        <v>1189</v>
      </c>
      <c r="M302" s="811" t="s">
        <v>1710</v>
      </c>
      <c r="N302" s="811" t="s">
        <v>1710</v>
      </c>
      <c r="O302" s="811" t="s">
        <v>1834</v>
      </c>
      <c r="P302" s="811" t="s">
        <v>1835</v>
      </c>
      <c r="Q302" s="811" t="s">
        <v>1733</v>
      </c>
    </row>
    <row r="303" spans="1:17" x14ac:dyDescent="0.3">
      <c r="A303" s="811" t="s">
        <v>1724</v>
      </c>
      <c r="B303" s="811" t="s">
        <v>2101</v>
      </c>
      <c r="C303" s="812">
        <v>33000000</v>
      </c>
      <c r="D303" s="811" t="s">
        <v>1501</v>
      </c>
      <c r="E303" s="811" t="s">
        <v>1501</v>
      </c>
      <c r="F303" s="811" t="s">
        <v>1764</v>
      </c>
      <c r="G303" s="811" t="s">
        <v>1727</v>
      </c>
      <c r="H303" s="811" t="s">
        <v>1728</v>
      </c>
      <c r="I303" s="811" t="s">
        <v>1729</v>
      </c>
      <c r="J303" s="813">
        <v>33000000</v>
      </c>
      <c r="K303" s="811" t="s">
        <v>1730</v>
      </c>
      <c r="L303" s="811" t="s">
        <v>1189</v>
      </c>
      <c r="M303" s="811" t="s">
        <v>1710</v>
      </c>
      <c r="N303" s="811" t="s">
        <v>1710</v>
      </c>
      <c r="O303" s="811" t="s">
        <v>1834</v>
      </c>
      <c r="P303" s="811" t="s">
        <v>1835</v>
      </c>
      <c r="Q303" s="811" t="s">
        <v>1733</v>
      </c>
    </row>
    <row r="304" spans="1:17" x14ac:dyDescent="0.3">
      <c r="A304" s="811" t="s">
        <v>1724</v>
      </c>
      <c r="B304" s="811" t="s">
        <v>2102</v>
      </c>
      <c r="C304" s="812">
        <v>33000000</v>
      </c>
      <c r="D304" s="811" t="s">
        <v>1501</v>
      </c>
      <c r="E304" s="811" t="s">
        <v>1501</v>
      </c>
      <c r="F304" s="811" t="s">
        <v>1764</v>
      </c>
      <c r="G304" s="811" t="s">
        <v>1727</v>
      </c>
      <c r="H304" s="811" t="s">
        <v>1728</v>
      </c>
      <c r="I304" s="811" t="s">
        <v>1729</v>
      </c>
      <c r="J304" s="813">
        <v>33000000</v>
      </c>
      <c r="K304" s="811" t="s">
        <v>1730</v>
      </c>
      <c r="L304" s="811" t="s">
        <v>1189</v>
      </c>
      <c r="M304" s="811" t="s">
        <v>1710</v>
      </c>
      <c r="N304" s="811" t="s">
        <v>1710</v>
      </c>
      <c r="O304" s="811" t="s">
        <v>1834</v>
      </c>
      <c r="P304" s="811" t="s">
        <v>1835</v>
      </c>
      <c r="Q304" s="811" t="s">
        <v>1733</v>
      </c>
    </row>
    <row r="305" spans="1:17" x14ac:dyDescent="0.3">
      <c r="A305" s="811" t="s">
        <v>1724</v>
      </c>
      <c r="B305" s="811" t="s">
        <v>2103</v>
      </c>
      <c r="C305" s="812">
        <v>33000000</v>
      </c>
      <c r="D305" s="811" t="s">
        <v>1501</v>
      </c>
      <c r="E305" s="811" t="s">
        <v>1501</v>
      </c>
      <c r="F305" s="811" t="s">
        <v>1764</v>
      </c>
      <c r="G305" s="811" t="s">
        <v>1727</v>
      </c>
      <c r="H305" s="811" t="s">
        <v>1728</v>
      </c>
      <c r="I305" s="811" t="s">
        <v>1729</v>
      </c>
      <c r="J305" s="813">
        <v>33000000</v>
      </c>
      <c r="K305" s="811" t="s">
        <v>1730</v>
      </c>
      <c r="L305" s="811" t="s">
        <v>1189</v>
      </c>
      <c r="M305" s="811" t="s">
        <v>1710</v>
      </c>
      <c r="N305" s="811" t="s">
        <v>1710</v>
      </c>
      <c r="O305" s="811" t="s">
        <v>1834</v>
      </c>
      <c r="P305" s="811" t="s">
        <v>1835</v>
      </c>
      <c r="Q305" s="811" t="s">
        <v>1733</v>
      </c>
    </row>
    <row r="306" spans="1:17" x14ac:dyDescent="0.3">
      <c r="A306" s="811" t="s">
        <v>1724</v>
      </c>
      <c r="B306" s="811" t="s">
        <v>2104</v>
      </c>
      <c r="C306" s="812">
        <v>42260948</v>
      </c>
      <c r="D306" s="811" t="s">
        <v>1495</v>
      </c>
      <c r="E306" s="811" t="s">
        <v>1495</v>
      </c>
      <c r="F306" s="811" t="s">
        <v>1747</v>
      </c>
      <c r="G306" s="811" t="s">
        <v>1727</v>
      </c>
      <c r="H306" s="811" t="s">
        <v>1728</v>
      </c>
      <c r="I306" s="811" t="s">
        <v>1729</v>
      </c>
      <c r="J306" s="813">
        <v>42260948</v>
      </c>
      <c r="K306" s="811" t="s">
        <v>1730</v>
      </c>
      <c r="L306" s="811" t="s">
        <v>1189</v>
      </c>
      <c r="M306" s="811" t="s">
        <v>1710</v>
      </c>
      <c r="N306" s="811" t="s">
        <v>1710</v>
      </c>
      <c r="O306" s="811" t="s">
        <v>1742</v>
      </c>
      <c r="P306" s="811" t="s">
        <v>1732</v>
      </c>
      <c r="Q306" s="811" t="s">
        <v>1743</v>
      </c>
    </row>
    <row r="307" spans="1:17" x14ac:dyDescent="0.3">
      <c r="A307" s="811" t="s">
        <v>1724</v>
      </c>
      <c r="B307" s="811" t="s">
        <v>2105</v>
      </c>
      <c r="C307" s="812">
        <v>39718800</v>
      </c>
      <c r="D307" s="811" t="s">
        <v>1495</v>
      </c>
      <c r="E307" s="811" t="s">
        <v>1495</v>
      </c>
      <c r="F307" s="811" t="s">
        <v>1747</v>
      </c>
      <c r="G307" s="811" t="s">
        <v>1727</v>
      </c>
      <c r="H307" s="811" t="s">
        <v>1728</v>
      </c>
      <c r="I307" s="811" t="s">
        <v>1729</v>
      </c>
      <c r="J307" s="813">
        <v>39718800</v>
      </c>
      <c r="K307" s="811" t="s">
        <v>1730</v>
      </c>
      <c r="L307" s="811" t="s">
        <v>1189</v>
      </c>
      <c r="M307" s="811" t="s">
        <v>1710</v>
      </c>
      <c r="N307" s="811" t="s">
        <v>1710</v>
      </c>
      <c r="O307" s="811" t="s">
        <v>1742</v>
      </c>
      <c r="P307" s="811" t="s">
        <v>1732</v>
      </c>
      <c r="Q307" s="811" t="s">
        <v>1743</v>
      </c>
    </row>
    <row r="308" spans="1:17" x14ac:dyDescent="0.3">
      <c r="A308" s="811" t="s">
        <v>1724</v>
      </c>
      <c r="B308" s="811" t="s">
        <v>2106</v>
      </c>
      <c r="C308" s="812">
        <v>39975144</v>
      </c>
      <c r="D308" s="811" t="s">
        <v>1505</v>
      </c>
      <c r="E308" s="811" t="s">
        <v>1505</v>
      </c>
      <c r="F308" s="811" t="s">
        <v>1726</v>
      </c>
      <c r="G308" s="811" t="s">
        <v>1727</v>
      </c>
      <c r="H308" s="811" t="s">
        <v>1728</v>
      </c>
      <c r="I308" s="811" t="s">
        <v>1729</v>
      </c>
      <c r="J308" s="813">
        <v>39975144</v>
      </c>
      <c r="K308" s="811" t="s">
        <v>1730</v>
      </c>
      <c r="L308" s="811" t="s">
        <v>1189</v>
      </c>
      <c r="M308" s="811" t="s">
        <v>1710</v>
      </c>
      <c r="N308" s="811" t="s">
        <v>1710</v>
      </c>
      <c r="O308" s="811" t="s">
        <v>1804</v>
      </c>
      <c r="P308" s="811" t="s">
        <v>1732</v>
      </c>
      <c r="Q308" s="811" t="s">
        <v>1739</v>
      </c>
    </row>
    <row r="309" spans="1:17" x14ac:dyDescent="0.3">
      <c r="A309" s="811" t="s">
        <v>1724</v>
      </c>
      <c r="B309" s="811" t="s">
        <v>2107</v>
      </c>
      <c r="C309" s="812">
        <v>40883670</v>
      </c>
      <c r="D309" s="811" t="s">
        <v>1505</v>
      </c>
      <c r="E309" s="811" t="s">
        <v>1505</v>
      </c>
      <c r="F309" s="811" t="s">
        <v>1760</v>
      </c>
      <c r="G309" s="811" t="s">
        <v>1727</v>
      </c>
      <c r="H309" s="811" t="s">
        <v>1728</v>
      </c>
      <c r="I309" s="811" t="s">
        <v>1729</v>
      </c>
      <c r="J309" s="813">
        <v>40883670</v>
      </c>
      <c r="K309" s="811" t="s">
        <v>1730</v>
      </c>
      <c r="L309" s="811" t="s">
        <v>1189</v>
      </c>
      <c r="M309" s="811" t="s">
        <v>1710</v>
      </c>
      <c r="N309" s="811" t="s">
        <v>1710</v>
      </c>
      <c r="O309" s="811" t="s">
        <v>1804</v>
      </c>
      <c r="P309" s="811" t="s">
        <v>1732</v>
      </c>
      <c r="Q309" s="811" t="s">
        <v>1739</v>
      </c>
    </row>
    <row r="310" spans="1:17" x14ac:dyDescent="0.3">
      <c r="A310" s="811" t="s">
        <v>1724</v>
      </c>
      <c r="B310" s="811" t="s">
        <v>2108</v>
      </c>
      <c r="C310" s="812">
        <v>68000000</v>
      </c>
      <c r="D310" s="811" t="s">
        <v>1505</v>
      </c>
      <c r="E310" s="811" t="s">
        <v>1505</v>
      </c>
      <c r="F310" s="811" t="s">
        <v>1726</v>
      </c>
      <c r="G310" s="811" t="s">
        <v>1727</v>
      </c>
      <c r="H310" s="811" t="s">
        <v>1728</v>
      </c>
      <c r="I310" s="811" t="s">
        <v>1729</v>
      </c>
      <c r="J310" s="813">
        <v>68000000</v>
      </c>
      <c r="K310" s="811" t="s">
        <v>1730</v>
      </c>
      <c r="L310" s="811" t="s">
        <v>1189</v>
      </c>
      <c r="M310" s="811" t="s">
        <v>1710</v>
      </c>
      <c r="N310" s="811" t="s">
        <v>1710</v>
      </c>
      <c r="O310" s="811" t="s">
        <v>1804</v>
      </c>
      <c r="P310" s="811" t="s">
        <v>1732</v>
      </c>
      <c r="Q310" s="811" t="s">
        <v>1739</v>
      </c>
    </row>
    <row r="311" spans="1:17" x14ac:dyDescent="0.3">
      <c r="A311" s="811" t="s">
        <v>1724</v>
      </c>
      <c r="B311" s="811" t="s">
        <v>2109</v>
      </c>
      <c r="C311" s="812">
        <v>18568000</v>
      </c>
      <c r="D311" s="811" t="s">
        <v>1505</v>
      </c>
      <c r="E311" s="811" t="s">
        <v>1505</v>
      </c>
      <c r="F311" s="811" t="s">
        <v>1726</v>
      </c>
      <c r="G311" s="811" t="s">
        <v>1727</v>
      </c>
      <c r="H311" s="811" t="s">
        <v>1728</v>
      </c>
      <c r="I311" s="811" t="s">
        <v>1729</v>
      </c>
      <c r="J311" s="813">
        <v>18568000</v>
      </c>
      <c r="K311" s="811" t="s">
        <v>1730</v>
      </c>
      <c r="L311" s="811" t="s">
        <v>1189</v>
      </c>
      <c r="M311" s="811" t="s">
        <v>1710</v>
      </c>
      <c r="N311" s="811" t="s">
        <v>1710</v>
      </c>
      <c r="O311" s="811" t="s">
        <v>1804</v>
      </c>
      <c r="P311" s="811" t="s">
        <v>1732</v>
      </c>
      <c r="Q311" s="811" t="s">
        <v>1739</v>
      </c>
    </row>
    <row r="312" spans="1:17" x14ac:dyDescent="0.3">
      <c r="A312" s="811" t="s">
        <v>1724</v>
      </c>
      <c r="B312" s="811" t="s">
        <v>2110</v>
      </c>
      <c r="C312" s="812">
        <v>62341552</v>
      </c>
      <c r="D312" s="811" t="s">
        <v>1495</v>
      </c>
      <c r="E312" s="811" t="s">
        <v>1505</v>
      </c>
      <c r="F312" s="811" t="s">
        <v>1773</v>
      </c>
      <c r="G312" s="811" t="s">
        <v>1727</v>
      </c>
      <c r="H312" s="811" t="s">
        <v>1728</v>
      </c>
      <c r="I312" s="811" t="s">
        <v>1729</v>
      </c>
      <c r="J312" s="813">
        <v>62341552</v>
      </c>
      <c r="K312" s="811" t="s">
        <v>1730</v>
      </c>
      <c r="L312" s="811" t="s">
        <v>1189</v>
      </c>
      <c r="M312" s="811" t="s">
        <v>1710</v>
      </c>
      <c r="N312" s="811" t="s">
        <v>1710</v>
      </c>
      <c r="O312" s="811" t="s">
        <v>1774</v>
      </c>
      <c r="P312" s="811" t="s">
        <v>1732</v>
      </c>
      <c r="Q312" s="811" t="s">
        <v>1775</v>
      </c>
    </row>
    <row r="313" spans="1:17" x14ac:dyDescent="0.3">
      <c r="A313" s="811" t="s">
        <v>1724</v>
      </c>
      <c r="B313" s="811" t="s">
        <v>2111</v>
      </c>
      <c r="C313" s="812">
        <v>55300000</v>
      </c>
      <c r="D313" s="811" t="s">
        <v>1495</v>
      </c>
      <c r="E313" s="811" t="s">
        <v>1505</v>
      </c>
      <c r="F313" s="811" t="s">
        <v>1773</v>
      </c>
      <c r="G313" s="811" t="s">
        <v>1727</v>
      </c>
      <c r="H313" s="811" t="s">
        <v>1728</v>
      </c>
      <c r="I313" s="811" t="s">
        <v>1729</v>
      </c>
      <c r="J313" s="813">
        <v>55300000</v>
      </c>
      <c r="K313" s="811" t="s">
        <v>1730</v>
      </c>
      <c r="L313" s="811" t="s">
        <v>1189</v>
      </c>
      <c r="M313" s="811" t="s">
        <v>1710</v>
      </c>
      <c r="N313" s="811" t="s">
        <v>1710</v>
      </c>
      <c r="O313" s="811" t="s">
        <v>1774</v>
      </c>
      <c r="P313" s="811" t="s">
        <v>1732</v>
      </c>
      <c r="Q313" s="811" t="s">
        <v>1775</v>
      </c>
    </row>
    <row r="314" spans="1:17" x14ac:dyDescent="0.3">
      <c r="A314" s="811" t="s">
        <v>1724</v>
      </c>
      <c r="B314" s="811" t="s">
        <v>2112</v>
      </c>
      <c r="C314" s="812">
        <v>42745500</v>
      </c>
      <c r="D314" s="811" t="s">
        <v>1505</v>
      </c>
      <c r="E314" s="811" t="s">
        <v>1505</v>
      </c>
      <c r="F314" s="811" t="s">
        <v>1773</v>
      </c>
      <c r="G314" s="811" t="s">
        <v>1727</v>
      </c>
      <c r="H314" s="811" t="s">
        <v>1728</v>
      </c>
      <c r="I314" s="811" t="s">
        <v>1729</v>
      </c>
      <c r="J314" s="813">
        <v>42745500</v>
      </c>
      <c r="K314" s="811" t="s">
        <v>1730</v>
      </c>
      <c r="L314" s="811" t="s">
        <v>1189</v>
      </c>
      <c r="M314" s="811" t="s">
        <v>1710</v>
      </c>
      <c r="N314" s="811" t="s">
        <v>1710</v>
      </c>
      <c r="O314" s="811" t="s">
        <v>1774</v>
      </c>
      <c r="P314" s="811" t="s">
        <v>1732</v>
      </c>
      <c r="Q314" s="811" t="s">
        <v>1775</v>
      </c>
    </row>
    <row r="315" spans="1:17" x14ac:dyDescent="0.3">
      <c r="A315" s="811" t="s">
        <v>1724</v>
      </c>
      <c r="B315" s="811" t="s">
        <v>2113</v>
      </c>
      <c r="C315" s="812">
        <v>26400000</v>
      </c>
      <c r="D315" s="811" t="s">
        <v>1505</v>
      </c>
      <c r="E315" s="811" t="s">
        <v>1505</v>
      </c>
      <c r="F315" s="811" t="s">
        <v>1726</v>
      </c>
      <c r="G315" s="811" t="s">
        <v>1727</v>
      </c>
      <c r="H315" s="811" t="s">
        <v>1728</v>
      </c>
      <c r="I315" s="811" t="s">
        <v>1729</v>
      </c>
      <c r="J315" s="813">
        <v>26400000</v>
      </c>
      <c r="K315" s="811" t="s">
        <v>1730</v>
      </c>
      <c r="L315" s="811" t="s">
        <v>1189</v>
      </c>
      <c r="M315" s="811" t="s">
        <v>1710</v>
      </c>
      <c r="N315" s="811" t="s">
        <v>1710</v>
      </c>
      <c r="O315" s="811" t="s">
        <v>1774</v>
      </c>
      <c r="P315" s="811" t="s">
        <v>1732</v>
      </c>
      <c r="Q315" s="811" t="s">
        <v>1775</v>
      </c>
    </row>
    <row r="316" spans="1:17" x14ac:dyDescent="0.3">
      <c r="A316" s="811" t="s">
        <v>1724</v>
      </c>
      <c r="B316" s="811" t="s">
        <v>2114</v>
      </c>
      <c r="C316" s="812">
        <v>47092500</v>
      </c>
      <c r="D316" s="811" t="s">
        <v>1505</v>
      </c>
      <c r="E316" s="811" t="s">
        <v>1505</v>
      </c>
      <c r="F316" s="811" t="s">
        <v>1773</v>
      </c>
      <c r="G316" s="811" t="s">
        <v>1727</v>
      </c>
      <c r="H316" s="811" t="s">
        <v>1728</v>
      </c>
      <c r="I316" s="811" t="s">
        <v>1729</v>
      </c>
      <c r="J316" s="813">
        <v>47092500</v>
      </c>
      <c r="K316" s="811" t="s">
        <v>1730</v>
      </c>
      <c r="L316" s="811" t="s">
        <v>1189</v>
      </c>
      <c r="M316" s="811" t="s">
        <v>1710</v>
      </c>
      <c r="N316" s="811" t="s">
        <v>1710</v>
      </c>
      <c r="O316" s="811" t="s">
        <v>1774</v>
      </c>
      <c r="P316" s="811" t="s">
        <v>1732</v>
      </c>
      <c r="Q316" s="811" t="s">
        <v>1775</v>
      </c>
    </row>
    <row r="317" spans="1:17" x14ac:dyDescent="0.3">
      <c r="A317" s="811" t="s">
        <v>1724</v>
      </c>
      <c r="B317" s="811" t="s">
        <v>2115</v>
      </c>
      <c r="C317" s="812">
        <v>28152000</v>
      </c>
      <c r="D317" s="811" t="s">
        <v>1505</v>
      </c>
      <c r="E317" s="811" t="s">
        <v>1505</v>
      </c>
      <c r="F317" s="811" t="s">
        <v>1726</v>
      </c>
      <c r="G317" s="811" t="s">
        <v>1727</v>
      </c>
      <c r="H317" s="811" t="s">
        <v>1728</v>
      </c>
      <c r="I317" s="811" t="s">
        <v>1729</v>
      </c>
      <c r="J317" s="813">
        <v>28152000</v>
      </c>
      <c r="K317" s="811" t="s">
        <v>1730</v>
      </c>
      <c r="L317" s="811" t="s">
        <v>1189</v>
      </c>
      <c r="M317" s="811" t="s">
        <v>1710</v>
      </c>
      <c r="N317" s="811" t="s">
        <v>1710</v>
      </c>
      <c r="O317" s="811" t="s">
        <v>1774</v>
      </c>
      <c r="P317" s="811" t="s">
        <v>1732</v>
      </c>
      <c r="Q317" s="811" t="s">
        <v>1775</v>
      </c>
    </row>
    <row r="318" spans="1:17" x14ac:dyDescent="0.3">
      <c r="A318" s="811" t="s">
        <v>1724</v>
      </c>
      <c r="B318" s="811" t="s">
        <v>2116</v>
      </c>
      <c r="C318" s="812">
        <v>47092500</v>
      </c>
      <c r="D318" s="811" t="s">
        <v>1495</v>
      </c>
      <c r="E318" s="811" t="s">
        <v>1505</v>
      </c>
      <c r="F318" s="811" t="s">
        <v>1773</v>
      </c>
      <c r="G318" s="811" t="s">
        <v>1727</v>
      </c>
      <c r="H318" s="811" t="s">
        <v>1728</v>
      </c>
      <c r="I318" s="811" t="s">
        <v>1729</v>
      </c>
      <c r="J318" s="813">
        <v>47092500</v>
      </c>
      <c r="K318" s="811" t="s">
        <v>1730</v>
      </c>
      <c r="L318" s="811" t="s">
        <v>1189</v>
      </c>
      <c r="M318" s="811" t="s">
        <v>1710</v>
      </c>
      <c r="N318" s="811" t="s">
        <v>1710</v>
      </c>
      <c r="O318" s="811" t="s">
        <v>1774</v>
      </c>
      <c r="P318" s="811" t="s">
        <v>1732</v>
      </c>
      <c r="Q318" s="811" t="s">
        <v>1775</v>
      </c>
    </row>
    <row r="319" spans="1:17" x14ac:dyDescent="0.3">
      <c r="A319" s="811" t="s">
        <v>1724</v>
      </c>
      <c r="B319" s="811" t="s">
        <v>2117</v>
      </c>
      <c r="C319" s="812">
        <v>34850000</v>
      </c>
      <c r="D319" s="811" t="s">
        <v>1611</v>
      </c>
      <c r="E319" s="811" t="s">
        <v>1611</v>
      </c>
      <c r="F319" s="811" t="s">
        <v>1741</v>
      </c>
      <c r="G319" s="811" t="s">
        <v>1727</v>
      </c>
      <c r="H319" s="811" t="s">
        <v>1728</v>
      </c>
      <c r="I319" s="811" t="s">
        <v>1729</v>
      </c>
      <c r="J319" s="813">
        <v>34850000</v>
      </c>
      <c r="K319" s="811" t="s">
        <v>1730</v>
      </c>
      <c r="L319" s="811" t="s">
        <v>1189</v>
      </c>
      <c r="M319" s="811" t="s">
        <v>1710</v>
      </c>
      <c r="N319" s="811" t="s">
        <v>1710</v>
      </c>
      <c r="O319" s="811" t="s">
        <v>1742</v>
      </c>
      <c r="P319" s="811" t="s">
        <v>1732</v>
      </c>
      <c r="Q319" s="811" t="s">
        <v>1743</v>
      </c>
    </row>
    <row r="320" spans="1:17" x14ac:dyDescent="0.3">
      <c r="A320" s="811" t="s">
        <v>1724</v>
      </c>
      <c r="B320" s="811" t="s">
        <v>2118</v>
      </c>
      <c r="C320" s="812">
        <v>34850000</v>
      </c>
      <c r="D320" s="811" t="s">
        <v>1611</v>
      </c>
      <c r="E320" s="811" t="s">
        <v>1611</v>
      </c>
      <c r="F320" s="811" t="s">
        <v>1741</v>
      </c>
      <c r="G320" s="811" t="s">
        <v>1727</v>
      </c>
      <c r="H320" s="811" t="s">
        <v>1728</v>
      </c>
      <c r="I320" s="811" t="s">
        <v>1729</v>
      </c>
      <c r="J320" s="813">
        <v>34850000</v>
      </c>
      <c r="K320" s="811" t="s">
        <v>1730</v>
      </c>
      <c r="L320" s="811" t="s">
        <v>1189</v>
      </c>
      <c r="M320" s="811" t="s">
        <v>1710</v>
      </c>
      <c r="N320" s="811" t="s">
        <v>1710</v>
      </c>
      <c r="O320" s="811" t="s">
        <v>1742</v>
      </c>
      <c r="P320" s="811" t="s">
        <v>1732</v>
      </c>
      <c r="Q320" s="811" t="s">
        <v>1743</v>
      </c>
    </row>
    <row r="321" spans="1:17" x14ac:dyDescent="0.3">
      <c r="A321" s="811" t="s">
        <v>1724</v>
      </c>
      <c r="B321" s="811" t="s">
        <v>2119</v>
      </c>
      <c r="C321" s="812">
        <v>34850000</v>
      </c>
      <c r="D321" s="811" t="s">
        <v>1611</v>
      </c>
      <c r="E321" s="811" t="s">
        <v>1611</v>
      </c>
      <c r="F321" s="811" t="s">
        <v>1741</v>
      </c>
      <c r="G321" s="811" t="s">
        <v>1727</v>
      </c>
      <c r="H321" s="811" t="s">
        <v>1728</v>
      </c>
      <c r="I321" s="811" t="s">
        <v>1729</v>
      </c>
      <c r="J321" s="813">
        <v>34850000</v>
      </c>
      <c r="K321" s="811" t="s">
        <v>1730</v>
      </c>
      <c r="L321" s="811" t="s">
        <v>1189</v>
      </c>
      <c r="M321" s="811" t="s">
        <v>1710</v>
      </c>
      <c r="N321" s="811" t="s">
        <v>1710</v>
      </c>
      <c r="O321" s="811" t="s">
        <v>1742</v>
      </c>
      <c r="P321" s="811" t="s">
        <v>1732</v>
      </c>
      <c r="Q321" s="811" t="s">
        <v>1743</v>
      </c>
    </row>
    <row r="322" spans="1:17" x14ac:dyDescent="0.3">
      <c r="A322" s="811" t="s">
        <v>1724</v>
      </c>
      <c r="B322" s="811" t="s">
        <v>2120</v>
      </c>
      <c r="C322" s="812">
        <v>34850000</v>
      </c>
      <c r="D322" s="811" t="s">
        <v>1611</v>
      </c>
      <c r="E322" s="811" t="s">
        <v>1611</v>
      </c>
      <c r="F322" s="811" t="s">
        <v>1741</v>
      </c>
      <c r="G322" s="811" t="s">
        <v>1727</v>
      </c>
      <c r="H322" s="811" t="s">
        <v>1728</v>
      </c>
      <c r="I322" s="811" t="s">
        <v>1729</v>
      </c>
      <c r="J322" s="813">
        <v>34850000</v>
      </c>
      <c r="K322" s="811" t="s">
        <v>1730</v>
      </c>
      <c r="L322" s="811" t="s">
        <v>1189</v>
      </c>
      <c r="M322" s="811" t="s">
        <v>1710</v>
      </c>
      <c r="N322" s="811" t="s">
        <v>1710</v>
      </c>
      <c r="O322" s="811" t="s">
        <v>1742</v>
      </c>
      <c r="P322" s="811" t="s">
        <v>1732</v>
      </c>
      <c r="Q322" s="811" t="s">
        <v>1743</v>
      </c>
    </row>
    <row r="323" spans="1:17" x14ac:dyDescent="0.3">
      <c r="A323" s="811" t="s">
        <v>1724</v>
      </c>
      <c r="B323" s="811" t="s">
        <v>2121</v>
      </c>
      <c r="C323" s="812">
        <v>32300000</v>
      </c>
      <c r="D323" s="811" t="s">
        <v>1611</v>
      </c>
      <c r="E323" s="811" t="s">
        <v>1611</v>
      </c>
      <c r="F323" s="811" t="s">
        <v>1741</v>
      </c>
      <c r="G323" s="811" t="s">
        <v>1727</v>
      </c>
      <c r="H323" s="811" t="s">
        <v>1728</v>
      </c>
      <c r="I323" s="811" t="s">
        <v>1729</v>
      </c>
      <c r="J323" s="813">
        <v>32300000</v>
      </c>
      <c r="K323" s="811" t="s">
        <v>1730</v>
      </c>
      <c r="L323" s="811" t="s">
        <v>1189</v>
      </c>
      <c r="M323" s="811" t="s">
        <v>1710</v>
      </c>
      <c r="N323" s="811" t="s">
        <v>1710</v>
      </c>
      <c r="O323" s="811" t="s">
        <v>1742</v>
      </c>
      <c r="P323" s="811" t="s">
        <v>1732</v>
      </c>
      <c r="Q323" s="811" t="s">
        <v>1743</v>
      </c>
    </row>
    <row r="324" spans="1:17" x14ac:dyDescent="0.3">
      <c r="A324" s="811" t="s">
        <v>1724</v>
      </c>
      <c r="B324" s="811" t="s">
        <v>2122</v>
      </c>
      <c r="C324" s="812">
        <v>32300000</v>
      </c>
      <c r="D324" s="811" t="s">
        <v>1611</v>
      </c>
      <c r="E324" s="811" t="s">
        <v>1611</v>
      </c>
      <c r="F324" s="811" t="s">
        <v>1741</v>
      </c>
      <c r="G324" s="811" t="s">
        <v>1727</v>
      </c>
      <c r="H324" s="811" t="s">
        <v>1728</v>
      </c>
      <c r="I324" s="811" t="s">
        <v>1729</v>
      </c>
      <c r="J324" s="813">
        <v>32300000</v>
      </c>
      <c r="K324" s="811" t="s">
        <v>1730</v>
      </c>
      <c r="L324" s="811" t="s">
        <v>1189</v>
      </c>
      <c r="M324" s="811" t="s">
        <v>1710</v>
      </c>
      <c r="N324" s="811" t="s">
        <v>1710</v>
      </c>
      <c r="O324" s="811" t="s">
        <v>1742</v>
      </c>
      <c r="P324" s="811" t="s">
        <v>1732</v>
      </c>
      <c r="Q324" s="811" t="s">
        <v>1743</v>
      </c>
    </row>
    <row r="325" spans="1:17" x14ac:dyDescent="0.3">
      <c r="A325" s="811" t="s">
        <v>1724</v>
      </c>
      <c r="B325" s="811" t="s">
        <v>2123</v>
      </c>
      <c r="C325" s="812">
        <v>38250000</v>
      </c>
      <c r="D325" s="811" t="s">
        <v>1611</v>
      </c>
      <c r="E325" s="811" t="s">
        <v>1611</v>
      </c>
      <c r="F325" s="811" t="s">
        <v>1741</v>
      </c>
      <c r="G325" s="811" t="s">
        <v>1727</v>
      </c>
      <c r="H325" s="811" t="s">
        <v>1728</v>
      </c>
      <c r="I325" s="811" t="s">
        <v>1729</v>
      </c>
      <c r="J325" s="813">
        <v>38250000</v>
      </c>
      <c r="K325" s="811" t="s">
        <v>1730</v>
      </c>
      <c r="L325" s="811" t="s">
        <v>1189</v>
      </c>
      <c r="M325" s="811" t="s">
        <v>1710</v>
      </c>
      <c r="N325" s="811" t="s">
        <v>1710</v>
      </c>
      <c r="O325" s="811" t="s">
        <v>1742</v>
      </c>
      <c r="P325" s="811" t="s">
        <v>1732</v>
      </c>
      <c r="Q325" s="811" t="s">
        <v>1743</v>
      </c>
    </row>
    <row r="326" spans="1:17" x14ac:dyDescent="0.3">
      <c r="A326" s="811" t="s">
        <v>2124</v>
      </c>
      <c r="B326" s="811" t="s">
        <v>2125</v>
      </c>
      <c r="C326" s="812">
        <v>900000000</v>
      </c>
      <c r="D326" s="811" t="s">
        <v>1611</v>
      </c>
      <c r="E326" s="811" t="s">
        <v>1502</v>
      </c>
      <c r="F326" s="811" t="s">
        <v>1737</v>
      </c>
      <c r="G326" s="811" t="s">
        <v>1727</v>
      </c>
      <c r="H326" s="811" t="s">
        <v>2126</v>
      </c>
      <c r="I326" s="811" t="s">
        <v>1729</v>
      </c>
      <c r="J326" s="813">
        <v>900000000</v>
      </c>
      <c r="K326" s="811" t="s">
        <v>1730</v>
      </c>
      <c r="L326" s="811" t="s">
        <v>1189</v>
      </c>
      <c r="M326" s="811" t="s">
        <v>1710</v>
      </c>
      <c r="N326" s="811" t="s">
        <v>1710</v>
      </c>
      <c r="O326" s="811" t="s">
        <v>1731</v>
      </c>
      <c r="P326" s="811" t="s">
        <v>1732</v>
      </c>
      <c r="Q326" s="811" t="s">
        <v>1733</v>
      </c>
    </row>
    <row r="327" spans="1:17" x14ac:dyDescent="0.3">
      <c r="A327" s="811" t="s">
        <v>1724</v>
      </c>
      <c r="B327" s="811" t="s">
        <v>2127</v>
      </c>
      <c r="C327" s="812">
        <v>42400000</v>
      </c>
      <c r="D327" s="811" t="s">
        <v>1611</v>
      </c>
      <c r="E327" s="811" t="s">
        <v>1611</v>
      </c>
      <c r="F327" s="811" t="s">
        <v>1726</v>
      </c>
      <c r="G327" s="811" t="s">
        <v>1727</v>
      </c>
      <c r="H327" s="811" t="s">
        <v>1728</v>
      </c>
      <c r="I327" s="811" t="s">
        <v>1729</v>
      </c>
      <c r="J327" s="813">
        <v>42400000</v>
      </c>
      <c r="K327" s="811" t="s">
        <v>1730</v>
      </c>
      <c r="L327" s="811" t="s">
        <v>1189</v>
      </c>
      <c r="M327" s="811" t="s">
        <v>1710</v>
      </c>
      <c r="N327" s="811" t="s">
        <v>1710</v>
      </c>
      <c r="O327" s="811" t="s">
        <v>1731</v>
      </c>
      <c r="P327" s="811" t="s">
        <v>1732</v>
      </c>
      <c r="Q327" s="811" t="s">
        <v>1733</v>
      </c>
    </row>
    <row r="328" spans="1:17" x14ac:dyDescent="0.3">
      <c r="A328" s="811" t="s">
        <v>1724</v>
      </c>
      <c r="B328" s="811" t="s">
        <v>2128</v>
      </c>
      <c r="C328" s="812">
        <v>47200000</v>
      </c>
      <c r="D328" s="811" t="s">
        <v>1611</v>
      </c>
      <c r="E328" s="811" t="s">
        <v>1611</v>
      </c>
      <c r="F328" s="811" t="s">
        <v>1726</v>
      </c>
      <c r="G328" s="811" t="s">
        <v>1727</v>
      </c>
      <c r="H328" s="811" t="s">
        <v>1728</v>
      </c>
      <c r="I328" s="811" t="s">
        <v>1729</v>
      </c>
      <c r="J328" s="813">
        <v>47200000</v>
      </c>
      <c r="K328" s="811" t="s">
        <v>1730</v>
      </c>
      <c r="L328" s="811" t="s">
        <v>1189</v>
      </c>
      <c r="M328" s="811" t="s">
        <v>1710</v>
      </c>
      <c r="N328" s="811" t="s">
        <v>1710</v>
      </c>
      <c r="O328" s="811" t="s">
        <v>1731</v>
      </c>
      <c r="P328" s="811" t="s">
        <v>1732</v>
      </c>
      <c r="Q328" s="811" t="s">
        <v>1733</v>
      </c>
    </row>
    <row r="329" spans="1:17" x14ac:dyDescent="0.3">
      <c r="A329" s="811" t="s">
        <v>1724</v>
      </c>
      <c r="B329" s="811" t="s">
        <v>2129</v>
      </c>
      <c r="C329" s="812">
        <v>28800000</v>
      </c>
      <c r="D329" s="811" t="s">
        <v>1611</v>
      </c>
      <c r="E329" s="811" t="s">
        <v>1611</v>
      </c>
      <c r="F329" s="811" t="s">
        <v>1726</v>
      </c>
      <c r="G329" s="811" t="s">
        <v>1727</v>
      </c>
      <c r="H329" s="811" t="s">
        <v>1728</v>
      </c>
      <c r="I329" s="811" t="s">
        <v>1729</v>
      </c>
      <c r="J329" s="813">
        <v>28800000</v>
      </c>
      <c r="K329" s="811" t="s">
        <v>1730</v>
      </c>
      <c r="L329" s="811" t="s">
        <v>1189</v>
      </c>
      <c r="M329" s="811" t="s">
        <v>1710</v>
      </c>
      <c r="N329" s="811" t="s">
        <v>1710</v>
      </c>
      <c r="O329" s="811" t="s">
        <v>1731</v>
      </c>
      <c r="P329" s="811" t="s">
        <v>1732</v>
      </c>
      <c r="Q329" s="811" t="s">
        <v>1733</v>
      </c>
    </row>
    <row r="330" spans="1:17" x14ac:dyDescent="0.3">
      <c r="A330" s="811" t="s">
        <v>1724</v>
      </c>
      <c r="B330" s="811" t="s">
        <v>2130</v>
      </c>
      <c r="C330" s="812">
        <v>20000000</v>
      </c>
      <c r="D330" s="811" t="s">
        <v>1611</v>
      </c>
      <c r="E330" s="811" t="s">
        <v>1611</v>
      </c>
      <c r="F330" s="811" t="s">
        <v>1726</v>
      </c>
      <c r="G330" s="811" t="s">
        <v>1727</v>
      </c>
      <c r="H330" s="811" t="s">
        <v>1728</v>
      </c>
      <c r="I330" s="811" t="s">
        <v>1729</v>
      </c>
      <c r="J330" s="813">
        <v>20000000</v>
      </c>
      <c r="K330" s="811" t="s">
        <v>1730</v>
      </c>
      <c r="L330" s="811" t="s">
        <v>1189</v>
      </c>
      <c r="M330" s="811" t="s">
        <v>1710</v>
      </c>
      <c r="N330" s="811" t="s">
        <v>1710</v>
      </c>
      <c r="O330" s="811" t="s">
        <v>1731</v>
      </c>
      <c r="P330" s="811" t="s">
        <v>1732</v>
      </c>
      <c r="Q330" s="811" t="s">
        <v>1733</v>
      </c>
    </row>
    <row r="331" spans="1:17" x14ac:dyDescent="0.3">
      <c r="A331" s="811" t="s">
        <v>1724</v>
      </c>
      <c r="B331" s="811" t="s">
        <v>2131</v>
      </c>
      <c r="C331" s="812">
        <v>28700000</v>
      </c>
      <c r="D331" s="811" t="s">
        <v>1505</v>
      </c>
      <c r="E331" s="811" t="s">
        <v>1505</v>
      </c>
      <c r="F331" s="811" t="s">
        <v>1760</v>
      </c>
      <c r="G331" s="811" t="s">
        <v>1727</v>
      </c>
      <c r="H331" s="811" t="s">
        <v>1728</v>
      </c>
      <c r="I331" s="811" t="s">
        <v>1729</v>
      </c>
      <c r="J331" s="813">
        <v>28700000</v>
      </c>
      <c r="K331" s="811" t="s">
        <v>1730</v>
      </c>
      <c r="L331" s="811" t="s">
        <v>1189</v>
      </c>
      <c r="M331" s="811" t="s">
        <v>1710</v>
      </c>
      <c r="N331" s="811" t="s">
        <v>1710</v>
      </c>
      <c r="O331" s="811" t="s">
        <v>1779</v>
      </c>
      <c r="P331" s="811" t="s">
        <v>1732</v>
      </c>
      <c r="Q331" s="811" t="s">
        <v>1780</v>
      </c>
    </row>
    <row r="332" spans="1:17" x14ac:dyDescent="0.3">
      <c r="A332" s="811" t="s">
        <v>1724</v>
      </c>
      <c r="B332" s="811" t="s">
        <v>2132</v>
      </c>
      <c r="C332" s="812">
        <v>32232315</v>
      </c>
      <c r="D332" s="811" t="s">
        <v>1495</v>
      </c>
      <c r="E332" s="811" t="s">
        <v>1495</v>
      </c>
      <c r="F332" s="811" t="s">
        <v>1747</v>
      </c>
      <c r="G332" s="811" t="s">
        <v>1727</v>
      </c>
      <c r="H332" s="811" t="s">
        <v>1728</v>
      </c>
      <c r="I332" s="811" t="s">
        <v>1729</v>
      </c>
      <c r="J332" s="813">
        <v>32232315</v>
      </c>
      <c r="K332" s="811" t="s">
        <v>1730</v>
      </c>
      <c r="L332" s="811" t="s">
        <v>1189</v>
      </c>
      <c r="M332" s="811" t="s">
        <v>1710</v>
      </c>
      <c r="N332" s="811" t="s">
        <v>1710</v>
      </c>
      <c r="O332" s="811" t="s">
        <v>1779</v>
      </c>
      <c r="P332" s="811" t="s">
        <v>1732</v>
      </c>
      <c r="Q332" s="811" t="s">
        <v>1780</v>
      </c>
    </row>
    <row r="333" spans="1:17" x14ac:dyDescent="0.3">
      <c r="A333" s="811" t="s">
        <v>1724</v>
      </c>
      <c r="B333" s="811" t="s">
        <v>2133</v>
      </c>
      <c r="C333" s="812">
        <v>51586233</v>
      </c>
      <c r="D333" s="811" t="s">
        <v>1505</v>
      </c>
      <c r="E333" s="811" t="s">
        <v>1505</v>
      </c>
      <c r="F333" s="811" t="s">
        <v>1760</v>
      </c>
      <c r="G333" s="811" t="s">
        <v>1727</v>
      </c>
      <c r="H333" s="811" t="s">
        <v>1728</v>
      </c>
      <c r="I333" s="811" t="s">
        <v>1729</v>
      </c>
      <c r="J333" s="813">
        <v>51586233</v>
      </c>
      <c r="K333" s="811" t="s">
        <v>1730</v>
      </c>
      <c r="L333" s="811" t="s">
        <v>1189</v>
      </c>
      <c r="M333" s="811" t="s">
        <v>1710</v>
      </c>
      <c r="N333" s="811" t="s">
        <v>1710</v>
      </c>
      <c r="O333" s="811" t="s">
        <v>1779</v>
      </c>
      <c r="P333" s="811" t="s">
        <v>1732</v>
      </c>
      <c r="Q333" s="811" t="s">
        <v>1780</v>
      </c>
    </row>
    <row r="334" spans="1:17" x14ac:dyDescent="0.3">
      <c r="A334" s="811" t="s">
        <v>1724</v>
      </c>
      <c r="B334" s="811" t="s">
        <v>2134</v>
      </c>
      <c r="C334" s="812">
        <v>28200000</v>
      </c>
      <c r="D334" s="811" t="s">
        <v>1509</v>
      </c>
      <c r="E334" s="811" t="s">
        <v>1509</v>
      </c>
      <c r="F334" s="811" t="s">
        <v>1737</v>
      </c>
      <c r="G334" s="811" t="s">
        <v>1727</v>
      </c>
      <c r="H334" s="811" t="s">
        <v>1728</v>
      </c>
      <c r="I334" s="811" t="s">
        <v>1729</v>
      </c>
      <c r="J334" s="813">
        <v>28200000</v>
      </c>
      <c r="K334" s="811" t="s">
        <v>1730</v>
      </c>
      <c r="L334" s="811" t="s">
        <v>1189</v>
      </c>
      <c r="M334" s="811" t="s">
        <v>1710</v>
      </c>
      <c r="N334" s="811" t="s">
        <v>1710</v>
      </c>
      <c r="O334" s="811" t="s">
        <v>1779</v>
      </c>
      <c r="P334" s="811" t="s">
        <v>1732</v>
      </c>
      <c r="Q334" s="811" t="s">
        <v>1780</v>
      </c>
    </row>
    <row r="335" spans="1:17" x14ac:dyDescent="0.3">
      <c r="A335" s="811" t="s">
        <v>1724</v>
      </c>
      <c r="B335" s="811" t="s">
        <v>2135</v>
      </c>
      <c r="C335" s="812">
        <v>39500000</v>
      </c>
      <c r="D335" s="811" t="s">
        <v>1505</v>
      </c>
      <c r="E335" s="811" t="s">
        <v>1505</v>
      </c>
      <c r="F335" s="811" t="s">
        <v>1760</v>
      </c>
      <c r="G335" s="811" t="s">
        <v>1727</v>
      </c>
      <c r="H335" s="811" t="s">
        <v>1728</v>
      </c>
      <c r="I335" s="811" t="s">
        <v>1729</v>
      </c>
      <c r="J335" s="813">
        <v>39500000</v>
      </c>
      <c r="K335" s="811" t="s">
        <v>1730</v>
      </c>
      <c r="L335" s="811" t="s">
        <v>1189</v>
      </c>
      <c r="M335" s="811" t="s">
        <v>1710</v>
      </c>
      <c r="N335" s="811" t="s">
        <v>1710</v>
      </c>
      <c r="O335" s="811" t="s">
        <v>1844</v>
      </c>
      <c r="P335" s="811" t="s">
        <v>1732</v>
      </c>
      <c r="Q335" s="811" t="s">
        <v>1780</v>
      </c>
    </row>
    <row r="336" spans="1:17" x14ac:dyDescent="0.3">
      <c r="A336" s="811" t="s">
        <v>1724</v>
      </c>
      <c r="B336" s="811" t="s">
        <v>2136</v>
      </c>
      <c r="C336" s="812">
        <v>27000000</v>
      </c>
      <c r="D336" s="811" t="s">
        <v>1501</v>
      </c>
      <c r="E336" s="811" t="s">
        <v>1501</v>
      </c>
      <c r="F336" s="811" t="s">
        <v>1741</v>
      </c>
      <c r="G336" s="811" t="s">
        <v>1727</v>
      </c>
      <c r="H336" s="811" t="s">
        <v>1728</v>
      </c>
      <c r="I336" s="811" t="s">
        <v>1729</v>
      </c>
      <c r="J336" s="813">
        <v>27000000</v>
      </c>
      <c r="K336" s="811" t="s">
        <v>1730</v>
      </c>
      <c r="L336" s="811" t="s">
        <v>1189</v>
      </c>
      <c r="M336" s="811" t="s">
        <v>1710</v>
      </c>
      <c r="N336" s="811" t="s">
        <v>1710</v>
      </c>
      <c r="O336" s="811" t="s">
        <v>1844</v>
      </c>
      <c r="P336" s="811" t="s">
        <v>1732</v>
      </c>
      <c r="Q336" s="811" t="s">
        <v>1780</v>
      </c>
    </row>
    <row r="337" spans="1:17" x14ac:dyDescent="0.3">
      <c r="A337" s="811" t="s">
        <v>1724</v>
      </c>
      <c r="B337" s="811" t="s">
        <v>2137</v>
      </c>
      <c r="C337" s="812">
        <v>38377800</v>
      </c>
      <c r="D337" s="811" t="s">
        <v>1505</v>
      </c>
      <c r="E337" s="811" t="s">
        <v>1505</v>
      </c>
      <c r="F337" s="811" t="s">
        <v>1726</v>
      </c>
      <c r="G337" s="811" t="s">
        <v>1727</v>
      </c>
      <c r="H337" s="811" t="s">
        <v>1728</v>
      </c>
      <c r="I337" s="811" t="s">
        <v>1729</v>
      </c>
      <c r="J337" s="813">
        <v>38377800</v>
      </c>
      <c r="K337" s="811" t="s">
        <v>1730</v>
      </c>
      <c r="L337" s="811" t="s">
        <v>1189</v>
      </c>
      <c r="M337" s="811" t="s">
        <v>1710</v>
      </c>
      <c r="N337" s="811" t="s">
        <v>1710</v>
      </c>
      <c r="O337" s="811" t="s">
        <v>1774</v>
      </c>
      <c r="P337" s="811" t="s">
        <v>1732</v>
      </c>
      <c r="Q337" s="811" t="s">
        <v>1775</v>
      </c>
    </row>
    <row r="338" spans="1:17" x14ac:dyDescent="0.3">
      <c r="A338" s="811" t="s">
        <v>1724</v>
      </c>
      <c r="B338" s="811" t="s">
        <v>2138</v>
      </c>
      <c r="C338" s="812">
        <v>32706000</v>
      </c>
      <c r="D338" s="811" t="s">
        <v>1495</v>
      </c>
      <c r="E338" s="811" t="s">
        <v>1505</v>
      </c>
      <c r="F338" s="811" t="s">
        <v>1726</v>
      </c>
      <c r="G338" s="811" t="s">
        <v>1727</v>
      </c>
      <c r="H338" s="811" t="s">
        <v>1728</v>
      </c>
      <c r="I338" s="811" t="s">
        <v>1729</v>
      </c>
      <c r="J338" s="813">
        <v>32706000</v>
      </c>
      <c r="K338" s="811" t="s">
        <v>1730</v>
      </c>
      <c r="L338" s="811" t="s">
        <v>1189</v>
      </c>
      <c r="M338" s="811" t="s">
        <v>1710</v>
      </c>
      <c r="N338" s="811" t="s">
        <v>1710</v>
      </c>
      <c r="O338" s="811" t="s">
        <v>1774</v>
      </c>
      <c r="P338" s="811" t="s">
        <v>1732</v>
      </c>
      <c r="Q338" s="811" t="s">
        <v>1775</v>
      </c>
    </row>
    <row r="339" spans="1:17" x14ac:dyDescent="0.3">
      <c r="A339" s="811" t="s">
        <v>1724</v>
      </c>
      <c r="B339" s="811" t="s">
        <v>2139</v>
      </c>
      <c r="C339" s="812">
        <v>37612975</v>
      </c>
      <c r="D339" s="811" t="s">
        <v>1505</v>
      </c>
      <c r="E339" s="811" t="s">
        <v>1505</v>
      </c>
      <c r="F339" s="811" t="s">
        <v>1741</v>
      </c>
      <c r="G339" s="811" t="s">
        <v>1727</v>
      </c>
      <c r="H339" s="811" t="s">
        <v>1728</v>
      </c>
      <c r="I339" s="811" t="s">
        <v>1729</v>
      </c>
      <c r="J339" s="813">
        <v>37612975</v>
      </c>
      <c r="K339" s="811" t="s">
        <v>1730</v>
      </c>
      <c r="L339" s="811" t="s">
        <v>1189</v>
      </c>
      <c r="M339" s="811" t="s">
        <v>1710</v>
      </c>
      <c r="N339" s="811" t="s">
        <v>1710</v>
      </c>
      <c r="O339" s="811" t="s">
        <v>1920</v>
      </c>
      <c r="P339" s="811" t="s">
        <v>1732</v>
      </c>
      <c r="Q339" s="811" t="s">
        <v>1785</v>
      </c>
    </row>
    <row r="340" spans="1:17" x14ac:dyDescent="0.3">
      <c r="A340" s="811" t="s">
        <v>1724</v>
      </c>
      <c r="B340" s="811" t="s">
        <v>2140</v>
      </c>
      <c r="C340" s="812">
        <v>18568000</v>
      </c>
      <c r="D340" s="811" t="s">
        <v>1505</v>
      </c>
      <c r="E340" s="811" t="s">
        <v>1505</v>
      </c>
      <c r="F340" s="811" t="s">
        <v>1726</v>
      </c>
      <c r="G340" s="811" t="s">
        <v>1727</v>
      </c>
      <c r="H340" s="811" t="s">
        <v>1728</v>
      </c>
      <c r="I340" s="811" t="s">
        <v>1729</v>
      </c>
      <c r="J340" s="813">
        <v>18568000</v>
      </c>
      <c r="K340" s="811" t="s">
        <v>1730</v>
      </c>
      <c r="L340" s="811" t="s">
        <v>1189</v>
      </c>
      <c r="M340" s="811" t="s">
        <v>1710</v>
      </c>
      <c r="N340" s="811" t="s">
        <v>1710</v>
      </c>
      <c r="O340" s="811" t="s">
        <v>1804</v>
      </c>
      <c r="P340" s="811" t="s">
        <v>1732</v>
      </c>
      <c r="Q340" s="811" t="s">
        <v>1739</v>
      </c>
    </row>
    <row r="341" spans="1:17" x14ac:dyDescent="0.3">
      <c r="A341" s="811" t="s">
        <v>1724</v>
      </c>
      <c r="B341" s="811" t="s">
        <v>2141</v>
      </c>
      <c r="C341" s="812">
        <v>68000000</v>
      </c>
      <c r="D341" s="811" t="s">
        <v>1505</v>
      </c>
      <c r="E341" s="811" t="s">
        <v>1505</v>
      </c>
      <c r="F341" s="811" t="s">
        <v>1726</v>
      </c>
      <c r="G341" s="811" t="s">
        <v>1727</v>
      </c>
      <c r="H341" s="811" t="s">
        <v>1728</v>
      </c>
      <c r="I341" s="811" t="s">
        <v>1729</v>
      </c>
      <c r="J341" s="813">
        <v>68000000</v>
      </c>
      <c r="K341" s="811" t="s">
        <v>1730</v>
      </c>
      <c r="L341" s="811" t="s">
        <v>1189</v>
      </c>
      <c r="M341" s="811" t="s">
        <v>1710</v>
      </c>
      <c r="N341" s="811" t="s">
        <v>1710</v>
      </c>
      <c r="O341" s="811" t="s">
        <v>1804</v>
      </c>
      <c r="P341" s="811" t="s">
        <v>1732</v>
      </c>
      <c r="Q341" s="811" t="s">
        <v>1739</v>
      </c>
    </row>
    <row r="342" spans="1:17" x14ac:dyDescent="0.3">
      <c r="A342" s="811" t="s">
        <v>1724</v>
      </c>
      <c r="B342" s="811" t="s">
        <v>2142</v>
      </c>
      <c r="C342" s="812">
        <v>36000000</v>
      </c>
      <c r="D342" s="811" t="s">
        <v>1505</v>
      </c>
      <c r="E342" s="811" t="s">
        <v>1505</v>
      </c>
      <c r="F342" s="811" t="s">
        <v>1726</v>
      </c>
      <c r="G342" s="811" t="s">
        <v>1727</v>
      </c>
      <c r="H342" s="811" t="s">
        <v>1728</v>
      </c>
      <c r="I342" s="811" t="s">
        <v>1729</v>
      </c>
      <c r="J342" s="813">
        <v>36000000</v>
      </c>
      <c r="K342" s="811" t="s">
        <v>1730</v>
      </c>
      <c r="L342" s="811" t="s">
        <v>1189</v>
      </c>
      <c r="M342" s="811" t="s">
        <v>1710</v>
      </c>
      <c r="N342" s="811" t="s">
        <v>1710</v>
      </c>
      <c r="O342" s="811" t="s">
        <v>1804</v>
      </c>
      <c r="P342" s="811" t="s">
        <v>1732</v>
      </c>
      <c r="Q342" s="811" t="s">
        <v>1739</v>
      </c>
    </row>
    <row r="343" spans="1:17" x14ac:dyDescent="0.3">
      <c r="A343" s="811" t="s">
        <v>1724</v>
      </c>
      <c r="B343" s="811" t="s">
        <v>2143</v>
      </c>
      <c r="C343" s="812">
        <v>60000000</v>
      </c>
      <c r="D343" s="811" t="s">
        <v>1505</v>
      </c>
      <c r="E343" s="811" t="s">
        <v>1505</v>
      </c>
      <c r="F343" s="811" t="s">
        <v>1726</v>
      </c>
      <c r="G343" s="811" t="s">
        <v>1727</v>
      </c>
      <c r="H343" s="811" t="s">
        <v>1728</v>
      </c>
      <c r="I343" s="811" t="s">
        <v>1729</v>
      </c>
      <c r="J343" s="813">
        <v>60000000</v>
      </c>
      <c r="K343" s="811" t="s">
        <v>1730</v>
      </c>
      <c r="L343" s="811" t="s">
        <v>1189</v>
      </c>
      <c r="M343" s="811" t="s">
        <v>1710</v>
      </c>
      <c r="N343" s="811" t="s">
        <v>1710</v>
      </c>
      <c r="O343" s="811" t="s">
        <v>1804</v>
      </c>
      <c r="P343" s="811" t="s">
        <v>1732</v>
      </c>
      <c r="Q343" s="811" t="s">
        <v>1739</v>
      </c>
    </row>
    <row r="344" spans="1:17" x14ac:dyDescent="0.3">
      <c r="A344" s="811" t="s">
        <v>1724</v>
      </c>
      <c r="B344" s="811" t="s">
        <v>2144</v>
      </c>
      <c r="C344" s="812">
        <v>24000000</v>
      </c>
      <c r="D344" s="811" t="s">
        <v>1505</v>
      </c>
      <c r="E344" s="811" t="s">
        <v>1505</v>
      </c>
      <c r="F344" s="811" t="s">
        <v>1726</v>
      </c>
      <c r="G344" s="811" t="s">
        <v>1727</v>
      </c>
      <c r="H344" s="811" t="s">
        <v>1728</v>
      </c>
      <c r="I344" s="811" t="s">
        <v>1729</v>
      </c>
      <c r="J344" s="813">
        <v>24000000</v>
      </c>
      <c r="K344" s="811" t="s">
        <v>1730</v>
      </c>
      <c r="L344" s="811" t="s">
        <v>1189</v>
      </c>
      <c r="M344" s="811" t="s">
        <v>1710</v>
      </c>
      <c r="N344" s="811" t="s">
        <v>1710</v>
      </c>
      <c r="O344" s="811" t="s">
        <v>1804</v>
      </c>
      <c r="P344" s="811" t="s">
        <v>1732</v>
      </c>
      <c r="Q344" s="811" t="s">
        <v>1739</v>
      </c>
    </row>
    <row r="345" spans="1:17" x14ac:dyDescent="0.3">
      <c r="A345" s="811" t="s">
        <v>1724</v>
      </c>
      <c r="B345" s="811" t="s">
        <v>2145</v>
      </c>
      <c r="C345" s="812">
        <v>56000000</v>
      </c>
      <c r="D345" s="811" t="s">
        <v>1505</v>
      </c>
      <c r="E345" s="811" t="s">
        <v>1505</v>
      </c>
      <c r="F345" s="811" t="s">
        <v>1726</v>
      </c>
      <c r="G345" s="811" t="s">
        <v>1727</v>
      </c>
      <c r="H345" s="811" t="s">
        <v>1728</v>
      </c>
      <c r="I345" s="811" t="s">
        <v>1729</v>
      </c>
      <c r="J345" s="813">
        <v>56000000</v>
      </c>
      <c r="K345" s="811" t="s">
        <v>1730</v>
      </c>
      <c r="L345" s="811" t="s">
        <v>1189</v>
      </c>
      <c r="M345" s="811" t="s">
        <v>1710</v>
      </c>
      <c r="N345" s="811" t="s">
        <v>1710</v>
      </c>
      <c r="O345" s="811" t="s">
        <v>1804</v>
      </c>
      <c r="P345" s="811" t="s">
        <v>1732</v>
      </c>
      <c r="Q345" s="811" t="s">
        <v>1739</v>
      </c>
    </row>
    <row r="346" spans="1:17" x14ac:dyDescent="0.3">
      <c r="A346" s="811" t="s">
        <v>1724</v>
      </c>
      <c r="B346" s="811" t="s">
        <v>2146</v>
      </c>
      <c r="C346" s="812">
        <v>39975144</v>
      </c>
      <c r="D346" s="811" t="s">
        <v>1505</v>
      </c>
      <c r="E346" s="811" t="s">
        <v>1505</v>
      </c>
      <c r="F346" s="811" t="s">
        <v>1726</v>
      </c>
      <c r="G346" s="811" t="s">
        <v>1727</v>
      </c>
      <c r="H346" s="811" t="s">
        <v>1728</v>
      </c>
      <c r="I346" s="811" t="s">
        <v>1729</v>
      </c>
      <c r="J346" s="813">
        <v>39975144</v>
      </c>
      <c r="K346" s="811" t="s">
        <v>1730</v>
      </c>
      <c r="L346" s="811" t="s">
        <v>1189</v>
      </c>
      <c r="M346" s="811" t="s">
        <v>1710</v>
      </c>
      <c r="N346" s="811" t="s">
        <v>1710</v>
      </c>
      <c r="O346" s="811" t="s">
        <v>1804</v>
      </c>
      <c r="P346" s="811" t="s">
        <v>1732</v>
      </c>
      <c r="Q346" s="811" t="s">
        <v>1739</v>
      </c>
    </row>
    <row r="347" spans="1:17" x14ac:dyDescent="0.3">
      <c r="A347" s="811" t="s">
        <v>1724</v>
      </c>
      <c r="B347" s="811" t="s">
        <v>2147</v>
      </c>
      <c r="C347" s="812">
        <v>64000000</v>
      </c>
      <c r="D347" s="811" t="s">
        <v>1505</v>
      </c>
      <c r="E347" s="811" t="s">
        <v>1505</v>
      </c>
      <c r="F347" s="811" t="s">
        <v>1726</v>
      </c>
      <c r="G347" s="811" t="s">
        <v>1727</v>
      </c>
      <c r="H347" s="811" t="s">
        <v>1728</v>
      </c>
      <c r="I347" s="811" t="s">
        <v>1729</v>
      </c>
      <c r="J347" s="813">
        <v>64000000</v>
      </c>
      <c r="K347" s="811" t="s">
        <v>1730</v>
      </c>
      <c r="L347" s="811" t="s">
        <v>1189</v>
      </c>
      <c r="M347" s="811" t="s">
        <v>1710</v>
      </c>
      <c r="N347" s="811" t="s">
        <v>1710</v>
      </c>
      <c r="O347" s="811" t="s">
        <v>1804</v>
      </c>
      <c r="P347" s="811" t="s">
        <v>1732</v>
      </c>
      <c r="Q347" s="811" t="s">
        <v>1739</v>
      </c>
    </row>
    <row r="348" spans="1:17" x14ac:dyDescent="0.3">
      <c r="A348" s="811" t="s">
        <v>1724</v>
      </c>
      <c r="B348" s="811" t="s">
        <v>2148</v>
      </c>
      <c r="C348" s="812">
        <v>84000000</v>
      </c>
      <c r="D348" s="811" t="s">
        <v>1505</v>
      </c>
      <c r="E348" s="811" t="s">
        <v>1505</v>
      </c>
      <c r="F348" s="811" t="s">
        <v>1726</v>
      </c>
      <c r="G348" s="811" t="s">
        <v>1727</v>
      </c>
      <c r="H348" s="811" t="s">
        <v>1728</v>
      </c>
      <c r="I348" s="811" t="s">
        <v>1729</v>
      </c>
      <c r="J348" s="813">
        <v>84000000</v>
      </c>
      <c r="K348" s="811" t="s">
        <v>1730</v>
      </c>
      <c r="L348" s="811" t="s">
        <v>1189</v>
      </c>
      <c r="M348" s="811" t="s">
        <v>1710</v>
      </c>
      <c r="N348" s="811" t="s">
        <v>1710</v>
      </c>
      <c r="O348" s="811" t="s">
        <v>1804</v>
      </c>
      <c r="P348" s="811" t="s">
        <v>1732</v>
      </c>
      <c r="Q348" s="811" t="s">
        <v>1739</v>
      </c>
    </row>
    <row r="349" spans="1:17" x14ac:dyDescent="0.3">
      <c r="A349" s="811" t="s">
        <v>1724</v>
      </c>
      <c r="B349" s="811" t="s">
        <v>2149</v>
      </c>
      <c r="C349" s="812">
        <v>16353468</v>
      </c>
      <c r="D349" s="811" t="s">
        <v>1505</v>
      </c>
      <c r="E349" s="811" t="s">
        <v>1505</v>
      </c>
      <c r="F349" s="811" t="s">
        <v>1793</v>
      </c>
      <c r="G349" s="811" t="s">
        <v>1727</v>
      </c>
      <c r="H349" s="811" t="s">
        <v>1728</v>
      </c>
      <c r="I349" s="811" t="s">
        <v>1729</v>
      </c>
      <c r="J349" s="813">
        <v>16353468</v>
      </c>
      <c r="K349" s="811" t="s">
        <v>1730</v>
      </c>
      <c r="L349" s="811" t="s">
        <v>1189</v>
      </c>
      <c r="M349" s="811" t="s">
        <v>1710</v>
      </c>
      <c r="N349" s="811" t="s">
        <v>1710</v>
      </c>
      <c r="O349" s="811" t="s">
        <v>1804</v>
      </c>
      <c r="P349" s="811" t="s">
        <v>1732</v>
      </c>
      <c r="Q349" s="811" t="s">
        <v>1739</v>
      </c>
    </row>
    <row r="350" spans="1:17" x14ac:dyDescent="0.3">
      <c r="A350" s="811" t="s">
        <v>1724</v>
      </c>
      <c r="B350" s="811" t="s">
        <v>2150</v>
      </c>
      <c r="C350" s="812">
        <v>46400000</v>
      </c>
      <c r="D350" s="811" t="s">
        <v>1505</v>
      </c>
      <c r="E350" s="811" t="s">
        <v>1505</v>
      </c>
      <c r="F350" s="811" t="s">
        <v>1726</v>
      </c>
      <c r="G350" s="811" t="s">
        <v>1727</v>
      </c>
      <c r="H350" s="811" t="s">
        <v>1728</v>
      </c>
      <c r="I350" s="811" t="s">
        <v>1729</v>
      </c>
      <c r="J350" s="813">
        <v>46400000</v>
      </c>
      <c r="K350" s="811" t="s">
        <v>1730</v>
      </c>
      <c r="L350" s="811" t="s">
        <v>1189</v>
      </c>
      <c r="M350" s="811" t="s">
        <v>1710</v>
      </c>
      <c r="N350" s="811" t="s">
        <v>1710</v>
      </c>
      <c r="O350" s="811" t="s">
        <v>1804</v>
      </c>
      <c r="P350" s="811" t="s">
        <v>1732</v>
      </c>
      <c r="Q350" s="811" t="s">
        <v>1739</v>
      </c>
    </row>
    <row r="351" spans="1:17" x14ac:dyDescent="0.3">
      <c r="A351" s="811" t="s">
        <v>1724</v>
      </c>
      <c r="B351" s="811" t="s">
        <v>2151</v>
      </c>
      <c r="C351" s="812">
        <v>64000000</v>
      </c>
      <c r="D351" s="811" t="s">
        <v>1505</v>
      </c>
      <c r="E351" s="811" t="s">
        <v>1505</v>
      </c>
      <c r="F351" s="811" t="s">
        <v>1726</v>
      </c>
      <c r="G351" s="811" t="s">
        <v>1727</v>
      </c>
      <c r="H351" s="811" t="s">
        <v>1728</v>
      </c>
      <c r="I351" s="811" t="s">
        <v>1729</v>
      </c>
      <c r="J351" s="813">
        <v>64000000</v>
      </c>
      <c r="K351" s="811" t="s">
        <v>1730</v>
      </c>
      <c r="L351" s="811" t="s">
        <v>1189</v>
      </c>
      <c r="M351" s="811" t="s">
        <v>1710</v>
      </c>
      <c r="N351" s="811" t="s">
        <v>1710</v>
      </c>
      <c r="O351" s="811" t="s">
        <v>1804</v>
      </c>
      <c r="P351" s="811" t="s">
        <v>1732</v>
      </c>
      <c r="Q351" s="811" t="s">
        <v>1739</v>
      </c>
    </row>
    <row r="352" spans="1:17" x14ac:dyDescent="0.3">
      <c r="A352" s="811" t="s">
        <v>1724</v>
      </c>
      <c r="B352" s="811" t="s">
        <v>2152</v>
      </c>
      <c r="C352" s="812">
        <v>44000000</v>
      </c>
      <c r="D352" s="811" t="s">
        <v>1505</v>
      </c>
      <c r="E352" s="811" t="s">
        <v>1505</v>
      </c>
      <c r="F352" s="811" t="s">
        <v>1726</v>
      </c>
      <c r="G352" s="811" t="s">
        <v>1727</v>
      </c>
      <c r="H352" s="811" t="s">
        <v>1728</v>
      </c>
      <c r="I352" s="811" t="s">
        <v>1729</v>
      </c>
      <c r="J352" s="813">
        <v>44000000</v>
      </c>
      <c r="K352" s="811" t="s">
        <v>1730</v>
      </c>
      <c r="L352" s="811" t="s">
        <v>1189</v>
      </c>
      <c r="M352" s="811" t="s">
        <v>1710</v>
      </c>
      <c r="N352" s="811" t="s">
        <v>1710</v>
      </c>
      <c r="O352" s="811" t="s">
        <v>1804</v>
      </c>
      <c r="P352" s="811" t="s">
        <v>1732</v>
      </c>
      <c r="Q352" s="811" t="s">
        <v>1739</v>
      </c>
    </row>
    <row r="353" spans="1:17" x14ac:dyDescent="0.3">
      <c r="A353" s="811" t="s">
        <v>1724</v>
      </c>
      <c r="B353" s="811" t="s">
        <v>2153</v>
      </c>
      <c r="C353" s="812">
        <v>64000000</v>
      </c>
      <c r="D353" s="811" t="s">
        <v>1505</v>
      </c>
      <c r="E353" s="811" t="s">
        <v>1505</v>
      </c>
      <c r="F353" s="811" t="s">
        <v>1726</v>
      </c>
      <c r="G353" s="811" t="s">
        <v>1727</v>
      </c>
      <c r="H353" s="811" t="s">
        <v>1728</v>
      </c>
      <c r="I353" s="811" t="s">
        <v>1729</v>
      </c>
      <c r="J353" s="813">
        <v>64000000</v>
      </c>
      <c r="K353" s="811" t="s">
        <v>1730</v>
      </c>
      <c r="L353" s="811" t="s">
        <v>1189</v>
      </c>
      <c r="M353" s="811" t="s">
        <v>1710</v>
      </c>
      <c r="N353" s="811" t="s">
        <v>1710</v>
      </c>
      <c r="O353" s="811" t="s">
        <v>1804</v>
      </c>
      <c r="P353" s="811" t="s">
        <v>1732</v>
      </c>
      <c r="Q353" s="811" t="s">
        <v>1739</v>
      </c>
    </row>
    <row r="354" spans="1:17" x14ac:dyDescent="0.3">
      <c r="A354" s="811" t="s">
        <v>1724</v>
      </c>
      <c r="B354" s="811" t="s">
        <v>1762</v>
      </c>
      <c r="C354" s="812">
        <v>43780000</v>
      </c>
      <c r="D354" s="811" t="s">
        <v>1505</v>
      </c>
      <c r="E354" s="811" t="s">
        <v>1505</v>
      </c>
      <c r="F354" s="811" t="s">
        <v>1747</v>
      </c>
      <c r="G354" s="811" t="s">
        <v>1727</v>
      </c>
      <c r="H354" s="811" t="s">
        <v>1728</v>
      </c>
      <c r="I354" s="811" t="s">
        <v>1729</v>
      </c>
      <c r="J354" s="813">
        <v>43780000</v>
      </c>
      <c r="K354" s="811" t="s">
        <v>1730</v>
      </c>
      <c r="L354" s="811" t="s">
        <v>1189</v>
      </c>
      <c r="M354" s="811" t="s">
        <v>1710</v>
      </c>
      <c r="N354" s="811" t="s">
        <v>1710</v>
      </c>
      <c r="O354" s="811" t="s">
        <v>1834</v>
      </c>
      <c r="P354" s="811" t="s">
        <v>1835</v>
      </c>
      <c r="Q354" s="811" t="s">
        <v>1733</v>
      </c>
    </row>
    <row r="355" spans="1:17" x14ac:dyDescent="0.3">
      <c r="A355" s="811" t="s">
        <v>1724</v>
      </c>
      <c r="B355" s="811" t="s">
        <v>2154</v>
      </c>
      <c r="C355" s="812">
        <v>43780000</v>
      </c>
      <c r="D355" s="811" t="s">
        <v>1505</v>
      </c>
      <c r="E355" s="811" t="s">
        <v>1505</v>
      </c>
      <c r="F355" s="811" t="s">
        <v>1764</v>
      </c>
      <c r="G355" s="811" t="s">
        <v>1727</v>
      </c>
      <c r="H355" s="811" t="s">
        <v>1728</v>
      </c>
      <c r="I355" s="811" t="s">
        <v>1729</v>
      </c>
      <c r="J355" s="813">
        <v>43780000</v>
      </c>
      <c r="K355" s="811" t="s">
        <v>1730</v>
      </c>
      <c r="L355" s="811" t="s">
        <v>1189</v>
      </c>
      <c r="M355" s="811" t="s">
        <v>1710</v>
      </c>
      <c r="N355" s="811" t="s">
        <v>1710</v>
      </c>
      <c r="O355" s="811" t="s">
        <v>1834</v>
      </c>
      <c r="P355" s="811" t="s">
        <v>1835</v>
      </c>
      <c r="Q355" s="811" t="s">
        <v>1733</v>
      </c>
    </row>
    <row r="356" spans="1:17" x14ac:dyDescent="0.3">
      <c r="A356" s="811" t="s">
        <v>1724</v>
      </c>
      <c r="B356" s="811" t="s">
        <v>2155</v>
      </c>
      <c r="C356" s="812">
        <v>52800000</v>
      </c>
      <c r="D356" s="811" t="s">
        <v>1505</v>
      </c>
      <c r="E356" s="811" t="s">
        <v>1505</v>
      </c>
      <c r="F356" s="811" t="s">
        <v>1747</v>
      </c>
      <c r="G356" s="811" t="s">
        <v>1727</v>
      </c>
      <c r="H356" s="811" t="s">
        <v>1728</v>
      </c>
      <c r="I356" s="811" t="s">
        <v>1729</v>
      </c>
      <c r="J356" s="813">
        <v>52800000</v>
      </c>
      <c r="K356" s="811" t="s">
        <v>1730</v>
      </c>
      <c r="L356" s="811" t="s">
        <v>1189</v>
      </c>
      <c r="M356" s="811" t="s">
        <v>1710</v>
      </c>
      <c r="N356" s="811" t="s">
        <v>1710</v>
      </c>
      <c r="O356" s="811" t="s">
        <v>1834</v>
      </c>
      <c r="P356" s="811" t="s">
        <v>1835</v>
      </c>
      <c r="Q356" s="811" t="s">
        <v>1733</v>
      </c>
    </row>
    <row r="357" spans="1:17" x14ac:dyDescent="0.3">
      <c r="A357" s="811" t="s">
        <v>1724</v>
      </c>
      <c r="B357" s="811" t="s">
        <v>2156</v>
      </c>
      <c r="C357" s="812">
        <v>43780000</v>
      </c>
      <c r="D357" s="811" t="s">
        <v>1505</v>
      </c>
      <c r="E357" s="811" t="s">
        <v>1505</v>
      </c>
      <c r="F357" s="811" t="s">
        <v>1747</v>
      </c>
      <c r="G357" s="811" t="s">
        <v>1727</v>
      </c>
      <c r="H357" s="811" t="s">
        <v>1728</v>
      </c>
      <c r="I357" s="811" t="s">
        <v>1729</v>
      </c>
      <c r="J357" s="813">
        <v>43780000</v>
      </c>
      <c r="K357" s="811" t="s">
        <v>1730</v>
      </c>
      <c r="L357" s="811" t="s">
        <v>1189</v>
      </c>
      <c r="M357" s="811" t="s">
        <v>1710</v>
      </c>
      <c r="N357" s="811" t="s">
        <v>1710</v>
      </c>
      <c r="O357" s="811" t="s">
        <v>1834</v>
      </c>
      <c r="P357" s="811" t="s">
        <v>1835</v>
      </c>
      <c r="Q357" s="811" t="s">
        <v>1733</v>
      </c>
    </row>
    <row r="358" spans="1:17" x14ac:dyDescent="0.3">
      <c r="A358" s="811" t="s">
        <v>1724</v>
      </c>
      <c r="B358" s="811" t="s">
        <v>2157</v>
      </c>
      <c r="C358" s="812">
        <v>48400000</v>
      </c>
      <c r="D358" s="811" t="s">
        <v>1505</v>
      </c>
      <c r="E358" s="811" t="s">
        <v>1505</v>
      </c>
      <c r="F358" s="811" t="s">
        <v>1764</v>
      </c>
      <c r="G358" s="811" t="s">
        <v>1727</v>
      </c>
      <c r="H358" s="811" t="s">
        <v>1728</v>
      </c>
      <c r="I358" s="811" t="s">
        <v>1729</v>
      </c>
      <c r="J358" s="813">
        <v>48400000</v>
      </c>
      <c r="K358" s="811" t="s">
        <v>1730</v>
      </c>
      <c r="L358" s="811" t="s">
        <v>1189</v>
      </c>
      <c r="M358" s="811" t="s">
        <v>1710</v>
      </c>
      <c r="N358" s="811" t="s">
        <v>1710</v>
      </c>
      <c r="O358" s="811" t="s">
        <v>1834</v>
      </c>
      <c r="P358" s="811" t="s">
        <v>1835</v>
      </c>
      <c r="Q358" s="811" t="s">
        <v>1733</v>
      </c>
    </row>
    <row r="359" spans="1:17" x14ac:dyDescent="0.3">
      <c r="A359" s="811" t="s">
        <v>1724</v>
      </c>
      <c r="B359" s="811" t="s">
        <v>2158</v>
      </c>
      <c r="C359" s="812">
        <v>64900000</v>
      </c>
      <c r="D359" s="811" t="s">
        <v>1505</v>
      </c>
      <c r="E359" s="811" t="s">
        <v>1505</v>
      </c>
      <c r="F359" s="811" t="s">
        <v>1764</v>
      </c>
      <c r="G359" s="811" t="s">
        <v>1727</v>
      </c>
      <c r="H359" s="811" t="s">
        <v>1728</v>
      </c>
      <c r="I359" s="811" t="s">
        <v>1729</v>
      </c>
      <c r="J359" s="813">
        <v>64900000</v>
      </c>
      <c r="K359" s="811" t="s">
        <v>1730</v>
      </c>
      <c r="L359" s="811" t="s">
        <v>1189</v>
      </c>
      <c r="M359" s="811" t="s">
        <v>1710</v>
      </c>
      <c r="N359" s="811" t="s">
        <v>1710</v>
      </c>
      <c r="O359" s="811" t="s">
        <v>1834</v>
      </c>
      <c r="P359" s="811" t="s">
        <v>1835</v>
      </c>
      <c r="Q359" s="811" t="s">
        <v>1733</v>
      </c>
    </row>
    <row r="360" spans="1:17" x14ac:dyDescent="0.3">
      <c r="A360" s="811" t="s">
        <v>1724</v>
      </c>
      <c r="B360" s="811" t="s">
        <v>2159</v>
      </c>
      <c r="C360" s="812">
        <v>31600000</v>
      </c>
      <c r="D360" s="811" t="s">
        <v>1505</v>
      </c>
      <c r="E360" s="811" t="s">
        <v>1505</v>
      </c>
      <c r="F360" s="811" t="s">
        <v>1760</v>
      </c>
      <c r="G360" s="811" t="s">
        <v>1727</v>
      </c>
      <c r="H360" s="811" t="s">
        <v>1728</v>
      </c>
      <c r="I360" s="811" t="s">
        <v>1729</v>
      </c>
      <c r="J360" s="813">
        <v>31600000</v>
      </c>
      <c r="K360" s="811" t="s">
        <v>1730</v>
      </c>
      <c r="L360" s="811" t="s">
        <v>1189</v>
      </c>
      <c r="M360" s="811" t="s">
        <v>1710</v>
      </c>
      <c r="N360" s="811" t="s">
        <v>1710</v>
      </c>
      <c r="O360" s="811" t="s">
        <v>1844</v>
      </c>
      <c r="P360" s="811" t="s">
        <v>1732</v>
      </c>
      <c r="Q360" s="811" t="s">
        <v>1780</v>
      </c>
    </row>
    <row r="361" spans="1:17" x14ac:dyDescent="0.3">
      <c r="A361" s="811" t="s">
        <v>1724</v>
      </c>
      <c r="B361" s="811" t="s">
        <v>2160</v>
      </c>
      <c r="C361" s="812">
        <v>64900000</v>
      </c>
      <c r="D361" s="811" t="s">
        <v>1505</v>
      </c>
      <c r="E361" s="811" t="s">
        <v>1505</v>
      </c>
      <c r="F361" s="811" t="s">
        <v>1764</v>
      </c>
      <c r="G361" s="811" t="s">
        <v>1727</v>
      </c>
      <c r="H361" s="811" t="s">
        <v>1728</v>
      </c>
      <c r="I361" s="811" t="s">
        <v>1729</v>
      </c>
      <c r="J361" s="813">
        <v>64900000</v>
      </c>
      <c r="K361" s="811" t="s">
        <v>1730</v>
      </c>
      <c r="L361" s="811" t="s">
        <v>1189</v>
      </c>
      <c r="M361" s="811" t="s">
        <v>1710</v>
      </c>
      <c r="N361" s="811" t="s">
        <v>1710</v>
      </c>
      <c r="O361" s="811" t="s">
        <v>1761</v>
      </c>
      <c r="P361" s="811" t="s">
        <v>1732</v>
      </c>
      <c r="Q361" s="811" t="s">
        <v>1733</v>
      </c>
    </row>
    <row r="362" spans="1:17" x14ac:dyDescent="0.3">
      <c r="A362" s="811" t="s">
        <v>1724</v>
      </c>
      <c r="B362" s="811" t="s">
        <v>2161</v>
      </c>
      <c r="C362" s="812">
        <v>28800000</v>
      </c>
      <c r="D362" s="811" t="s">
        <v>1611</v>
      </c>
      <c r="E362" s="811" t="s">
        <v>1611</v>
      </c>
      <c r="F362" s="811" t="s">
        <v>1726</v>
      </c>
      <c r="G362" s="811" t="s">
        <v>1727</v>
      </c>
      <c r="H362" s="811" t="s">
        <v>1728</v>
      </c>
      <c r="I362" s="811" t="s">
        <v>1729</v>
      </c>
      <c r="J362" s="813">
        <v>28800000</v>
      </c>
      <c r="K362" s="811" t="s">
        <v>1730</v>
      </c>
      <c r="L362" s="811" t="s">
        <v>1189</v>
      </c>
      <c r="M362" s="811" t="s">
        <v>1710</v>
      </c>
      <c r="N362" s="811" t="s">
        <v>1710</v>
      </c>
      <c r="O362" s="811" t="s">
        <v>1761</v>
      </c>
      <c r="P362" s="811" t="s">
        <v>1732</v>
      </c>
      <c r="Q362" s="811" t="s">
        <v>1733</v>
      </c>
    </row>
    <row r="363" spans="1:17" x14ac:dyDescent="0.3">
      <c r="A363" s="811" t="s">
        <v>1724</v>
      </c>
      <c r="B363" s="811" t="s">
        <v>2162</v>
      </c>
      <c r="C363" s="812">
        <v>39600000</v>
      </c>
      <c r="D363" s="811" t="s">
        <v>1501</v>
      </c>
      <c r="E363" s="811" t="s">
        <v>1501</v>
      </c>
      <c r="F363" s="811" t="s">
        <v>1741</v>
      </c>
      <c r="G363" s="811" t="s">
        <v>1727</v>
      </c>
      <c r="H363" s="811" t="s">
        <v>1728</v>
      </c>
      <c r="I363" s="811" t="s">
        <v>1729</v>
      </c>
      <c r="J363" s="813">
        <v>39600000</v>
      </c>
      <c r="K363" s="811" t="s">
        <v>1730</v>
      </c>
      <c r="L363" s="811" t="s">
        <v>1189</v>
      </c>
      <c r="M363" s="811" t="s">
        <v>1710</v>
      </c>
      <c r="N363" s="811" t="s">
        <v>1710</v>
      </c>
      <c r="O363" s="811" t="s">
        <v>1761</v>
      </c>
      <c r="P363" s="811" t="s">
        <v>1732</v>
      </c>
      <c r="Q363" s="811" t="s">
        <v>1733</v>
      </c>
    </row>
    <row r="364" spans="1:17" x14ac:dyDescent="0.3">
      <c r="A364" s="811" t="s">
        <v>1724</v>
      </c>
      <c r="B364" s="811" t="s">
        <v>2163</v>
      </c>
      <c r="C364" s="812">
        <v>36000000</v>
      </c>
      <c r="D364" s="811" t="s">
        <v>1501</v>
      </c>
      <c r="E364" s="811" t="s">
        <v>1501</v>
      </c>
      <c r="F364" s="811" t="s">
        <v>1741</v>
      </c>
      <c r="G364" s="811" t="s">
        <v>1727</v>
      </c>
      <c r="H364" s="811" t="s">
        <v>1728</v>
      </c>
      <c r="I364" s="811" t="s">
        <v>1729</v>
      </c>
      <c r="J364" s="813">
        <v>36000000</v>
      </c>
      <c r="K364" s="811" t="s">
        <v>1730</v>
      </c>
      <c r="L364" s="811" t="s">
        <v>1189</v>
      </c>
      <c r="M364" s="811" t="s">
        <v>1710</v>
      </c>
      <c r="N364" s="811" t="s">
        <v>1710</v>
      </c>
      <c r="O364" s="811" t="s">
        <v>1761</v>
      </c>
      <c r="P364" s="811" t="s">
        <v>1732</v>
      </c>
      <c r="Q364" s="811" t="s">
        <v>1733</v>
      </c>
    </row>
    <row r="365" spans="1:17" x14ac:dyDescent="0.3">
      <c r="A365" s="811" t="s">
        <v>1724</v>
      </c>
      <c r="B365" s="811" t="s">
        <v>2164</v>
      </c>
      <c r="C365" s="812">
        <v>64900000</v>
      </c>
      <c r="D365" s="811" t="s">
        <v>1505</v>
      </c>
      <c r="E365" s="811" t="s">
        <v>1505</v>
      </c>
      <c r="F365" s="811" t="s">
        <v>1764</v>
      </c>
      <c r="G365" s="811" t="s">
        <v>1727</v>
      </c>
      <c r="H365" s="811" t="s">
        <v>1728</v>
      </c>
      <c r="I365" s="811" t="s">
        <v>1729</v>
      </c>
      <c r="J365" s="813">
        <v>64900000</v>
      </c>
      <c r="K365" s="811" t="s">
        <v>1730</v>
      </c>
      <c r="L365" s="811" t="s">
        <v>1189</v>
      </c>
      <c r="M365" s="811" t="s">
        <v>1710</v>
      </c>
      <c r="N365" s="811" t="s">
        <v>1710</v>
      </c>
      <c r="O365" s="811" t="s">
        <v>1761</v>
      </c>
      <c r="P365" s="811" t="s">
        <v>1732</v>
      </c>
      <c r="Q365" s="811" t="s">
        <v>1733</v>
      </c>
    </row>
    <row r="366" spans="1:17" x14ac:dyDescent="0.3">
      <c r="A366" s="811" t="s">
        <v>1724</v>
      </c>
      <c r="B366" s="811" t="s">
        <v>2165</v>
      </c>
      <c r="C366" s="812">
        <v>64900000</v>
      </c>
      <c r="D366" s="811" t="s">
        <v>1501</v>
      </c>
      <c r="E366" s="811" t="s">
        <v>1501</v>
      </c>
      <c r="F366" s="811" t="s">
        <v>1764</v>
      </c>
      <c r="G366" s="811" t="s">
        <v>1727</v>
      </c>
      <c r="H366" s="811" t="s">
        <v>1728</v>
      </c>
      <c r="I366" s="811" t="s">
        <v>1729</v>
      </c>
      <c r="J366" s="813">
        <v>64900000</v>
      </c>
      <c r="K366" s="811" t="s">
        <v>1730</v>
      </c>
      <c r="L366" s="811" t="s">
        <v>1189</v>
      </c>
      <c r="M366" s="811" t="s">
        <v>1710</v>
      </c>
      <c r="N366" s="811" t="s">
        <v>1710</v>
      </c>
      <c r="O366" s="811" t="s">
        <v>1761</v>
      </c>
      <c r="P366" s="811" t="s">
        <v>1732</v>
      </c>
      <c r="Q366" s="811" t="s">
        <v>1733</v>
      </c>
    </row>
    <row r="367" spans="1:17" x14ac:dyDescent="0.3">
      <c r="A367" s="811" t="s">
        <v>1724</v>
      </c>
      <c r="B367" s="811" t="s">
        <v>2166</v>
      </c>
      <c r="C367" s="812">
        <v>64900000</v>
      </c>
      <c r="D367" s="811" t="s">
        <v>1501</v>
      </c>
      <c r="E367" s="811" t="s">
        <v>1501</v>
      </c>
      <c r="F367" s="811" t="s">
        <v>1764</v>
      </c>
      <c r="G367" s="811" t="s">
        <v>1727</v>
      </c>
      <c r="H367" s="811" t="s">
        <v>1728</v>
      </c>
      <c r="I367" s="811" t="s">
        <v>1729</v>
      </c>
      <c r="J367" s="813">
        <v>64900000</v>
      </c>
      <c r="K367" s="811" t="s">
        <v>1730</v>
      </c>
      <c r="L367" s="811" t="s">
        <v>1189</v>
      </c>
      <c r="M367" s="811" t="s">
        <v>1710</v>
      </c>
      <c r="N367" s="811" t="s">
        <v>1710</v>
      </c>
      <c r="O367" s="811" t="s">
        <v>1761</v>
      </c>
      <c r="P367" s="811" t="s">
        <v>1732</v>
      </c>
      <c r="Q367" s="811" t="s">
        <v>1733</v>
      </c>
    </row>
    <row r="368" spans="1:17" x14ac:dyDescent="0.3">
      <c r="A368" s="811" t="s">
        <v>1724</v>
      </c>
      <c r="B368" s="811" t="s">
        <v>2167</v>
      </c>
      <c r="C368" s="812">
        <v>50150000</v>
      </c>
      <c r="D368" s="811" t="s">
        <v>1611</v>
      </c>
      <c r="E368" s="811" t="s">
        <v>1611</v>
      </c>
      <c r="F368" s="811" t="s">
        <v>1726</v>
      </c>
      <c r="G368" s="811" t="s">
        <v>1727</v>
      </c>
      <c r="H368" s="811" t="s">
        <v>1728</v>
      </c>
      <c r="I368" s="811" t="s">
        <v>1729</v>
      </c>
      <c r="J368" s="813">
        <v>50150000</v>
      </c>
      <c r="K368" s="811" t="s">
        <v>1730</v>
      </c>
      <c r="L368" s="811" t="s">
        <v>1189</v>
      </c>
      <c r="M368" s="811" t="s">
        <v>1710</v>
      </c>
      <c r="N368" s="811" t="s">
        <v>1710</v>
      </c>
      <c r="O368" s="811" t="s">
        <v>1761</v>
      </c>
      <c r="P368" s="811" t="s">
        <v>1732</v>
      </c>
      <c r="Q368" s="811" t="s">
        <v>1733</v>
      </c>
    </row>
    <row r="369" spans="1:17" x14ac:dyDescent="0.3">
      <c r="A369" s="811" t="s">
        <v>1724</v>
      </c>
      <c r="B369" s="811" t="s">
        <v>2168</v>
      </c>
      <c r="C369" s="812">
        <v>44000000</v>
      </c>
      <c r="D369" s="811" t="s">
        <v>1501</v>
      </c>
      <c r="E369" s="811" t="s">
        <v>1501</v>
      </c>
      <c r="F369" s="811" t="s">
        <v>1764</v>
      </c>
      <c r="G369" s="811" t="s">
        <v>1727</v>
      </c>
      <c r="H369" s="811" t="s">
        <v>1728</v>
      </c>
      <c r="I369" s="811" t="s">
        <v>1729</v>
      </c>
      <c r="J369" s="813">
        <v>44000000</v>
      </c>
      <c r="K369" s="811" t="s">
        <v>1730</v>
      </c>
      <c r="L369" s="811" t="s">
        <v>1189</v>
      </c>
      <c r="M369" s="811" t="s">
        <v>1710</v>
      </c>
      <c r="N369" s="811" t="s">
        <v>1710</v>
      </c>
      <c r="O369" s="811" t="s">
        <v>1761</v>
      </c>
      <c r="P369" s="811" t="s">
        <v>1732</v>
      </c>
      <c r="Q369" s="811" t="s">
        <v>1733</v>
      </c>
    </row>
    <row r="370" spans="1:17" x14ac:dyDescent="0.3">
      <c r="A370" s="811" t="s">
        <v>1724</v>
      </c>
      <c r="B370" s="811" t="s">
        <v>2169</v>
      </c>
      <c r="C370" s="812">
        <v>40700000</v>
      </c>
      <c r="D370" s="811" t="s">
        <v>1501</v>
      </c>
      <c r="E370" s="811" t="s">
        <v>1501</v>
      </c>
      <c r="F370" s="811" t="s">
        <v>1764</v>
      </c>
      <c r="G370" s="811" t="s">
        <v>1727</v>
      </c>
      <c r="H370" s="811" t="s">
        <v>1728</v>
      </c>
      <c r="I370" s="811" t="s">
        <v>1729</v>
      </c>
      <c r="J370" s="813">
        <v>40700000</v>
      </c>
      <c r="K370" s="811" t="s">
        <v>1730</v>
      </c>
      <c r="L370" s="811" t="s">
        <v>1189</v>
      </c>
      <c r="M370" s="811" t="s">
        <v>1710</v>
      </c>
      <c r="N370" s="811" t="s">
        <v>1710</v>
      </c>
      <c r="O370" s="811" t="s">
        <v>1761</v>
      </c>
      <c r="P370" s="811" t="s">
        <v>1732</v>
      </c>
      <c r="Q370" s="811" t="s">
        <v>1733</v>
      </c>
    </row>
    <row r="371" spans="1:17" x14ac:dyDescent="0.3">
      <c r="A371" s="811" t="s">
        <v>1724</v>
      </c>
      <c r="B371" s="811" t="s">
        <v>2170</v>
      </c>
      <c r="C371" s="812">
        <v>33000000</v>
      </c>
      <c r="D371" s="811" t="s">
        <v>1501</v>
      </c>
      <c r="E371" s="811" t="s">
        <v>1501</v>
      </c>
      <c r="F371" s="811" t="s">
        <v>1741</v>
      </c>
      <c r="G371" s="811" t="s">
        <v>1727</v>
      </c>
      <c r="H371" s="811" t="s">
        <v>1728</v>
      </c>
      <c r="I371" s="811" t="s">
        <v>1729</v>
      </c>
      <c r="J371" s="813">
        <v>33000000</v>
      </c>
      <c r="K371" s="811" t="s">
        <v>1730</v>
      </c>
      <c r="L371" s="811" t="s">
        <v>1189</v>
      </c>
      <c r="M371" s="811" t="s">
        <v>1710</v>
      </c>
      <c r="N371" s="811" t="s">
        <v>1710</v>
      </c>
      <c r="O371" s="811" t="s">
        <v>1761</v>
      </c>
      <c r="P371" s="811" t="s">
        <v>1732</v>
      </c>
      <c r="Q371" s="811" t="s">
        <v>1733</v>
      </c>
    </row>
    <row r="372" spans="1:17" x14ac:dyDescent="0.3">
      <c r="A372" s="811" t="s">
        <v>1724</v>
      </c>
      <c r="B372" s="811" t="s">
        <v>2171</v>
      </c>
      <c r="C372" s="812">
        <v>39600000</v>
      </c>
      <c r="D372" s="811" t="s">
        <v>1501</v>
      </c>
      <c r="E372" s="811" t="s">
        <v>1501</v>
      </c>
      <c r="F372" s="811" t="s">
        <v>1764</v>
      </c>
      <c r="G372" s="811" t="s">
        <v>1727</v>
      </c>
      <c r="H372" s="811" t="s">
        <v>1728</v>
      </c>
      <c r="I372" s="811" t="s">
        <v>1729</v>
      </c>
      <c r="J372" s="813">
        <v>39600000</v>
      </c>
      <c r="K372" s="811" t="s">
        <v>1730</v>
      </c>
      <c r="L372" s="811" t="s">
        <v>1189</v>
      </c>
      <c r="M372" s="811" t="s">
        <v>1710</v>
      </c>
      <c r="N372" s="811" t="s">
        <v>1710</v>
      </c>
      <c r="O372" s="811" t="s">
        <v>1761</v>
      </c>
      <c r="P372" s="811" t="s">
        <v>1732</v>
      </c>
      <c r="Q372" s="811" t="s">
        <v>1733</v>
      </c>
    </row>
    <row r="373" spans="1:17" x14ac:dyDescent="0.3">
      <c r="A373" s="811" t="s">
        <v>2172</v>
      </c>
      <c r="B373" s="811" t="s">
        <v>2173</v>
      </c>
      <c r="C373" s="812">
        <v>59000000</v>
      </c>
      <c r="D373" s="811" t="s">
        <v>1611</v>
      </c>
      <c r="E373" s="811" t="s">
        <v>1502</v>
      </c>
      <c r="F373" s="811" t="s">
        <v>1737</v>
      </c>
      <c r="G373" s="811" t="s">
        <v>1727</v>
      </c>
      <c r="H373" s="811" t="s">
        <v>1650</v>
      </c>
      <c r="I373" s="811" t="s">
        <v>1729</v>
      </c>
      <c r="J373" s="813">
        <v>59000000</v>
      </c>
      <c r="K373" s="811" t="s">
        <v>1730</v>
      </c>
      <c r="L373" s="811" t="s">
        <v>1189</v>
      </c>
      <c r="M373" s="811" t="s">
        <v>1710</v>
      </c>
      <c r="N373" s="811" t="s">
        <v>1710</v>
      </c>
      <c r="O373" s="811" t="s">
        <v>1761</v>
      </c>
      <c r="P373" s="811" t="s">
        <v>1732</v>
      </c>
      <c r="Q373" s="811" t="s">
        <v>1733</v>
      </c>
    </row>
    <row r="374" spans="1:17" x14ac:dyDescent="0.3">
      <c r="A374" s="811" t="s">
        <v>2174</v>
      </c>
      <c r="B374" s="811" t="s">
        <v>2175</v>
      </c>
      <c r="C374" s="812">
        <v>540000000</v>
      </c>
      <c r="D374" s="811" t="s">
        <v>1525</v>
      </c>
      <c r="E374" s="811" t="s">
        <v>1525</v>
      </c>
      <c r="F374" s="811" t="s">
        <v>1793</v>
      </c>
      <c r="G374" s="811" t="s">
        <v>1727</v>
      </c>
      <c r="H374" s="811" t="s">
        <v>1803</v>
      </c>
      <c r="I374" s="811" t="s">
        <v>1729</v>
      </c>
      <c r="J374" s="813">
        <v>540000000</v>
      </c>
      <c r="K374" s="811" t="s">
        <v>1730</v>
      </c>
      <c r="L374" s="811" t="s">
        <v>1189</v>
      </c>
      <c r="M374" s="811" t="s">
        <v>1710</v>
      </c>
      <c r="N374" s="811" t="s">
        <v>1710</v>
      </c>
      <c r="O374" s="811" t="s">
        <v>1761</v>
      </c>
      <c r="P374" s="811" t="s">
        <v>1732</v>
      </c>
      <c r="Q374" s="811" t="s">
        <v>1733</v>
      </c>
    </row>
    <row r="375" spans="1:17" x14ac:dyDescent="0.3">
      <c r="A375" s="811" t="s">
        <v>2176</v>
      </c>
      <c r="B375" s="811" t="s">
        <v>2177</v>
      </c>
      <c r="C375" s="812">
        <v>460700000</v>
      </c>
      <c r="D375" s="811" t="s">
        <v>1509</v>
      </c>
      <c r="E375" s="811" t="s">
        <v>1509</v>
      </c>
      <c r="F375" s="811" t="s">
        <v>1741</v>
      </c>
      <c r="G375" s="811" t="s">
        <v>1727</v>
      </c>
      <c r="H375" s="811" t="s">
        <v>1728</v>
      </c>
      <c r="I375" s="811" t="s">
        <v>1729</v>
      </c>
      <c r="J375" s="813">
        <v>460700000</v>
      </c>
      <c r="K375" s="811" t="s">
        <v>1730</v>
      </c>
      <c r="L375" s="811" t="s">
        <v>1189</v>
      </c>
      <c r="M375" s="811" t="s">
        <v>1710</v>
      </c>
      <c r="N375" s="811" t="s">
        <v>1710</v>
      </c>
      <c r="O375" s="811" t="s">
        <v>1761</v>
      </c>
      <c r="P375" s="811" t="s">
        <v>1732</v>
      </c>
      <c r="Q375" s="811" t="s">
        <v>1733</v>
      </c>
    </row>
    <row r="376" spans="1:17" x14ac:dyDescent="0.3">
      <c r="A376" s="811" t="s">
        <v>2178</v>
      </c>
      <c r="B376" s="811" t="s">
        <v>2179</v>
      </c>
      <c r="C376" s="812">
        <v>400000000</v>
      </c>
      <c r="D376" s="811" t="s">
        <v>1525</v>
      </c>
      <c r="E376" s="811" t="s">
        <v>1525</v>
      </c>
      <c r="F376" s="811" t="s">
        <v>1737</v>
      </c>
      <c r="G376" s="811" t="s">
        <v>1727</v>
      </c>
      <c r="H376" s="811" t="s">
        <v>1803</v>
      </c>
      <c r="I376" s="811" t="s">
        <v>1729</v>
      </c>
      <c r="J376" s="813">
        <v>400000000</v>
      </c>
      <c r="K376" s="811" t="s">
        <v>1730</v>
      </c>
      <c r="L376" s="811" t="s">
        <v>1189</v>
      </c>
      <c r="M376" s="811" t="s">
        <v>1710</v>
      </c>
      <c r="N376" s="811" t="s">
        <v>1710</v>
      </c>
      <c r="O376" s="811" t="s">
        <v>1761</v>
      </c>
      <c r="P376" s="811" t="s">
        <v>1732</v>
      </c>
      <c r="Q376" s="811" t="s">
        <v>1733</v>
      </c>
    </row>
    <row r="377" spans="1:17" x14ac:dyDescent="0.3">
      <c r="A377" s="811" t="s">
        <v>2180</v>
      </c>
      <c r="B377" s="811" t="s">
        <v>2181</v>
      </c>
      <c r="C377" s="812">
        <v>200000000</v>
      </c>
      <c r="D377" s="811" t="s">
        <v>1501</v>
      </c>
      <c r="E377" s="811" t="s">
        <v>1501</v>
      </c>
      <c r="F377" s="811" t="s">
        <v>1737</v>
      </c>
      <c r="G377" s="811" t="s">
        <v>1727</v>
      </c>
      <c r="H377" s="811" t="s">
        <v>1803</v>
      </c>
      <c r="I377" s="811" t="s">
        <v>1729</v>
      </c>
      <c r="J377" s="813">
        <v>200000000</v>
      </c>
      <c r="K377" s="811" t="s">
        <v>1730</v>
      </c>
      <c r="L377" s="811" t="s">
        <v>1189</v>
      </c>
      <c r="M377" s="811" t="s">
        <v>1710</v>
      </c>
      <c r="N377" s="811" t="s">
        <v>1710</v>
      </c>
      <c r="O377" s="811" t="s">
        <v>1761</v>
      </c>
      <c r="P377" s="811" t="s">
        <v>1732</v>
      </c>
      <c r="Q377" s="811" t="s">
        <v>1733</v>
      </c>
    </row>
    <row r="378" spans="1:17" x14ac:dyDescent="0.3">
      <c r="A378" s="811" t="s">
        <v>2182</v>
      </c>
      <c r="B378" s="811" t="s">
        <v>2183</v>
      </c>
      <c r="C378" s="812">
        <v>301405000</v>
      </c>
      <c r="D378" s="811" t="s">
        <v>1501</v>
      </c>
      <c r="E378" s="811" t="s">
        <v>1501</v>
      </c>
      <c r="F378" s="811" t="s">
        <v>1737</v>
      </c>
      <c r="G378" s="811" t="s">
        <v>1727</v>
      </c>
      <c r="H378" s="811" t="s">
        <v>1728</v>
      </c>
      <c r="I378" s="811" t="s">
        <v>1729</v>
      </c>
      <c r="J378" s="813">
        <v>301405000</v>
      </c>
      <c r="K378" s="811" t="s">
        <v>1730</v>
      </c>
      <c r="L378" s="811" t="s">
        <v>1189</v>
      </c>
      <c r="M378" s="811" t="s">
        <v>1710</v>
      </c>
      <c r="N378" s="811" t="s">
        <v>1710</v>
      </c>
      <c r="O378" s="811" t="s">
        <v>1761</v>
      </c>
      <c r="P378" s="811" t="s">
        <v>1732</v>
      </c>
      <c r="Q378" s="811" t="s">
        <v>1733</v>
      </c>
    </row>
    <row r="379" spans="1:17" x14ac:dyDescent="0.3">
      <c r="A379" s="811" t="s">
        <v>1724</v>
      </c>
      <c r="B379" s="811" t="s">
        <v>2184</v>
      </c>
      <c r="C379" s="812">
        <v>85500000</v>
      </c>
      <c r="D379" s="811" t="s">
        <v>1501</v>
      </c>
      <c r="E379" s="811" t="s">
        <v>1501</v>
      </c>
      <c r="F379" s="811" t="s">
        <v>1741</v>
      </c>
      <c r="G379" s="811" t="s">
        <v>1727</v>
      </c>
      <c r="H379" s="811" t="s">
        <v>1728</v>
      </c>
      <c r="I379" s="811" t="s">
        <v>1729</v>
      </c>
      <c r="J379" s="813">
        <v>85500000</v>
      </c>
      <c r="K379" s="811" t="s">
        <v>1730</v>
      </c>
      <c r="L379" s="811" t="s">
        <v>1189</v>
      </c>
      <c r="M379" s="811" t="s">
        <v>1710</v>
      </c>
      <c r="N379" s="811" t="s">
        <v>1710</v>
      </c>
      <c r="O379" s="811" t="s">
        <v>1756</v>
      </c>
      <c r="P379" s="811" t="s">
        <v>1732</v>
      </c>
      <c r="Q379" s="811" t="s">
        <v>1757</v>
      </c>
    </row>
    <row r="380" spans="1:17" x14ac:dyDescent="0.3">
      <c r="A380" s="811" t="s">
        <v>1724</v>
      </c>
      <c r="B380" s="811" t="s">
        <v>2185</v>
      </c>
      <c r="C380" s="812">
        <v>64900000</v>
      </c>
      <c r="D380" s="811" t="s">
        <v>1505</v>
      </c>
      <c r="E380" s="811" t="s">
        <v>1505</v>
      </c>
      <c r="F380" s="811" t="s">
        <v>1764</v>
      </c>
      <c r="G380" s="811" t="s">
        <v>1727</v>
      </c>
      <c r="H380" s="811" t="s">
        <v>1728</v>
      </c>
      <c r="I380" s="811" t="s">
        <v>1729</v>
      </c>
      <c r="J380" s="813">
        <v>64900000</v>
      </c>
      <c r="K380" s="811" t="s">
        <v>1730</v>
      </c>
      <c r="L380" s="811" t="s">
        <v>1189</v>
      </c>
      <c r="M380" s="811" t="s">
        <v>1710</v>
      </c>
      <c r="N380" s="811" t="s">
        <v>1710</v>
      </c>
      <c r="O380" s="811" t="s">
        <v>1761</v>
      </c>
      <c r="P380" s="811" t="s">
        <v>1732</v>
      </c>
      <c r="Q380" s="811" t="s">
        <v>1733</v>
      </c>
    </row>
    <row r="381" spans="1:17" x14ac:dyDescent="0.3">
      <c r="A381" s="811" t="s">
        <v>1724</v>
      </c>
      <c r="B381" s="811" t="s">
        <v>2186</v>
      </c>
      <c r="C381" s="812">
        <v>48144000</v>
      </c>
      <c r="D381" s="811" t="s">
        <v>1495</v>
      </c>
      <c r="E381" s="811" t="s">
        <v>1495</v>
      </c>
      <c r="F381" s="811" t="s">
        <v>1747</v>
      </c>
      <c r="G381" s="811" t="s">
        <v>1727</v>
      </c>
      <c r="H381" s="811" t="s">
        <v>1728</v>
      </c>
      <c r="I381" s="811" t="s">
        <v>1729</v>
      </c>
      <c r="J381" s="813">
        <v>48144000</v>
      </c>
      <c r="K381" s="811" t="s">
        <v>1730</v>
      </c>
      <c r="L381" s="811" t="s">
        <v>1189</v>
      </c>
      <c r="M381" s="811" t="s">
        <v>1710</v>
      </c>
      <c r="N381" s="811" t="s">
        <v>1710</v>
      </c>
      <c r="O381" s="811" t="s">
        <v>1742</v>
      </c>
      <c r="P381" s="811" t="s">
        <v>1732</v>
      </c>
      <c r="Q381" s="811" t="s">
        <v>1743</v>
      </c>
    </row>
    <row r="382" spans="1:17" x14ac:dyDescent="0.3">
      <c r="A382" s="811" t="s">
        <v>1724</v>
      </c>
      <c r="B382" s="811" t="s">
        <v>2187</v>
      </c>
      <c r="C382" s="812">
        <v>37311600</v>
      </c>
      <c r="D382" s="811" t="s">
        <v>1495</v>
      </c>
      <c r="E382" s="811" t="s">
        <v>1495</v>
      </c>
      <c r="F382" s="811" t="s">
        <v>1747</v>
      </c>
      <c r="G382" s="811" t="s">
        <v>1727</v>
      </c>
      <c r="H382" s="811" t="s">
        <v>1728</v>
      </c>
      <c r="I382" s="811" t="s">
        <v>1729</v>
      </c>
      <c r="J382" s="813">
        <v>37311600</v>
      </c>
      <c r="K382" s="811" t="s">
        <v>1730</v>
      </c>
      <c r="L382" s="811" t="s">
        <v>1189</v>
      </c>
      <c r="M382" s="811" t="s">
        <v>1710</v>
      </c>
      <c r="N382" s="811" t="s">
        <v>1710</v>
      </c>
      <c r="O382" s="811" t="s">
        <v>1742</v>
      </c>
      <c r="P382" s="811" t="s">
        <v>1732</v>
      </c>
      <c r="Q382" s="811" t="s">
        <v>1743</v>
      </c>
    </row>
    <row r="383" spans="1:17" x14ac:dyDescent="0.3">
      <c r="A383" s="811" t="s">
        <v>1724</v>
      </c>
      <c r="B383" s="811" t="s">
        <v>2188</v>
      </c>
      <c r="C383" s="812">
        <v>27255780</v>
      </c>
      <c r="D383" s="811" t="s">
        <v>1501</v>
      </c>
      <c r="E383" s="811" t="s">
        <v>1501</v>
      </c>
      <c r="F383" s="811" t="s">
        <v>1760</v>
      </c>
      <c r="G383" s="811" t="s">
        <v>1727</v>
      </c>
      <c r="H383" s="811" t="s">
        <v>1728</v>
      </c>
      <c r="I383" s="811" t="s">
        <v>1729</v>
      </c>
      <c r="J383" s="813">
        <v>27255780</v>
      </c>
      <c r="K383" s="811" t="s">
        <v>1730</v>
      </c>
      <c r="L383" s="811" t="s">
        <v>1189</v>
      </c>
      <c r="M383" s="811" t="s">
        <v>1710</v>
      </c>
      <c r="N383" s="811" t="s">
        <v>1710</v>
      </c>
      <c r="O383" s="811" t="s">
        <v>1920</v>
      </c>
      <c r="P383" s="811" t="s">
        <v>1732</v>
      </c>
      <c r="Q383" s="811" t="s">
        <v>1785</v>
      </c>
    </row>
    <row r="384" spans="1:17" x14ac:dyDescent="0.3">
      <c r="A384" s="811" t="s">
        <v>1724</v>
      </c>
      <c r="B384" s="811" t="s">
        <v>2189</v>
      </c>
      <c r="C384" s="812">
        <v>27255780</v>
      </c>
      <c r="D384" s="811" t="s">
        <v>1501</v>
      </c>
      <c r="E384" s="811" t="s">
        <v>1501</v>
      </c>
      <c r="F384" s="811" t="s">
        <v>1760</v>
      </c>
      <c r="G384" s="811" t="s">
        <v>1727</v>
      </c>
      <c r="H384" s="811" t="s">
        <v>1728</v>
      </c>
      <c r="I384" s="811" t="s">
        <v>1729</v>
      </c>
      <c r="J384" s="813">
        <v>27255780</v>
      </c>
      <c r="K384" s="811" t="s">
        <v>1730</v>
      </c>
      <c r="L384" s="811" t="s">
        <v>1189</v>
      </c>
      <c r="M384" s="811" t="s">
        <v>1710</v>
      </c>
      <c r="N384" s="811" t="s">
        <v>1710</v>
      </c>
      <c r="O384" s="811" t="s">
        <v>1920</v>
      </c>
      <c r="P384" s="811" t="s">
        <v>1732</v>
      </c>
      <c r="Q384" s="811" t="s">
        <v>1785</v>
      </c>
    </row>
    <row r="385" spans="1:17" x14ac:dyDescent="0.3">
      <c r="A385" s="811" t="s">
        <v>1724</v>
      </c>
      <c r="B385" s="811" t="s">
        <v>2190</v>
      </c>
      <c r="C385" s="812">
        <v>40000000</v>
      </c>
      <c r="D385" s="811" t="s">
        <v>1501</v>
      </c>
      <c r="E385" s="811" t="s">
        <v>1501</v>
      </c>
      <c r="F385" s="811" t="s">
        <v>1726</v>
      </c>
      <c r="G385" s="811" t="s">
        <v>1727</v>
      </c>
      <c r="H385" s="811" t="s">
        <v>1728</v>
      </c>
      <c r="I385" s="811" t="s">
        <v>1729</v>
      </c>
      <c r="J385" s="813">
        <v>40000000</v>
      </c>
      <c r="K385" s="811" t="s">
        <v>1730</v>
      </c>
      <c r="L385" s="811" t="s">
        <v>1189</v>
      </c>
      <c r="M385" s="811" t="s">
        <v>1710</v>
      </c>
      <c r="N385" s="811" t="s">
        <v>1710</v>
      </c>
      <c r="O385" s="811" t="s">
        <v>1804</v>
      </c>
      <c r="P385" s="811" t="s">
        <v>1732</v>
      </c>
      <c r="Q385" s="811" t="s">
        <v>1739</v>
      </c>
    </row>
    <row r="386" spans="1:17" x14ac:dyDescent="0.3">
      <c r="A386" s="811" t="s">
        <v>1724</v>
      </c>
      <c r="B386" s="811" t="s">
        <v>2191</v>
      </c>
      <c r="C386" s="812">
        <v>42000000</v>
      </c>
      <c r="D386" s="811" t="s">
        <v>1501</v>
      </c>
      <c r="E386" s="811" t="s">
        <v>1501</v>
      </c>
      <c r="F386" s="811" t="s">
        <v>1737</v>
      </c>
      <c r="G386" s="811" t="s">
        <v>1727</v>
      </c>
      <c r="H386" s="811" t="s">
        <v>1728</v>
      </c>
      <c r="I386" s="811" t="s">
        <v>1729</v>
      </c>
      <c r="J386" s="813">
        <v>42000000</v>
      </c>
      <c r="K386" s="811" t="s">
        <v>1730</v>
      </c>
      <c r="L386" s="811" t="s">
        <v>1189</v>
      </c>
      <c r="M386" s="811" t="s">
        <v>1710</v>
      </c>
      <c r="N386" s="811" t="s">
        <v>1710</v>
      </c>
      <c r="O386" s="811" t="s">
        <v>1804</v>
      </c>
      <c r="P386" s="811" t="s">
        <v>1732</v>
      </c>
      <c r="Q386" s="811" t="s">
        <v>1739</v>
      </c>
    </row>
    <row r="387" spans="1:17" x14ac:dyDescent="0.3">
      <c r="A387" s="811" t="s">
        <v>1724</v>
      </c>
      <c r="B387" s="811" t="s">
        <v>2192</v>
      </c>
      <c r="C387" s="812">
        <v>54162000</v>
      </c>
      <c r="D387" s="811" t="s">
        <v>1501</v>
      </c>
      <c r="E387" s="811" t="s">
        <v>1501</v>
      </c>
      <c r="F387" s="811" t="s">
        <v>1760</v>
      </c>
      <c r="G387" s="811" t="s">
        <v>1727</v>
      </c>
      <c r="H387" s="811" t="s">
        <v>1728</v>
      </c>
      <c r="I387" s="811" t="s">
        <v>1729</v>
      </c>
      <c r="J387" s="813">
        <v>54162000</v>
      </c>
      <c r="K387" s="811" t="s">
        <v>1730</v>
      </c>
      <c r="L387" s="811" t="s">
        <v>1189</v>
      </c>
      <c r="M387" s="811" t="s">
        <v>1710</v>
      </c>
      <c r="N387" s="811" t="s">
        <v>1710</v>
      </c>
      <c r="O387" s="811" t="s">
        <v>1742</v>
      </c>
      <c r="P387" s="811" t="s">
        <v>1732</v>
      </c>
      <c r="Q387" s="811" t="s">
        <v>1743</v>
      </c>
    </row>
    <row r="388" spans="1:17" x14ac:dyDescent="0.3">
      <c r="A388" s="811" t="s">
        <v>1724</v>
      </c>
      <c r="B388" s="811" t="s">
        <v>2193</v>
      </c>
      <c r="C388" s="812">
        <v>22500000</v>
      </c>
      <c r="D388" s="811" t="s">
        <v>1495</v>
      </c>
      <c r="E388" s="811" t="s">
        <v>1495</v>
      </c>
      <c r="F388" s="811" t="s">
        <v>2074</v>
      </c>
      <c r="G388" s="811" t="s">
        <v>1727</v>
      </c>
      <c r="H388" s="811" t="s">
        <v>1728</v>
      </c>
      <c r="I388" s="811" t="s">
        <v>1729</v>
      </c>
      <c r="J388" s="813">
        <v>22500000</v>
      </c>
      <c r="K388" s="811" t="s">
        <v>1730</v>
      </c>
      <c r="L388" s="811" t="s">
        <v>1189</v>
      </c>
      <c r="M388" s="811" t="s">
        <v>1710</v>
      </c>
      <c r="N388" s="811" t="s">
        <v>1710</v>
      </c>
      <c r="O388" s="811" t="s">
        <v>2194</v>
      </c>
      <c r="P388" s="811" t="s">
        <v>2195</v>
      </c>
      <c r="Q388" s="811" t="s">
        <v>2196</v>
      </c>
    </row>
    <row r="389" spans="1:17" x14ac:dyDescent="0.3">
      <c r="A389" s="811" t="s">
        <v>1724</v>
      </c>
      <c r="B389" s="811" t="s">
        <v>2197</v>
      </c>
      <c r="C389" s="812">
        <v>16500000</v>
      </c>
      <c r="D389" s="811" t="s">
        <v>1495</v>
      </c>
      <c r="E389" s="811" t="s">
        <v>1495</v>
      </c>
      <c r="F389" s="811" t="s">
        <v>2074</v>
      </c>
      <c r="G389" s="811" t="s">
        <v>1727</v>
      </c>
      <c r="H389" s="811" t="s">
        <v>1728</v>
      </c>
      <c r="I389" s="811" t="s">
        <v>1729</v>
      </c>
      <c r="J389" s="813">
        <v>16500000</v>
      </c>
      <c r="K389" s="811" t="s">
        <v>1730</v>
      </c>
      <c r="L389" s="811" t="s">
        <v>1189</v>
      </c>
      <c r="M389" s="811" t="s">
        <v>1710</v>
      </c>
      <c r="N389" s="811" t="s">
        <v>1710</v>
      </c>
      <c r="O389" s="811" t="s">
        <v>2194</v>
      </c>
      <c r="P389" s="811" t="s">
        <v>2195</v>
      </c>
      <c r="Q389" s="811" t="s">
        <v>2196</v>
      </c>
    </row>
    <row r="390" spans="1:17" x14ac:dyDescent="0.3">
      <c r="A390" s="811" t="s">
        <v>1724</v>
      </c>
      <c r="B390" s="811" t="s">
        <v>2198</v>
      </c>
      <c r="C390" s="812">
        <v>12000000</v>
      </c>
      <c r="D390" s="811" t="s">
        <v>1501</v>
      </c>
      <c r="E390" s="811" t="s">
        <v>1501</v>
      </c>
      <c r="F390" s="811" t="s">
        <v>1793</v>
      </c>
      <c r="G390" s="811" t="s">
        <v>1727</v>
      </c>
      <c r="H390" s="811" t="s">
        <v>1728</v>
      </c>
      <c r="I390" s="811" t="s">
        <v>1729</v>
      </c>
      <c r="J390" s="813">
        <v>12000000</v>
      </c>
      <c r="K390" s="811" t="s">
        <v>1730</v>
      </c>
      <c r="L390" s="811" t="s">
        <v>1189</v>
      </c>
      <c r="M390" s="811" t="s">
        <v>1710</v>
      </c>
      <c r="N390" s="811" t="s">
        <v>1710</v>
      </c>
      <c r="O390" s="811" t="s">
        <v>2194</v>
      </c>
      <c r="P390" s="811" t="s">
        <v>2195</v>
      </c>
      <c r="Q390" s="811" t="s">
        <v>2196</v>
      </c>
    </row>
    <row r="391" spans="1:17" x14ac:dyDescent="0.3">
      <c r="A391" s="811" t="s">
        <v>1724</v>
      </c>
      <c r="B391" s="811" t="s">
        <v>2199</v>
      </c>
      <c r="C391" s="812">
        <v>40000000</v>
      </c>
      <c r="D391" s="811" t="s">
        <v>1505</v>
      </c>
      <c r="E391" s="811" t="s">
        <v>1505</v>
      </c>
      <c r="F391" s="811" t="s">
        <v>1760</v>
      </c>
      <c r="G391" s="811" t="s">
        <v>1727</v>
      </c>
      <c r="H391" s="811" t="s">
        <v>1728</v>
      </c>
      <c r="I391" s="811" t="s">
        <v>1729</v>
      </c>
      <c r="J391" s="813">
        <v>40000000</v>
      </c>
      <c r="K391" s="811" t="s">
        <v>1730</v>
      </c>
      <c r="L391" s="811" t="s">
        <v>1189</v>
      </c>
      <c r="M391" s="811" t="s">
        <v>1710</v>
      </c>
      <c r="N391" s="811" t="s">
        <v>1710</v>
      </c>
      <c r="O391" s="811" t="s">
        <v>2194</v>
      </c>
      <c r="P391" s="811" t="s">
        <v>2195</v>
      </c>
      <c r="Q391" s="811" t="s">
        <v>2196</v>
      </c>
    </row>
    <row r="392" spans="1:17" x14ac:dyDescent="0.3">
      <c r="A392" s="811" t="s">
        <v>2200</v>
      </c>
      <c r="B392" s="811" t="s">
        <v>2201</v>
      </c>
      <c r="C392" s="812">
        <v>34000000</v>
      </c>
      <c r="D392" s="811" t="s">
        <v>1509</v>
      </c>
      <c r="E392" s="811" t="s">
        <v>1509</v>
      </c>
      <c r="F392" s="811" t="s">
        <v>1737</v>
      </c>
      <c r="G392" s="811" t="s">
        <v>1727</v>
      </c>
      <c r="H392" s="811" t="s">
        <v>1650</v>
      </c>
      <c r="I392" s="811" t="s">
        <v>1729</v>
      </c>
      <c r="J392" s="813">
        <v>34000000</v>
      </c>
      <c r="K392" s="811" t="s">
        <v>1730</v>
      </c>
      <c r="L392" s="811" t="s">
        <v>1189</v>
      </c>
      <c r="M392" s="811" t="s">
        <v>1710</v>
      </c>
      <c r="N392" s="811" t="s">
        <v>1710</v>
      </c>
      <c r="O392" s="811" t="s">
        <v>2194</v>
      </c>
      <c r="P392" s="811" t="s">
        <v>2195</v>
      </c>
      <c r="Q392" s="811" t="s">
        <v>2196</v>
      </c>
    </row>
    <row r="393" spans="1:17" x14ac:dyDescent="0.3">
      <c r="A393" s="811" t="s">
        <v>1724</v>
      </c>
      <c r="B393" s="811" t="s">
        <v>2202</v>
      </c>
      <c r="C393" s="812">
        <v>54000000</v>
      </c>
      <c r="D393" s="811" t="s">
        <v>1501</v>
      </c>
      <c r="E393" s="811" t="s">
        <v>1501</v>
      </c>
      <c r="F393" s="811" t="s">
        <v>1741</v>
      </c>
      <c r="G393" s="811" t="s">
        <v>1727</v>
      </c>
      <c r="H393" s="811" t="s">
        <v>1728</v>
      </c>
      <c r="I393" s="811" t="s">
        <v>1729</v>
      </c>
      <c r="J393" s="813">
        <v>54000000</v>
      </c>
      <c r="K393" s="811" t="s">
        <v>1730</v>
      </c>
      <c r="L393" s="811" t="s">
        <v>1189</v>
      </c>
      <c r="M393" s="811" t="s">
        <v>1710</v>
      </c>
      <c r="N393" s="811" t="s">
        <v>1710</v>
      </c>
      <c r="O393" s="811" t="s">
        <v>2194</v>
      </c>
      <c r="P393" s="811" t="s">
        <v>2195</v>
      </c>
      <c r="Q393" s="811" t="s">
        <v>2196</v>
      </c>
    </row>
    <row r="394" spans="1:17" x14ac:dyDescent="0.3">
      <c r="A394" s="811" t="s">
        <v>1724</v>
      </c>
      <c r="B394" s="811" t="s">
        <v>2203</v>
      </c>
      <c r="C394" s="812">
        <v>40000000</v>
      </c>
      <c r="D394" s="811" t="s">
        <v>1502</v>
      </c>
      <c r="E394" s="811" t="s">
        <v>1502</v>
      </c>
      <c r="F394" s="811" t="s">
        <v>1773</v>
      </c>
      <c r="G394" s="811" t="s">
        <v>1727</v>
      </c>
      <c r="H394" s="811" t="s">
        <v>1728</v>
      </c>
      <c r="I394" s="811" t="s">
        <v>1729</v>
      </c>
      <c r="J394" s="813">
        <v>40000000</v>
      </c>
      <c r="K394" s="811" t="s">
        <v>1730</v>
      </c>
      <c r="L394" s="811" t="s">
        <v>1189</v>
      </c>
      <c r="M394" s="811" t="s">
        <v>1710</v>
      </c>
      <c r="N394" s="811" t="s">
        <v>1710</v>
      </c>
      <c r="O394" s="811" t="s">
        <v>2194</v>
      </c>
      <c r="P394" s="811" t="s">
        <v>2195</v>
      </c>
      <c r="Q394" s="811" t="s">
        <v>2196</v>
      </c>
    </row>
    <row r="395" spans="1:17" x14ac:dyDescent="0.3">
      <c r="A395" s="811" t="s">
        <v>1724</v>
      </c>
      <c r="B395" s="811" t="s">
        <v>2204</v>
      </c>
      <c r="C395" s="812">
        <v>58500000</v>
      </c>
      <c r="D395" s="811" t="s">
        <v>1501</v>
      </c>
      <c r="E395" s="811" t="s">
        <v>1501</v>
      </c>
      <c r="F395" s="811" t="s">
        <v>1741</v>
      </c>
      <c r="G395" s="811" t="s">
        <v>1727</v>
      </c>
      <c r="H395" s="811" t="s">
        <v>1728</v>
      </c>
      <c r="I395" s="811" t="s">
        <v>1729</v>
      </c>
      <c r="J395" s="813">
        <v>58500000</v>
      </c>
      <c r="K395" s="811" t="s">
        <v>1730</v>
      </c>
      <c r="L395" s="811" t="s">
        <v>1189</v>
      </c>
      <c r="M395" s="811" t="s">
        <v>1710</v>
      </c>
      <c r="N395" s="811" t="s">
        <v>1710</v>
      </c>
      <c r="O395" s="811" t="s">
        <v>2194</v>
      </c>
      <c r="P395" s="811" t="s">
        <v>2195</v>
      </c>
      <c r="Q395" s="811" t="s">
        <v>2196</v>
      </c>
    </row>
    <row r="396" spans="1:17" x14ac:dyDescent="0.3">
      <c r="A396" s="811" t="s">
        <v>1724</v>
      </c>
      <c r="B396" s="811" t="s">
        <v>2205</v>
      </c>
      <c r="C396" s="812">
        <v>60000000</v>
      </c>
      <c r="D396" s="811" t="s">
        <v>1611</v>
      </c>
      <c r="E396" s="811" t="s">
        <v>1611</v>
      </c>
      <c r="F396" s="811" t="s">
        <v>1726</v>
      </c>
      <c r="G396" s="811" t="s">
        <v>1727</v>
      </c>
      <c r="H396" s="811" t="s">
        <v>1728</v>
      </c>
      <c r="I396" s="811" t="s">
        <v>1729</v>
      </c>
      <c r="J396" s="813">
        <v>60000000</v>
      </c>
      <c r="K396" s="811" t="s">
        <v>1730</v>
      </c>
      <c r="L396" s="811" t="s">
        <v>1189</v>
      </c>
      <c r="M396" s="811" t="s">
        <v>1710</v>
      </c>
      <c r="N396" s="811" t="s">
        <v>1710</v>
      </c>
      <c r="O396" s="811" t="s">
        <v>2194</v>
      </c>
      <c r="P396" s="811" t="s">
        <v>2195</v>
      </c>
      <c r="Q396" s="811" t="s">
        <v>2196</v>
      </c>
    </row>
    <row r="397" spans="1:17" x14ac:dyDescent="0.3">
      <c r="A397" s="811" t="s">
        <v>2206</v>
      </c>
      <c r="B397" s="811" t="s">
        <v>2207</v>
      </c>
      <c r="C397" s="812">
        <v>650000000</v>
      </c>
      <c r="D397" s="811" t="s">
        <v>1510</v>
      </c>
      <c r="E397" s="811" t="s">
        <v>1510</v>
      </c>
      <c r="F397" s="811" t="s">
        <v>1814</v>
      </c>
      <c r="G397" s="811" t="s">
        <v>1727</v>
      </c>
      <c r="H397" s="811" t="s">
        <v>1728</v>
      </c>
      <c r="I397" s="811" t="s">
        <v>1729</v>
      </c>
      <c r="J397" s="813">
        <v>650000000</v>
      </c>
      <c r="K397" s="811" t="s">
        <v>1730</v>
      </c>
      <c r="L397" s="811" t="s">
        <v>1189</v>
      </c>
      <c r="M397" s="811" t="s">
        <v>1710</v>
      </c>
      <c r="N397" s="811" t="s">
        <v>1710</v>
      </c>
      <c r="O397" s="811" t="s">
        <v>2194</v>
      </c>
      <c r="P397" s="811" t="s">
        <v>2195</v>
      </c>
      <c r="Q397" s="811" t="s">
        <v>2196</v>
      </c>
    </row>
    <row r="398" spans="1:17" x14ac:dyDescent="0.3">
      <c r="A398" s="811" t="s">
        <v>1724</v>
      </c>
      <c r="B398" s="811" t="s">
        <v>2208</v>
      </c>
      <c r="C398" s="812">
        <v>28619969</v>
      </c>
      <c r="D398" s="811" t="s">
        <v>1501</v>
      </c>
      <c r="E398" s="811" t="s">
        <v>1501</v>
      </c>
      <c r="F398" s="811" t="s">
        <v>1773</v>
      </c>
      <c r="G398" s="811" t="s">
        <v>1727</v>
      </c>
      <c r="H398" s="811" t="s">
        <v>1728</v>
      </c>
      <c r="I398" s="811" t="s">
        <v>1729</v>
      </c>
      <c r="J398" s="813">
        <v>28619969</v>
      </c>
      <c r="K398" s="811" t="s">
        <v>1730</v>
      </c>
      <c r="L398" s="811" t="s">
        <v>1189</v>
      </c>
      <c r="M398" s="811" t="s">
        <v>1710</v>
      </c>
      <c r="N398" s="811" t="s">
        <v>1710</v>
      </c>
      <c r="O398" s="811" t="s">
        <v>2209</v>
      </c>
      <c r="P398" s="811" t="s">
        <v>1732</v>
      </c>
      <c r="Q398" s="811" t="s">
        <v>1799</v>
      </c>
    </row>
    <row r="399" spans="1:17" x14ac:dyDescent="0.3">
      <c r="A399" s="811" t="s">
        <v>2210</v>
      </c>
      <c r="B399" s="811" t="s">
        <v>2211</v>
      </c>
      <c r="C399" s="812">
        <v>41337934</v>
      </c>
      <c r="D399" s="811" t="s">
        <v>1611</v>
      </c>
      <c r="E399" s="811" t="s">
        <v>1611</v>
      </c>
      <c r="F399" s="811" t="s">
        <v>1773</v>
      </c>
      <c r="G399" s="811" t="s">
        <v>1727</v>
      </c>
      <c r="H399" s="811" t="s">
        <v>1728</v>
      </c>
      <c r="I399" s="811" t="s">
        <v>1729</v>
      </c>
      <c r="J399" s="813">
        <v>41337934</v>
      </c>
      <c r="K399" s="811" t="s">
        <v>1730</v>
      </c>
      <c r="L399" s="811" t="s">
        <v>1189</v>
      </c>
      <c r="M399" s="811" t="s">
        <v>1710</v>
      </c>
      <c r="N399" s="811" t="s">
        <v>1710</v>
      </c>
      <c r="O399" s="811" t="s">
        <v>2209</v>
      </c>
      <c r="P399" s="811" t="s">
        <v>1732</v>
      </c>
      <c r="Q399" s="811" t="s">
        <v>1799</v>
      </c>
    </row>
    <row r="400" spans="1:17" x14ac:dyDescent="0.3">
      <c r="A400" s="811" t="s">
        <v>1724</v>
      </c>
      <c r="B400" s="811" t="s">
        <v>2212</v>
      </c>
      <c r="C400" s="812">
        <v>28619969</v>
      </c>
      <c r="D400" s="811" t="s">
        <v>1505</v>
      </c>
      <c r="E400" s="811" t="s">
        <v>1505</v>
      </c>
      <c r="F400" s="811" t="s">
        <v>1773</v>
      </c>
      <c r="G400" s="811" t="s">
        <v>1727</v>
      </c>
      <c r="H400" s="811" t="s">
        <v>1728</v>
      </c>
      <c r="I400" s="811" t="s">
        <v>1729</v>
      </c>
      <c r="J400" s="813">
        <v>28619969</v>
      </c>
      <c r="K400" s="811" t="s">
        <v>1730</v>
      </c>
      <c r="L400" s="811" t="s">
        <v>1189</v>
      </c>
      <c r="M400" s="811" t="s">
        <v>1710</v>
      </c>
      <c r="N400" s="811" t="s">
        <v>1710</v>
      </c>
      <c r="O400" s="811" t="s">
        <v>2209</v>
      </c>
      <c r="P400" s="811" t="s">
        <v>1732</v>
      </c>
      <c r="Q400" s="811" t="s">
        <v>1799</v>
      </c>
    </row>
    <row r="401" spans="1:17" x14ac:dyDescent="0.3">
      <c r="A401" s="811" t="s">
        <v>1724</v>
      </c>
      <c r="B401" s="811" t="s">
        <v>2213</v>
      </c>
      <c r="C401" s="812">
        <v>41337934</v>
      </c>
      <c r="D401" s="811" t="s">
        <v>1611</v>
      </c>
      <c r="E401" s="811" t="s">
        <v>1611</v>
      </c>
      <c r="F401" s="811" t="s">
        <v>1773</v>
      </c>
      <c r="G401" s="811" t="s">
        <v>1727</v>
      </c>
      <c r="H401" s="811" t="s">
        <v>1728</v>
      </c>
      <c r="I401" s="811" t="s">
        <v>1729</v>
      </c>
      <c r="J401" s="813">
        <v>41337934</v>
      </c>
      <c r="K401" s="811" t="s">
        <v>1730</v>
      </c>
      <c r="L401" s="811" t="s">
        <v>1189</v>
      </c>
      <c r="M401" s="811" t="s">
        <v>1710</v>
      </c>
      <c r="N401" s="811" t="s">
        <v>1710</v>
      </c>
      <c r="O401" s="811" t="s">
        <v>2209</v>
      </c>
      <c r="P401" s="811" t="s">
        <v>1732</v>
      </c>
      <c r="Q401" s="811" t="s">
        <v>1799</v>
      </c>
    </row>
    <row r="402" spans="1:17" x14ac:dyDescent="0.3">
      <c r="A402" s="811" t="s">
        <v>1724</v>
      </c>
      <c r="B402" s="811" t="s">
        <v>2214</v>
      </c>
      <c r="C402" s="812">
        <v>41337934</v>
      </c>
      <c r="D402" s="811" t="s">
        <v>1611</v>
      </c>
      <c r="E402" s="811" t="s">
        <v>1611</v>
      </c>
      <c r="F402" s="811" t="s">
        <v>1773</v>
      </c>
      <c r="G402" s="811" t="s">
        <v>1727</v>
      </c>
      <c r="H402" s="811" t="s">
        <v>1728</v>
      </c>
      <c r="I402" s="811" t="s">
        <v>1729</v>
      </c>
      <c r="J402" s="813">
        <v>41337934</v>
      </c>
      <c r="K402" s="811" t="s">
        <v>1730</v>
      </c>
      <c r="L402" s="811" t="s">
        <v>1189</v>
      </c>
      <c r="M402" s="811" t="s">
        <v>1710</v>
      </c>
      <c r="N402" s="811" t="s">
        <v>1710</v>
      </c>
      <c r="O402" s="811" t="s">
        <v>2209</v>
      </c>
      <c r="P402" s="811" t="s">
        <v>1732</v>
      </c>
      <c r="Q402" s="811" t="s">
        <v>1799</v>
      </c>
    </row>
    <row r="403" spans="1:17" x14ac:dyDescent="0.3">
      <c r="A403" s="811" t="s">
        <v>1724</v>
      </c>
      <c r="B403" s="811" t="s">
        <v>2215</v>
      </c>
      <c r="C403" s="812">
        <v>41337934</v>
      </c>
      <c r="D403" s="811" t="s">
        <v>1501</v>
      </c>
      <c r="E403" s="811" t="s">
        <v>1501</v>
      </c>
      <c r="F403" s="811" t="s">
        <v>1773</v>
      </c>
      <c r="G403" s="811" t="s">
        <v>1727</v>
      </c>
      <c r="H403" s="811" t="s">
        <v>1728</v>
      </c>
      <c r="I403" s="811" t="s">
        <v>1729</v>
      </c>
      <c r="J403" s="813">
        <v>41337934</v>
      </c>
      <c r="K403" s="811" t="s">
        <v>1730</v>
      </c>
      <c r="L403" s="811" t="s">
        <v>1189</v>
      </c>
      <c r="M403" s="811" t="s">
        <v>1710</v>
      </c>
      <c r="N403" s="811" t="s">
        <v>1710</v>
      </c>
      <c r="O403" s="811" t="s">
        <v>2209</v>
      </c>
      <c r="P403" s="811" t="s">
        <v>1732</v>
      </c>
      <c r="Q403" s="811" t="s">
        <v>1799</v>
      </c>
    </row>
    <row r="404" spans="1:17" x14ac:dyDescent="0.3">
      <c r="A404" s="811" t="s">
        <v>1724</v>
      </c>
      <c r="B404" s="811" t="s">
        <v>2216</v>
      </c>
      <c r="C404" s="812">
        <v>29072832</v>
      </c>
      <c r="D404" s="811" t="s">
        <v>1611</v>
      </c>
      <c r="E404" s="811" t="s">
        <v>1611</v>
      </c>
      <c r="F404" s="811" t="s">
        <v>1793</v>
      </c>
      <c r="G404" s="811" t="s">
        <v>1727</v>
      </c>
      <c r="H404" s="811" t="s">
        <v>1728</v>
      </c>
      <c r="I404" s="811" t="s">
        <v>1729</v>
      </c>
      <c r="J404" s="813">
        <v>29072832</v>
      </c>
      <c r="K404" s="811" t="s">
        <v>1730</v>
      </c>
      <c r="L404" s="811" t="s">
        <v>1189</v>
      </c>
      <c r="M404" s="811" t="s">
        <v>1710</v>
      </c>
      <c r="N404" s="811" t="s">
        <v>1710</v>
      </c>
      <c r="O404" s="811" t="s">
        <v>2209</v>
      </c>
      <c r="P404" s="811" t="s">
        <v>1732</v>
      </c>
      <c r="Q404" s="811" t="s">
        <v>1799</v>
      </c>
    </row>
    <row r="405" spans="1:17" x14ac:dyDescent="0.3">
      <c r="A405" s="811" t="s">
        <v>1724</v>
      </c>
      <c r="B405" s="811" t="s">
        <v>2217</v>
      </c>
      <c r="C405" s="812">
        <v>56838880</v>
      </c>
      <c r="D405" s="811" t="s">
        <v>1505</v>
      </c>
      <c r="E405" s="811" t="s">
        <v>1505</v>
      </c>
      <c r="F405" s="811" t="s">
        <v>1773</v>
      </c>
      <c r="G405" s="811" t="s">
        <v>1727</v>
      </c>
      <c r="H405" s="811" t="s">
        <v>1728</v>
      </c>
      <c r="I405" s="811" t="s">
        <v>1729</v>
      </c>
      <c r="J405" s="813">
        <v>56838880</v>
      </c>
      <c r="K405" s="811" t="s">
        <v>1730</v>
      </c>
      <c r="L405" s="811" t="s">
        <v>1189</v>
      </c>
      <c r="M405" s="811" t="s">
        <v>1710</v>
      </c>
      <c r="N405" s="811" t="s">
        <v>1710</v>
      </c>
      <c r="O405" s="811" t="s">
        <v>2209</v>
      </c>
      <c r="P405" s="811" t="s">
        <v>1732</v>
      </c>
      <c r="Q405" s="811" t="s">
        <v>1799</v>
      </c>
    </row>
    <row r="406" spans="1:17" x14ac:dyDescent="0.3">
      <c r="A406" s="811" t="s">
        <v>1724</v>
      </c>
      <c r="B406" s="811" t="s">
        <v>2218</v>
      </c>
      <c r="C406" s="812">
        <v>24530202</v>
      </c>
      <c r="D406" s="811" t="s">
        <v>1501</v>
      </c>
      <c r="E406" s="811" t="s">
        <v>1501</v>
      </c>
      <c r="F406" s="811" t="s">
        <v>1737</v>
      </c>
      <c r="G406" s="811" t="s">
        <v>1727</v>
      </c>
      <c r="H406" s="811" t="s">
        <v>1728</v>
      </c>
      <c r="I406" s="811" t="s">
        <v>1729</v>
      </c>
      <c r="J406" s="813">
        <v>24530202</v>
      </c>
      <c r="K406" s="811" t="s">
        <v>1730</v>
      </c>
      <c r="L406" s="811" t="s">
        <v>1189</v>
      </c>
      <c r="M406" s="811" t="s">
        <v>1710</v>
      </c>
      <c r="N406" s="811" t="s">
        <v>1710</v>
      </c>
      <c r="O406" s="811" t="s">
        <v>2209</v>
      </c>
      <c r="P406" s="811" t="s">
        <v>1732</v>
      </c>
      <c r="Q406" s="811" t="s">
        <v>1799</v>
      </c>
    </row>
    <row r="407" spans="1:17" x14ac:dyDescent="0.3">
      <c r="A407" s="811" t="s">
        <v>1724</v>
      </c>
      <c r="B407" s="811" t="s">
        <v>2219</v>
      </c>
      <c r="C407" s="812">
        <v>32704000</v>
      </c>
      <c r="D407" s="811" t="s">
        <v>1502</v>
      </c>
      <c r="E407" s="811" t="s">
        <v>1502</v>
      </c>
      <c r="F407" s="811" t="s">
        <v>1726</v>
      </c>
      <c r="G407" s="811" t="s">
        <v>1727</v>
      </c>
      <c r="H407" s="811" t="s">
        <v>1728</v>
      </c>
      <c r="I407" s="811" t="s">
        <v>1729</v>
      </c>
      <c r="J407" s="813">
        <v>32704000</v>
      </c>
      <c r="K407" s="811" t="s">
        <v>1730</v>
      </c>
      <c r="L407" s="811" t="s">
        <v>1189</v>
      </c>
      <c r="M407" s="811" t="s">
        <v>1710</v>
      </c>
      <c r="N407" s="811" t="s">
        <v>1710</v>
      </c>
      <c r="O407" s="811" t="s">
        <v>1844</v>
      </c>
      <c r="P407" s="811" t="s">
        <v>1732</v>
      </c>
      <c r="Q407" s="811" t="s">
        <v>1780</v>
      </c>
    </row>
    <row r="408" spans="1:17" x14ac:dyDescent="0.3">
      <c r="A408" s="811" t="s">
        <v>1724</v>
      </c>
      <c r="B408" s="811" t="s">
        <v>2220</v>
      </c>
      <c r="C408" s="812">
        <v>30000000</v>
      </c>
      <c r="D408" s="811" t="s">
        <v>1510</v>
      </c>
      <c r="E408" s="811" t="s">
        <v>1510</v>
      </c>
      <c r="F408" s="811" t="s">
        <v>1814</v>
      </c>
      <c r="G408" s="811" t="s">
        <v>1727</v>
      </c>
      <c r="H408" s="811" t="s">
        <v>1728</v>
      </c>
      <c r="I408" s="811" t="s">
        <v>1729</v>
      </c>
      <c r="J408" s="813">
        <v>30000000</v>
      </c>
      <c r="K408" s="811" t="s">
        <v>1730</v>
      </c>
      <c r="L408" s="811" t="s">
        <v>1189</v>
      </c>
      <c r="M408" s="811" t="s">
        <v>1710</v>
      </c>
      <c r="N408" s="811" t="s">
        <v>1710</v>
      </c>
      <c r="O408" s="811" t="s">
        <v>1844</v>
      </c>
      <c r="P408" s="811" t="s">
        <v>1732</v>
      </c>
      <c r="Q408" s="811" t="s">
        <v>1780</v>
      </c>
    </row>
    <row r="409" spans="1:17" x14ac:dyDescent="0.3">
      <c r="A409" s="811" t="s">
        <v>1724</v>
      </c>
      <c r="B409" s="811" t="s">
        <v>2221</v>
      </c>
      <c r="C409" s="812">
        <v>8000000</v>
      </c>
      <c r="D409" s="811" t="s">
        <v>1505</v>
      </c>
      <c r="E409" s="811" t="s">
        <v>1505</v>
      </c>
      <c r="F409" s="811" t="s">
        <v>1760</v>
      </c>
      <c r="G409" s="811" t="s">
        <v>1727</v>
      </c>
      <c r="H409" s="811" t="s">
        <v>1728</v>
      </c>
      <c r="I409" s="811" t="s">
        <v>1729</v>
      </c>
      <c r="J409" s="813">
        <v>8000000</v>
      </c>
      <c r="K409" s="811" t="s">
        <v>1730</v>
      </c>
      <c r="L409" s="811" t="s">
        <v>1189</v>
      </c>
      <c r="M409" s="811" t="s">
        <v>1710</v>
      </c>
      <c r="N409" s="811" t="s">
        <v>1710</v>
      </c>
      <c r="O409" s="811" t="s">
        <v>1779</v>
      </c>
      <c r="P409" s="811" t="s">
        <v>1732</v>
      </c>
      <c r="Q409" s="811" t="s">
        <v>1780</v>
      </c>
    </row>
    <row r="410" spans="1:17" x14ac:dyDescent="0.3">
      <c r="A410" s="811" t="s">
        <v>1724</v>
      </c>
      <c r="B410" s="811" t="s">
        <v>2222</v>
      </c>
      <c r="C410" s="812">
        <v>5940000</v>
      </c>
      <c r="D410" s="811" t="s">
        <v>1505</v>
      </c>
      <c r="E410" s="811" t="s">
        <v>1505</v>
      </c>
      <c r="F410" s="811" t="s">
        <v>1764</v>
      </c>
      <c r="G410" s="811" t="s">
        <v>1727</v>
      </c>
      <c r="H410" s="811" t="s">
        <v>1728</v>
      </c>
      <c r="I410" s="811" t="s">
        <v>1729</v>
      </c>
      <c r="J410" s="813">
        <v>5940000</v>
      </c>
      <c r="K410" s="811" t="s">
        <v>1730</v>
      </c>
      <c r="L410" s="811" t="s">
        <v>1189</v>
      </c>
      <c r="M410" s="811" t="s">
        <v>1710</v>
      </c>
      <c r="N410" s="811" t="s">
        <v>1710</v>
      </c>
      <c r="O410" s="811" t="s">
        <v>1779</v>
      </c>
      <c r="P410" s="811" t="s">
        <v>1732</v>
      </c>
      <c r="Q410" s="811" t="s">
        <v>1780</v>
      </c>
    </row>
    <row r="411" spans="1:17" x14ac:dyDescent="0.3">
      <c r="A411" s="811" t="s">
        <v>1724</v>
      </c>
      <c r="B411" s="811" t="s">
        <v>2223</v>
      </c>
      <c r="C411" s="812">
        <v>42000000</v>
      </c>
      <c r="D411" s="811" t="s">
        <v>1509</v>
      </c>
      <c r="E411" s="811" t="s">
        <v>1509</v>
      </c>
      <c r="F411" s="811" t="s">
        <v>1773</v>
      </c>
      <c r="G411" s="811" t="s">
        <v>1727</v>
      </c>
      <c r="H411" s="811" t="s">
        <v>1728</v>
      </c>
      <c r="I411" s="811" t="s">
        <v>1729</v>
      </c>
      <c r="J411" s="813">
        <v>42000000</v>
      </c>
      <c r="K411" s="811" t="s">
        <v>1730</v>
      </c>
      <c r="L411" s="811" t="s">
        <v>1189</v>
      </c>
      <c r="M411" s="811" t="s">
        <v>1710</v>
      </c>
      <c r="N411" s="811" t="s">
        <v>1710</v>
      </c>
      <c r="O411" s="811" t="s">
        <v>1779</v>
      </c>
      <c r="P411" s="811" t="s">
        <v>1732</v>
      </c>
      <c r="Q411" s="811" t="s">
        <v>1780</v>
      </c>
    </row>
    <row r="412" spans="1:17" x14ac:dyDescent="0.3">
      <c r="A412" s="811" t="s">
        <v>1724</v>
      </c>
      <c r="B412" s="811" t="s">
        <v>2224</v>
      </c>
      <c r="C412" s="812">
        <v>35000000</v>
      </c>
      <c r="D412" s="811" t="s">
        <v>1509</v>
      </c>
      <c r="E412" s="811" t="s">
        <v>1509</v>
      </c>
      <c r="F412" s="811" t="s">
        <v>1773</v>
      </c>
      <c r="G412" s="811" t="s">
        <v>1727</v>
      </c>
      <c r="H412" s="811" t="s">
        <v>1728</v>
      </c>
      <c r="I412" s="811" t="s">
        <v>1729</v>
      </c>
      <c r="J412" s="813">
        <v>35000000</v>
      </c>
      <c r="K412" s="811" t="s">
        <v>1730</v>
      </c>
      <c r="L412" s="811" t="s">
        <v>1189</v>
      </c>
      <c r="M412" s="811" t="s">
        <v>1710</v>
      </c>
      <c r="N412" s="811" t="s">
        <v>1710</v>
      </c>
      <c r="O412" s="811" t="s">
        <v>1779</v>
      </c>
      <c r="P412" s="811" t="s">
        <v>1732</v>
      </c>
      <c r="Q412" s="811" t="s">
        <v>1780</v>
      </c>
    </row>
    <row r="413" spans="1:17" x14ac:dyDescent="0.3">
      <c r="A413" s="811" t="s">
        <v>1724</v>
      </c>
      <c r="B413" s="811" t="s">
        <v>2225</v>
      </c>
      <c r="C413" s="812">
        <v>20440000</v>
      </c>
      <c r="D413" s="811" t="s">
        <v>1509</v>
      </c>
      <c r="E413" s="811" t="s">
        <v>1509</v>
      </c>
      <c r="F413" s="811" t="s">
        <v>1814</v>
      </c>
      <c r="G413" s="811" t="s">
        <v>1727</v>
      </c>
      <c r="H413" s="811" t="s">
        <v>1728</v>
      </c>
      <c r="I413" s="811" t="s">
        <v>1729</v>
      </c>
      <c r="J413" s="813">
        <v>20440000</v>
      </c>
      <c r="K413" s="811" t="s">
        <v>1730</v>
      </c>
      <c r="L413" s="811" t="s">
        <v>1189</v>
      </c>
      <c r="M413" s="811" t="s">
        <v>1710</v>
      </c>
      <c r="N413" s="811" t="s">
        <v>1710</v>
      </c>
      <c r="O413" s="811" t="s">
        <v>1779</v>
      </c>
      <c r="P413" s="811" t="s">
        <v>1732</v>
      </c>
      <c r="Q413" s="811" t="s">
        <v>1780</v>
      </c>
    </row>
    <row r="414" spans="1:17" x14ac:dyDescent="0.3">
      <c r="A414" s="811" t="s">
        <v>1724</v>
      </c>
      <c r="B414" s="811" t="s">
        <v>2226</v>
      </c>
      <c r="C414" s="812">
        <v>21000000</v>
      </c>
      <c r="D414" s="811" t="s">
        <v>1509</v>
      </c>
      <c r="E414" s="811" t="s">
        <v>1509</v>
      </c>
      <c r="F414" s="811" t="s">
        <v>1773</v>
      </c>
      <c r="G414" s="811" t="s">
        <v>1727</v>
      </c>
      <c r="H414" s="811" t="s">
        <v>1728</v>
      </c>
      <c r="I414" s="811" t="s">
        <v>1729</v>
      </c>
      <c r="J414" s="813">
        <v>21000000</v>
      </c>
      <c r="K414" s="811" t="s">
        <v>1730</v>
      </c>
      <c r="L414" s="811" t="s">
        <v>1189</v>
      </c>
      <c r="M414" s="811" t="s">
        <v>1710</v>
      </c>
      <c r="N414" s="811" t="s">
        <v>1710</v>
      </c>
      <c r="O414" s="811" t="s">
        <v>1779</v>
      </c>
      <c r="P414" s="811" t="s">
        <v>1732</v>
      </c>
      <c r="Q414" s="811" t="s">
        <v>1780</v>
      </c>
    </row>
    <row r="415" spans="1:17" x14ac:dyDescent="0.3">
      <c r="A415" s="811" t="s">
        <v>2227</v>
      </c>
      <c r="B415" s="811" t="s">
        <v>2228</v>
      </c>
      <c r="C415" s="812">
        <v>281078765</v>
      </c>
      <c r="D415" s="811" t="s">
        <v>1501</v>
      </c>
      <c r="E415" s="811" t="s">
        <v>1501</v>
      </c>
      <c r="F415" s="811" t="s">
        <v>1793</v>
      </c>
      <c r="G415" s="811" t="s">
        <v>1727</v>
      </c>
      <c r="H415" s="811" t="s">
        <v>1904</v>
      </c>
      <c r="I415" s="811" t="s">
        <v>1729</v>
      </c>
      <c r="J415" s="813">
        <v>281078765</v>
      </c>
      <c r="K415" s="811" t="s">
        <v>1730</v>
      </c>
      <c r="L415" s="811" t="s">
        <v>1189</v>
      </c>
      <c r="M415" s="811" t="s">
        <v>1710</v>
      </c>
      <c r="N415" s="811" t="s">
        <v>1710</v>
      </c>
      <c r="O415" s="811" t="s">
        <v>1779</v>
      </c>
      <c r="P415" s="811" t="s">
        <v>1732</v>
      </c>
      <c r="Q415" s="811" t="s">
        <v>1780</v>
      </c>
    </row>
    <row r="416" spans="1:17" x14ac:dyDescent="0.3">
      <c r="A416" s="811" t="s">
        <v>2229</v>
      </c>
      <c r="B416" s="811" t="s">
        <v>2230</v>
      </c>
      <c r="C416" s="812">
        <v>351000000</v>
      </c>
      <c r="D416" s="811" t="s">
        <v>1611</v>
      </c>
      <c r="E416" s="811" t="s">
        <v>1502</v>
      </c>
      <c r="F416" s="811" t="s">
        <v>2074</v>
      </c>
      <c r="G416" s="811" t="s">
        <v>1727</v>
      </c>
      <c r="H416" s="811" t="s">
        <v>1865</v>
      </c>
      <c r="I416" s="811" t="s">
        <v>1729</v>
      </c>
      <c r="J416" s="813">
        <v>351000000</v>
      </c>
      <c r="K416" s="811" t="s">
        <v>1730</v>
      </c>
      <c r="L416" s="811" t="s">
        <v>1189</v>
      </c>
      <c r="M416" s="811" t="s">
        <v>1710</v>
      </c>
      <c r="N416" s="811" t="s">
        <v>1710</v>
      </c>
      <c r="O416" s="811" t="s">
        <v>1779</v>
      </c>
      <c r="P416" s="811" t="s">
        <v>1732</v>
      </c>
      <c r="Q416" s="811" t="s">
        <v>1780</v>
      </c>
    </row>
    <row r="417" spans="1:17" x14ac:dyDescent="0.3">
      <c r="A417" s="811" t="s">
        <v>2231</v>
      </c>
      <c r="B417" s="811" t="s">
        <v>2232</v>
      </c>
      <c r="C417" s="812">
        <v>365849462</v>
      </c>
      <c r="D417" s="811" t="s">
        <v>1502</v>
      </c>
      <c r="E417" s="811" t="s">
        <v>1502</v>
      </c>
      <c r="F417" s="811" t="s">
        <v>1737</v>
      </c>
      <c r="G417" s="811" t="s">
        <v>1727</v>
      </c>
      <c r="H417" s="811" t="s">
        <v>1803</v>
      </c>
      <c r="I417" s="811" t="s">
        <v>1729</v>
      </c>
      <c r="J417" s="813">
        <v>368824461</v>
      </c>
      <c r="K417" s="811" t="s">
        <v>1730</v>
      </c>
      <c r="L417" s="811" t="s">
        <v>1189</v>
      </c>
      <c r="M417" s="811" t="s">
        <v>1710</v>
      </c>
      <c r="N417" s="811" t="s">
        <v>1710</v>
      </c>
      <c r="O417" s="811" t="s">
        <v>1779</v>
      </c>
      <c r="P417" s="811" t="s">
        <v>1732</v>
      </c>
      <c r="Q417" s="811" t="s">
        <v>1780</v>
      </c>
    </row>
    <row r="418" spans="1:17" x14ac:dyDescent="0.3">
      <c r="A418" s="811" t="s">
        <v>2229</v>
      </c>
      <c r="B418" s="811" t="s">
        <v>2233</v>
      </c>
      <c r="C418" s="812">
        <v>2425072235</v>
      </c>
      <c r="D418" s="811" t="s">
        <v>1525</v>
      </c>
      <c r="E418" s="811" t="s">
        <v>1514</v>
      </c>
      <c r="F418" s="811" t="s">
        <v>1737</v>
      </c>
      <c r="G418" s="811" t="s">
        <v>1727</v>
      </c>
      <c r="H418" s="811" t="s">
        <v>1859</v>
      </c>
      <c r="I418" s="811" t="s">
        <v>1729</v>
      </c>
      <c r="J418" s="813">
        <v>2425072235</v>
      </c>
      <c r="K418" s="811" t="s">
        <v>1730</v>
      </c>
      <c r="L418" s="811" t="s">
        <v>1189</v>
      </c>
      <c r="M418" s="811" t="s">
        <v>1710</v>
      </c>
      <c r="N418" s="811" t="s">
        <v>1710</v>
      </c>
      <c r="O418" s="811" t="s">
        <v>1779</v>
      </c>
      <c r="P418" s="811" t="s">
        <v>1732</v>
      </c>
      <c r="Q418" s="811" t="s">
        <v>1780</v>
      </c>
    </row>
    <row r="419" spans="1:17" x14ac:dyDescent="0.3">
      <c r="A419" s="811" t="s">
        <v>2234</v>
      </c>
      <c r="B419" s="811" t="s">
        <v>2235</v>
      </c>
      <c r="C419" s="812">
        <v>100000000</v>
      </c>
      <c r="D419" s="811" t="s">
        <v>2236</v>
      </c>
      <c r="E419" s="811" t="s">
        <v>2236</v>
      </c>
      <c r="F419" s="811" t="s">
        <v>2074</v>
      </c>
      <c r="G419" s="811" t="s">
        <v>1727</v>
      </c>
      <c r="H419" s="811" t="s">
        <v>1865</v>
      </c>
      <c r="I419" s="811" t="s">
        <v>1729</v>
      </c>
      <c r="J419" s="813">
        <v>100000000</v>
      </c>
      <c r="K419" s="811" t="s">
        <v>1730</v>
      </c>
      <c r="L419" s="811" t="s">
        <v>1189</v>
      </c>
      <c r="M419" s="811" t="s">
        <v>1710</v>
      </c>
      <c r="N419" s="811" t="s">
        <v>1710</v>
      </c>
      <c r="O419" s="811" t="s">
        <v>1779</v>
      </c>
      <c r="P419" s="811" t="s">
        <v>1732</v>
      </c>
      <c r="Q419" s="811" t="s">
        <v>1780</v>
      </c>
    </row>
    <row r="420" spans="1:17" x14ac:dyDescent="0.3">
      <c r="A420" s="811" t="s">
        <v>1905</v>
      </c>
      <c r="B420" s="811" t="s">
        <v>2237</v>
      </c>
      <c r="C420" s="812">
        <v>5000000000</v>
      </c>
      <c r="D420" s="811" t="s">
        <v>1505</v>
      </c>
      <c r="E420" s="811" t="s">
        <v>1501</v>
      </c>
      <c r="F420" s="811" t="s">
        <v>1760</v>
      </c>
      <c r="G420" s="811" t="s">
        <v>1727</v>
      </c>
      <c r="H420" s="811" t="s">
        <v>1815</v>
      </c>
      <c r="I420" s="811" t="s">
        <v>1729</v>
      </c>
      <c r="J420" s="813">
        <v>5000000000</v>
      </c>
      <c r="K420" s="811" t="s">
        <v>1730</v>
      </c>
      <c r="L420" s="811" t="s">
        <v>1189</v>
      </c>
      <c r="M420" s="811" t="s">
        <v>1710</v>
      </c>
      <c r="N420" s="811" t="s">
        <v>1710</v>
      </c>
      <c r="O420" s="811" t="s">
        <v>1844</v>
      </c>
      <c r="P420" s="811" t="s">
        <v>1732</v>
      </c>
      <c r="Q420" s="811" t="s">
        <v>1780</v>
      </c>
    </row>
    <row r="421" spans="1:17" x14ac:dyDescent="0.3">
      <c r="A421" s="811" t="s">
        <v>1724</v>
      </c>
      <c r="B421" s="811" t="s">
        <v>2238</v>
      </c>
      <c r="C421" s="812">
        <v>73039148</v>
      </c>
      <c r="D421" s="811" t="s">
        <v>1501</v>
      </c>
      <c r="E421" s="811" t="s">
        <v>1501</v>
      </c>
      <c r="F421" s="811" t="s">
        <v>1741</v>
      </c>
      <c r="G421" s="811" t="s">
        <v>1727</v>
      </c>
      <c r="H421" s="811" t="s">
        <v>1728</v>
      </c>
      <c r="I421" s="811" t="s">
        <v>1729</v>
      </c>
      <c r="J421" s="813">
        <v>73039148</v>
      </c>
      <c r="K421" s="811" t="s">
        <v>1730</v>
      </c>
      <c r="L421" s="811" t="s">
        <v>1189</v>
      </c>
      <c r="M421" s="811" t="s">
        <v>1710</v>
      </c>
      <c r="N421" s="811" t="s">
        <v>1710</v>
      </c>
      <c r="O421" s="811" t="s">
        <v>1844</v>
      </c>
      <c r="P421" s="811" t="s">
        <v>1732</v>
      </c>
      <c r="Q421" s="811" t="s">
        <v>1780</v>
      </c>
    </row>
    <row r="422" spans="1:17" x14ac:dyDescent="0.3">
      <c r="A422" s="811" t="s">
        <v>1724</v>
      </c>
      <c r="B422" s="811" t="s">
        <v>2239</v>
      </c>
      <c r="C422" s="812">
        <v>39000000</v>
      </c>
      <c r="D422" s="811" t="s">
        <v>1510</v>
      </c>
      <c r="E422" s="811" t="s">
        <v>1510</v>
      </c>
      <c r="F422" s="811" t="s">
        <v>1737</v>
      </c>
      <c r="G422" s="811" t="s">
        <v>1727</v>
      </c>
      <c r="H422" s="811" t="s">
        <v>1728</v>
      </c>
      <c r="I422" s="811" t="s">
        <v>1729</v>
      </c>
      <c r="J422" s="813">
        <v>39000000</v>
      </c>
      <c r="K422" s="811" t="s">
        <v>1730</v>
      </c>
      <c r="L422" s="811" t="s">
        <v>1189</v>
      </c>
      <c r="M422" s="811" t="s">
        <v>1710</v>
      </c>
      <c r="N422" s="811" t="s">
        <v>1710</v>
      </c>
      <c r="O422" s="811" t="s">
        <v>1844</v>
      </c>
      <c r="P422" s="811" t="s">
        <v>1732</v>
      </c>
      <c r="Q422" s="811" t="s">
        <v>1780</v>
      </c>
    </row>
    <row r="423" spans="1:17" x14ac:dyDescent="0.3">
      <c r="A423" s="811" t="s">
        <v>1724</v>
      </c>
      <c r="B423" s="811" t="s">
        <v>2240</v>
      </c>
      <c r="C423" s="812">
        <v>39900000</v>
      </c>
      <c r="D423" s="811" t="s">
        <v>1509</v>
      </c>
      <c r="E423" s="811" t="s">
        <v>1509</v>
      </c>
      <c r="F423" s="811" t="s">
        <v>1773</v>
      </c>
      <c r="G423" s="811" t="s">
        <v>1727</v>
      </c>
      <c r="H423" s="811" t="s">
        <v>1728</v>
      </c>
      <c r="I423" s="811" t="s">
        <v>1729</v>
      </c>
      <c r="J423" s="813">
        <v>39900000</v>
      </c>
      <c r="K423" s="811" t="s">
        <v>1730</v>
      </c>
      <c r="L423" s="811" t="s">
        <v>1189</v>
      </c>
      <c r="M423" s="811" t="s">
        <v>1710</v>
      </c>
      <c r="N423" s="811" t="s">
        <v>1710</v>
      </c>
      <c r="O423" s="811" t="s">
        <v>1844</v>
      </c>
      <c r="P423" s="811" t="s">
        <v>1732</v>
      </c>
      <c r="Q423" s="811" t="s">
        <v>1780</v>
      </c>
    </row>
    <row r="424" spans="1:17" x14ac:dyDescent="0.3">
      <c r="A424" s="811" t="s">
        <v>1724</v>
      </c>
      <c r="B424" s="811" t="s">
        <v>2241</v>
      </c>
      <c r="C424" s="812">
        <v>35550000</v>
      </c>
      <c r="D424" s="811" t="s">
        <v>1501</v>
      </c>
      <c r="E424" s="811" t="s">
        <v>1501</v>
      </c>
      <c r="F424" s="811" t="s">
        <v>1741</v>
      </c>
      <c r="G424" s="811" t="s">
        <v>1727</v>
      </c>
      <c r="H424" s="811" t="s">
        <v>1728</v>
      </c>
      <c r="I424" s="811" t="s">
        <v>1729</v>
      </c>
      <c r="J424" s="813">
        <v>35550000</v>
      </c>
      <c r="K424" s="811" t="s">
        <v>1730</v>
      </c>
      <c r="L424" s="811" t="s">
        <v>1189</v>
      </c>
      <c r="M424" s="811" t="s">
        <v>1710</v>
      </c>
      <c r="N424" s="811" t="s">
        <v>1710</v>
      </c>
      <c r="O424" s="811" t="s">
        <v>1844</v>
      </c>
      <c r="P424" s="811" t="s">
        <v>1732</v>
      </c>
      <c r="Q424" s="811" t="s">
        <v>1780</v>
      </c>
    </row>
    <row r="425" spans="1:17" x14ac:dyDescent="0.3">
      <c r="A425" s="811" t="s">
        <v>2242</v>
      </c>
      <c r="B425" s="811" t="s">
        <v>2243</v>
      </c>
      <c r="C425" s="812">
        <v>43000000000</v>
      </c>
      <c r="D425" s="811" t="s">
        <v>1505</v>
      </c>
      <c r="E425" s="811" t="s">
        <v>1501</v>
      </c>
      <c r="F425" s="811" t="s">
        <v>2244</v>
      </c>
      <c r="G425" s="811" t="s">
        <v>1727</v>
      </c>
      <c r="H425" s="811" t="s">
        <v>2245</v>
      </c>
      <c r="I425" s="811" t="s">
        <v>2246</v>
      </c>
      <c r="J425" s="813">
        <v>43000000000</v>
      </c>
      <c r="K425" s="811" t="s">
        <v>1730</v>
      </c>
      <c r="L425" s="811" t="s">
        <v>1189</v>
      </c>
      <c r="M425" s="811" t="s">
        <v>1710</v>
      </c>
      <c r="N425" s="811" t="s">
        <v>1710</v>
      </c>
      <c r="O425" s="811" t="s">
        <v>1779</v>
      </c>
      <c r="P425" s="811" t="s">
        <v>1732</v>
      </c>
      <c r="Q425" s="811" t="s">
        <v>1780</v>
      </c>
    </row>
    <row r="426" spans="1:17" x14ac:dyDescent="0.3">
      <c r="A426" s="811" t="s">
        <v>1905</v>
      </c>
      <c r="B426" s="811" t="s">
        <v>2247</v>
      </c>
      <c r="C426" s="812">
        <v>6474000000</v>
      </c>
      <c r="D426" s="811" t="s">
        <v>1505</v>
      </c>
      <c r="E426" s="811" t="s">
        <v>1501</v>
      </c>
      <c r="F426" s="811" t="s">
        <v>2244</v>
      </c>
      <c r="G426" s="811" t="s">
        <v>1727</v>
      </c>
      <c r="H426" s="811" t="s">
        <v>1904</v>
      </c>
      <c r="I426" s="811" t="s">
        <v>1729</v>
      </c>
      <c r="J426" s="813">
        <v>6474000000</v>
      </c>
      <c r="K426" s="811" t="s">
        <v>1730</v>
      </c>
      <c r="L426" s="811" t="s">
        <v>1189</v>
      </c>
      <c r="M426" s="811" t="s">
        <v>1710</v>
      </c>
      <c r="N426" s="811" t="s">
        <v>1710</v>
      </c>
      <c r="O426" s="811" t="s">
        <v>1779</v>
      </c>
      <c r="P426" s="811" t="s">
        <v>1732</v>
      </c>
      <c r="Q426" s="811" t="s">
        <v>1780</v>
      </c>
    </row>
    <row r="427" spans="1:17" x14ac:dyDescent="0.3">
      <c r="A427" s="811" t="s">
        <v>1724</v>
      </c>
      <c r="B427" s="811" t="s">
        <v>2248</v>
      </c>
      <c r="C427" s="812">
        <v>27000000</v>
      </c>
      <c r="D427" s="811" t="s">
        <v>1501</v>
      </c>
      <c r="E427" s="811" t="s">
        <v>1501</v>
      </c>
      <c r="F427" s="811" t="s">
        <v>1741</v>
      </c>
      <c r="G427" s="811" t="s">
        <v>1727</v>
      </c>
      <c r="H427" s="811" t="s">
        <v>1728</v>
      </c>
      <c r="I427" s="811" t="s">
        <v>1729</v>
      </c>
      <c r="J427" s="813">
        <v>27000000</v>
      </c>
      <c r="K427" s="811" t="s">
        <v>1730</v>
      </c>
      <c r="L427" s="811" t="s">
        <v>1189</v>
      </c>
      <c r="M427" s="811" t="s">
        <v>1710</v>
      </c>
      <c r="N427" s="811"/>
      <c r="O427" s="811" t="s">
        <v>1844</v>
      </c>
      <c r="P427" s="811" t="s">
        <v>1732</v>
      </c>
      <c r="Q427" s="811" t="s">
        <v>1780</v>
      </c>
    </row>
    <row r="428" spans="1:17" x14ac:dyDescent="0.3">
      <c r="A428" s="811" t="s">
        <v>1724</v>
      </c>
      <c r="B428" s="811" t="s">
        <v>2249</v>
      </c>
      <c r="C428" s="812">
        <v>39900000</v>
      </c>
      <c r="D428" s="811" t="s">
        <v>1509</v>
      </c>
      <c r="E428" s="811" t="s">
        <v>1509</v>
      </c>
      <c r="F428" s="811" t="s">
        <v>1773</v>
      </c>
      <c r="G428" s="811" t="s">
        <v>1727</v>
      </c>
      <c r="H428" s="811" t="s">
        <v>1728</v>
      </c>
      <c r="I428" s="811" t="s">
        <v>1729</v>
      </c>
      <c r="J428" s="813">
        <v>39900000</v>
      </c>
      <c r="K428" s="811" t="s">
        <v>1730</v>
      </c>
      <c r="L428" s="811" t="s">
        <v>1189</v>
      </c>
      <c r="M428" s="811" t="s">
        <v>1710</v>
      </c>
      <c r="N428" s="811" t="s">
        <v>1710</v>
      </c>
      <c r="O428" s="811" t="s">
        <v>1844</v>
      </c>
      <c r="P428" s="811" t="s">
        <v>1732</v>
      </c>
      <c r="Q428" s="811" t="s">
        <v>1780</v>
      </c>
    </row>
    <row r="429" spans="1:17" x14ac:dyDescent="0.3">
      <c r="A429" s="811" t="s">
        <v>1724</v>
      </c>
      <c r="B429" s="811" t="s">
        <v>2250</v>
      </c>
      <c r="C429" s="812">
        <v>58128384</v>
      </c>
      <c r="D429" s="811" t="s">
        <v>1505</v>
      </c>
      <c r="E429" s="811" t="s">
        <v>1505</v>
      </c>
      <c r="F429" s="811" t="s">
        <v>1726</v>
      </c>
      <c r="G429" s="811" t="s">
        <v>1727</v>
      </c>
      <c r="H429" s="811" t="s">
        <v>1728</v>
      </c>
      <c r="I429" s="811" t="s">
        <v>1729</v>
      </c>
      <c r="J429" s="813">
        <v>58128384</v>
      </c>
      <c r="K429" s="811" t="s">
        <v>1730</v>
      </c>
      <c r="L429" s="811" t="s">
        <v>1189</v>
      </c>
      <c r="M429" s="811" t="s">
        <v>1710</v>
      </c>
      <c r="N429" s="811" t="s">
        <v>1710</v>
      </c>
      <c r="O429" s="811" t="s">
        <v>1920</v>
      </c>
      <c r="P429" s="811" t="s">
        <v>1732</v>
      </c>
      <c r="Q429" s="811" t="s">
        <v>1785</v>
      </c>
    </row>
    <row r="430" spans="1:17" x14ac:dyDescent="0.3">
      <c r="A430" s="811" t="s">
        <v>1724</v>
      </c>
      <c r="B430" s="811" t="s">
        <v>2251</v>
      </c>
      <c r="C430" s="812">
        <v>55000000</v>
      </c>
      <c r="D430" s="811" t="s">
        <v>1501</v>
      </c>
      <c r="E430" s="811" t="s">
        <v>1501</v>
      </c>
      <c r="F430" s="811" t="s">
        <v>1760</v>
      </c>
      <c r="G430" s="811" t="s">
        <v>1727</v>
      </c>
      <c r="H430" s="811" t="s">
        <v>1728</v>
      </c>
      <c r="I430" s="811" t="s">
        <v>1729</v>
      </c>
      <c r="J430" s="813">
        <v>55000000</v>
      </c>
      <c r="K430" s="811" t="s">
        <v>1730</v>
      </c>
      <c r="L430" s="811" t="s">
        <v>1189</v>
      </c>
      <c r="M430" s="811" t="s">
        <v>1710</v>
      </c>
      <c r="N430" s="811" t="s">
        <v>1710</v>
      </c>
      <c r="O430" s="811" t="s">
        <v>1920</v>
      </c>
      <c r="P430" s="811" t="s">
        <v>1732</v>
      </c>
      <c r="Q430" s="811" t="s">
        <v>1785</v>
      </c>
    </row>
    <row r="431" spans="1:17" x14ac:dyDescent="0.3">
      <c r="A431" s="811" t="s">
        <v>1724</v>
      </c>
      <c r="B431" s="811" t="s">
        <v>2252</v>
      </c>
      <c r="C431" s="812">
        <v>59054190</v>
      </c>
      <c r="D431" s="811" t="s">
        <v>1501</v>
      </c>
      <c r="E431" s="811" t="s">
        <v>1501</v>
      </c>
      <c r="F431" s="811" t="s">
        <v>1760</v>
      </c>
      <c r="G431" s="811" t="s">
        <v>1727</v>
      </c>
      <c r="H431" s="811" t="s">
        <v>1728</v>
      </c>
      <c r="I431" s="811" t="s">
        <v>1729</v>
      </c>
      <c r="J431" s="813">
        <v>59054190</v>
      </c>
      <c r="K431" s="811" t="s">
        <v>1730</v>
      </c>
      <c r="L431" s="811" t="s">
        <v>1189</v>
      </c>
      <c r="M431" s="811" t="s">
        <v>1710</v>
      </c>
      <c r="N431" s="811" t="s">
        <v>1710</v>
      </c>
      <c r="O431" s="811" t="s">
        <v>1920</v>
      </c>
      <c r="P431" s="811" t="s">
        <v>1732</v>
      </c>
      <c r="Q431" s="811" t="s">
        <v>1785</v>
      </c>
    </row>
    <row r="432" spans="1:17" x14ac:dyDescent="0.3">
      <c r="A432" s="811" t="s">
        <v>1724</v>
      </c>
      <c r="B432" s="811" t="s">
        <v>2253</v>
      </c>
      <c r="C432" s="812">
        <v>32979493</v>
      </c>
      <c r="D432" s="811" t="s">
        <v>1611</v>
      </c>
      <c r="E432" s="811" t="s">
        <v>1611</v>
      </c>
      <c r="F432" s="811" t="s">
        <v>1741</v>
      </c>
      <c r="G432" s="811" t="s">
        <v>1727</v>
      </c>
      <c r="H432" s="811" t="s">
        <v>1728</v>
      </c>
      <c r="I432" s="811" t="s">
        <v>1729</v>
      </c>
      <c r="J432" s="813">
        <v>32979493</v>
      </c>
      <c r="K432" s="811" t="s">
        <v>1730</v>
      </c>
      <c r="L432" s="811" t="s">
        <v>1189</v>
      </c>
      <c r="M432" s="811" t="s">
        <v>1710</v>
      </c>
      <c r="N432" s="811" t="s">
        <v>1710</v>
      </c>
      <c r="O432" s="811" t="s">
        <v>1920</v>
      </c>
      <c r="P432" s="811" t="s">
        <v>1732</v>
      </c>
      <c r="Q432" s="811" t="s">
        <v>1785</v>
      </c>
    </row>
    <row r="433" spans="1:17" x14ac:dyDescent="0.3">
      <c r="A433" s="811" t="s">
        <v>1724</v>
      </c>
      <c r="B433" s="811" t="s">
        <v>2254</v>
      </c>
      <c r="C433" s="812">
        <v>29972448</v>
      </c>
      <c r="D433" s="811" t="s">
        <v>1501</v>
      </c>
      <c r="E433" s="811" t="s">
        <v>1501</v>
      </c>
      <c r="F433" s="811" t="s">
        <v>1760</v>
      </c>
      <c r="G433" s="811" t="s">
        <v>1727</v>
      </c>
      <c r="H433" s="811" t="s">
        <v>1728</v>
      </c>
      <c r="I433" s="811" t="s">
        <v>1729</v>
      </c>
      <c r="J433" s="813">
        <v>29972448</v>
      </c>
      <c r="K433" s="811" t="s">
        <v>1730</v>
      </c>
      <c r="L433" s="811" t="s">
        <v>1189</v>
      </c>
      <c r="M433" s="811" t="s">
        <v>1710</v>
      </c>
      <c r="N433" s="811" t="s">
        <v>1710</v>
      </c>
      <c r="O433" s="811" t="s">
        <v>1920</v>
      </c>
      <c r="P433" s="811" t="s">
        <v>1732</v>
      </c>
      <c r="Q433" s="811" t="s">
        <v>1785</v>
      </c>
    </row>
    <row r="434" spans="1:17" x14ac:dyDescent="0.3">
      <c r="A434" s="811" t="s">
        <v>1724</v>
      </c>
      <c r="B434" s="811" t="s">
        <v>2255</v>
      </c>
      <c r="C434" s="812">
        <v>34967856</v>
      </c>
      <c r="D434" s="811" t="s">
        <v>1505</v>
      </c>
      <c r="E434" s="811" t="s">
        <v>1505</v>
      </c>
      <c r="F434" s="811" t="s">
        <v>1764</v>
      </c>
      <c r="G434" s="811" t="s">
        <v>1727</v>
      </c>
      <c r="H434" s="811" t="s">
        <v>1728</v>
      </c>
      <c r="I434" s="811" t="s">
        <v>1729</v>
      </c>
      <c r="J434" s="813">
        <v>34967856</v>
      </c>
      <c r="K434" s="811" t="s">
        <v>1730</v>
      </c>
      <c r="L434" s="811" t="s">
        <v>1189</v>
      </c>
      <c r="M434" s="811" t="s">
        <v>1710</v>
      </c>
      <c r="N434" s="811" t="s">
        <v>1710</v>
      </c>
      <c r="O434" s="811" t="s">
        <v>1920</v>
      </c>
      <c r="P434" s="811" t="s">
        <v>1732</v>
      </c>
      <c r="Q434" s="811" t="s">
        <v>1785</v>
      </c>
    </row>
    <row r="435" spans="1:17" x14ac:dyDescent="0.3">
      <c r="A435" s="811" t="s">
        <v>1724</v>
      </c>
      <c r="B435" s="811" t="s">
        <v>2256</v>
      </c>
      <c r="C435" s="812">
        <v>29972448</v>
      </c>
      <c r="D435" s="811" t="s">
        <v>1505</v>
      </c>
      <c r="E435" s="811" t="s">
        <v>1505</v>
      </c>
      <c r="F435" s="811" t="s">
        <v>1764</v>
      </c>
      <c r="G435" s="811" t="s">
        <v>1727</v>
      </c>
      <c r="H435" s="811" t="s">
        <v>1728</v>
      </c>
      <c r="I435" s="811" t="s">
        <v>1729</v>
      </c>
      <c r="J435" s="813">
        <v>29972448</v>
      </c>
      <c r="K435" s="811" t="s">
        <v>1730</v>
      </c>
      <c r="L435" s="811" t="s">
        <v>1189</v>
      </c>
      <c r="M435" s="811" t="s">
        <v>1710</v>
      </c>
      <c r="N435" s="811" t="s">
        <v>1710</v>
      </c>
      <c r="O435" s="811" t="s">
        <v>1920</v>
      </c>
      <c r="P435" s="811" t="s">
        <v>1732</v>
      </c>
      <c r="Q435" s="811" t="s">
        <v>1785</v>
      </c>
    </row>
    <row r="436" spans="1:17" x14ac:dyDescent="0.3">
      <c r="A436" s="811" t="s">
        <v>1724</v>
      </c>
      <c r="B436" s="811" t="s">
        <v>2257</v>
      </c>
      <c r="C436" s="812">
        <v>60000000</v>
      </c>
      <c r="D436" s="811" t="s">
        <v>1505</v>
      </c>
      <c r="E436" s="811" t="s">
        <v>1505</v>
      </c>
      <c r="F436" s="811" t="s">
        <v>1741</v>
      </c>
      <c r="G436" s="811" t="s">
        <v>1727</v>
      </c>
      <c r="H436" s="811" t="s">
        <v>1728</v>
      </c>
      <c r="I436" s="811" t="s">
        <v>1729</v>
      </c>
      <c r="J436" s="813">
        <v>60000000</v>
      </c>
      <c r="K436" s="811" t="s">
        <v>1730</v>
      </c>
      <c r="L436" s="811" t="s">
        <v>1189</v>
      </c>
      <c r="M436" s="811" t="s">
        <v>1710</v>
      </c>
      <c r="N436" s="811" t="s">
        <v>1710</v>
      </c>
      <c r="O436" s="811" t="s">
        <v>1920</v>
      </c>
      <c r="P436" s="811" t="s">
        <v>1732</v>
      </c>
      <c r="Q436" s="811" t="s">
        <v>1785</v>
      </c>
    </row>
    <row r="437" spans="1:17" x14ac:dyDescent="0.3">
      <c r="A437" s="811" t="s">
        <v>2258</v>
      </c>
      <c r="B437" s="811" t="s">
        <v>2259</v>
      </c>
      <c r="C437" s="812">
        <v>350000000</v>
      </c>
      <c r="D437" s="811" t="s">
        <v>1510</v>
      </c>
      <c r="E437" s="811" t="s">
        <v>1510</v>
      </c>
      <c r="F437" s="811" t="s">
        <v>1737</v>
      </c>
      <c r="G437" s="811" t="s">
        <v>1727</v>
      </c>
      <c r="H437" s="811" t="s">
        <v>1728</v>
      </c>
      <c r="I437" s="811" t="s">
        <v>1729</v>
      </c>
      <c r="J437" s="813">
        <v>350000000</v>
      </c>
      <c r="K437" s="811" t="s">
        <v>1730</v>
      </c>
      <c r="L437" s="811" t="s">
        <v>1189</v>
      </c>
      <c r="M437" s="811" t="s">
        <v>1710</v>
      </c>
      <c r="N437" s="811" t="s">
        <v>1710</v>
      </c>
      <c r="O437" s="811" t="s">
        <v>1761</v>
      </c>
      <c r="P437" s="811" t="s">
        <v>1732</v>
      </c>
      <c r="Q437" s="811" t="s">
        <v>1733</v>
      </c>
    </row>
    <row r="438" spans="1:17" x14ac:dyDescent="0.3">
      <c r="A438" s="811" t="s">
        <v>2260</v>
      </c>
      <c r="B438" s="811" t="s">
        <v>2261</v>
      </c>
      <c r="C438" s="812">
        <v>150000000</v>
      </c>
      <c r="D438" s="811" t="s">
        <v>1510</v>
      </c>
      <c r="E438" s="811" t="s">
        <v>1510</v>
      </c>
      <c r="F438" s="811" t="s">
        <v>1737</v>
      </c>
      <c r="G438" s="811" t="s">
        <v>1727</v>
      </c>
      <c r="H438" s="811" t="s">
        <v>1728</v>
      </c>
      <c r="I438" s="811" t="s">
        <v>1729</v>
      </c>
      <c r="J438" s="813">
        <v>150000000</v>
      </c>
      <c r="K438" s="811" t="s">
        <v>1730</v>
      </c>
      <c r="L438" s="811" t="s">
        <v>1189</v>
      </c>
      <c r="M438" s="811" t="s">
        <v>1710</v>
      </c>
      <c r="N438" s="811" t="s">
        <v>1710</v>
      </c>
      <c r="O438" s="811" t="s">
        <v>1761</v>
      </c>
      <c r="P438" s="811" t="s">
        <v>1732</v>
      </c>
      <c r="Q438" s="811" t="s">
        <v>1733</v>
      </c>
    </row>
    <row r="439" spans="1:17" x14ac:dyDescent="0.3">
      <c r="A439" s="811" t="s">
        <v>1767</v>
      </c>
      <c r="B439" s="811" t="s">
        <v>2262</v>
      </c>
      <c r="C439" s="812">
        <v>1200000000</v>
      </c>
      <c r="D439" s="811" t="s">
        <v>1502</v>
      </c>
      <c r="E439" s="811" t="s">
        <v>1502</v>
      </c>
      <c r="F439" s="811" t="s">
        <v>1737</v>
      </c>
      <c r="G439" s="811" t="s">
        <v>1727</v>
      </c>
      <c r="H439" s="811" t="s">
        <v>1728</v>
      </c>
      <c r="I439" s="811" t="s">
        <v>1729</v>
      </c>
      <c r="J439" s="813">
        <v>1200000000</v>
      </c>
      <c r="K439" s="811" t="s">
        <v>1730</v>
      </c>
      <c r="L439" s="811" t="s">
        <v>1189</v>
      </c>
      <c r="M439" s="811" t="s">
        <v>1710</v>
      </c>
      <c r="N439" s="811" t="s">
        <v>1710</v>
      </c>
      <c r="O439" s="811" t="s">
        <v>1761</v>
      </c>
      <c r="P439" s="811" t="s">
        <v>1732</v>
      </c>
      <c r="Q439" s="811" t="s">
        <v>1733</v>
      </c>
    </row>
    <row r="440" spans="1:17" x14ac:dyDescent="0.3">
      <c r="A440" s="811" t="s">
        <v>2042</v>
      </c>
      <c r="B440" s="811" t="s">
        <v>2263</v>
      </c>
      <c r="C440" s="812">
        <v>1400000000</v>
      </c>
      <c r="D440" s="811" t="s">
        <v>1509</v>
      </c>
      <c r="E440" s="811" t="s">
        <v>1510</v>
      </c>
      <c r="F440" s="811" t="s">
        <v>1737</v>
      </c>
      <c r="G440" s="811" t="s">
        <v>1727</v>
      </c>
      <c r="H440" s="811" t="s">
        <v>1859</v>
      </c>
      <c r="I440" s="811" t="s">
        <v>1729</v>
      </c>
      <c r="J440" s="813">
        <v>1400000000</v>
      </c>
      <c r="K440" s="811" t="s">
        <v>1730</v>
      </c>
      <c r="L440" s="811" t="s">
        <v>1189</v>
      </c>
      <c r="M440" s="811" t="s">
        <v>1710</v>
      </c>
      <c r="N440" s="811" t="s">
        <v>1710</v>
      </c>
      <c r="O440" s="811" t="s">
        <v>1761</v>
      </c>
      <c r="P440" s="811" t="s">
        <v>1732</v>
      </c>
      <c r="Q440" s="811" t="s">
        <v>1733</v>
      </c>
    </row>
    <row r="441" spans="1:17" x14ac:dyDescent="0.3">
      <c r="A441" s="811" t="s">
        <v>2264</v>
      </c>
      <c r="B441" s="811" t="s">
        <v>2265</v>
      </c>
      <c r="C441" s="812">
        <v>1400000000</v>
      </c>
      <c r="D441" s="811" t="s">
        <v>1510</v>
      </c>
      <c r="E441" s="811" t="s">
        <v>1525</v>
      </c>
      <c r="F441" s="811" t="s">
        <v>1793</v>
      </c>
      <c r="G441" s="811" t="s">
        <v>1727</v>
      </c>
      <c r="H441" s="811" t="s">
        <v>1859</v>
      </c>
      <c r="I441" s="811" t="s">
        <v>1729</v>
      </c>
      <c r="J441" s="813">
        <v>1400000000</v>
      </c>
      <c r="K441" s="811" t="s">
        <v>1730</v>
      </c>
      <c r="L441" s="811" t="s">
        <v>1189</v>
      </c>
      <c r="M441" s="811" t="s">
        <v>1710</v>
      </c>
      <c r="N441" s="811" t="s">
        <v>1710</v>
      </c>
      <c r="O441" s="811" t="s">
        <v>1761</v>
      </c>
      <c r="P441" s="811" t="s">
        <v>1732</v>
      </c>
      <c r="Q441" s="811" t="s">
        <v>1733</v>
      </c>
    </row>
    <row r="442" spans="1:17" x14ac:dyDescent="0.3">
      <c r="A442" s="811" t="s">
        <v>2264</v>
      </c>
      <c r="B442" s="811" t="s">
        <v>2266</v>
      </c>
      <c r="C442" s="812">
        <v>3500000000</v>
      </c>
      <c r="D442" s="811" t="s">
        <v>1510</v>
      </c>
      <c r="E442" s="811" t="s">
        <v>1525</v>
      </c>
      <c r="F442" s="811" t="s">
        <v>1793</v>
      </c>
      <c r="G442" s="811" t="s">
        <v>1727</v>
      </c>
      <c r="H442" s="811" t="s">
        <v>1859</v>
      </c>
      <c r="I442" s="811" t="s">
        <v>1729</v>
      </c>
      <c r="J442" s="813">
        <v>3500000000</v>
      </c>
      <c r="K442" s="811" t="s">
        <v>1730</v>
      </c>
      <c r="L442" s="811" t="s">
        <v>1189</v>
      </c>
      <c r="M442" s="811" t="s">
        <v>1710</v>
      </c>
      <c r="N442" s="811" t="s">
        <v>1710</v>
      </c>
      <c r="O442" s="811" t="s">
        <v>1761</v>
      </c>
      <c r="P442" s="811" t="s">
        <v>1732</v>
      </c>
      <c r="Q442" s="811" t="s">
        <v>1733</v>
      </c>
    </row>
    <row r="443" spans="1:17" x14ac:dyDescent="0.3">
      <c r="A443" s="811" t="s">
        <v>2267</v>
      </c>
      <c r="B443" s="811" t="s">
        <v>2268</v>
      </c>
      <c r="C443" s="812">
        <v>590000000</v>
      </c>
      <c r="D443" s="811" t="s">
        <v>1525</v>
      </c>
      <c r="E443" s="811" t="s">
        <v>1525</v>
      </c>
      <c r="F443" s="811" t="s">
        <v>1737</v>
      </c>
      <c r="G443" s="811" t="s">
        <v>1727</v>
      </c>
      <c r="H443" s="811" t="s">
        <v>1803</v>
      </c>
      <c r="I443" s="811" t="s">
        <v>1729</v>
      </c>
      <c r="J443" s="813">
        <v>590000000</v>
      </c>
      <c r="K443" s="811" t="s">
        <v>1730</v>
      </c>
      <c r="L443" s="811" t="s">
        <v>1189</v>
      </c>
      <c r="M443" s="811" t="s">
        <v>1710</v>
      </c>
      <c r="N443" s="811" t="s">
        <v>1710</v>
      </c>
      <c r="O443" s="811" t="s">
        <v>1761</v>
      </c>
      <c r="P443" s="811" t="s">
        <v>1732</v>
      </c>
      <c r="Q443" s="811" t="s">
        <v>1733</v>
      </c>
    </row>
    <row r="444" spans="1:17" x14ac:dyDescent="0.3">
      <c r="A444" s="811" t="s">
        <v>2269</v>
      </c>
      <c r="B444" s="811" t="s">
        <v>2270</v>
      </c>
      <c r="C444" s="812">
        <v>2500000000</v>
      </c>
      <c r="D444" s="811" t="s">
        <v>1510</v>
      </c>
      <c r="E444" s="811" t="s">
        <v>1510</v>
      </c>
      <c r="F444" s="811" t="s">
        <v>1747</v>
      </c>
      <c r="G444" s="811" t="s">
        <v>1727</v>
      </c>
      <c r="H444" s="811" t="s">
        <v>1815</v>
      </c>
      <c r="I444" s="811" t="s">
        <v>1729</v>
      </c>
      <c r="J444" s="813">
        <v>2500000000</v>
      </c>
      <c r="K444" s="811" t="s">
        <v>1730</v>
      </c>
      <c r="L444" s="811" t="s">
        <v>1189</v>
      </c>
      <c r="M444" s="811" t="s">
        <v>1710</v>
      </c>
      <c r="N444" s="811" t="s">
        <v>1710</v>
      </c>
      <c r="O444" s="811" t="s">
        <v>1761</v>
      </c>
      <c r="P444" s="811" t="s">
        <v>1732</v>
      </c>
      <c r="Q444" s="811" t="s">
        <v>1733</v>
      </c>
    </row>
    <row r="445" spans="1:17" x14ac:dyDescent="0.3">
      <c r="A445" s="811" t="s">
        <v>2182</v>
      </c>
      <c r="B445" s="811" t="s">
        <v>2271</v>
      </c>
      <c r="C445" s="812">
        <v>100000000</v>
      </c>
      <c r="D445" s="811" t="s">
        <v>1501</v>
      </c>
      <c r="E445" s="811" t="s">
        <v>1501</v>
      </c>
      <c r="F445" s="811" t="s">
        <v>1760</v>
      </c>
      <c r="G445" s="811" t="s">
        <v>1727</v>
      </c>
      <c r="H445" s="811" t="s">
        <v>1728</v>
      </c>
      <c r="I445" s="811" t="s">
        <v>1729</v>
      </c>
      <c r="J445" s="813">
        <v>100000000</v>
      </c>
      <c r="K445" s="811" t="s">
        <v>1730</v>
      </c>
      <c r="L445" s="811" t="s">
        <v>1189</v>
      </c>
      <c r="M445" s="811" t="s">
        <v>1710</v>
      </c>
      <c r="N445" s="811" t="s">
        <v>1710</v>
      </c>
      <c r="O445" s="811" t="s">
        <v>1761</v>
      </c>
      <c r="P445" s="811" t="s">
        <v>1732</v>
      </c>
      <c r="Q445" s="811" t="s">
        <v>1733</v>
      </c>
    </row>
    <row r="446" spans="1:17" x14ac:dyDescent="0.3">
      <c r="A446" s="811" t="s">
        <v>2272</v>
      </c>
      <c r="B446" s="811" t="s">
        <v>2273</v>
      </c>
      <c r="C446" s="812">
        <v>50000000</v>
      </c>
      <c r="D446" s="811" t="s">
        <v>1509</v>
      </c>
      <c r="E446" s="811" t="s">
        <v>1510</v>
      </c>
      <c r="F446" s="811" t="s">
        <v>2074</v>
      </c>
      <c r="G446" s="811" t="s">
        <v>1727</v>
      </c>
      <c r="H446" s="811" t="s">
        <v>1650</v>
      </c>
      <c r="I446" s="811" t="s">
        <v>1729</v>
      </c>
      <c r="J446" s="813">
        <v>50000000</v>
      </c>
      <c r="K446" s="811" t="s">
        <v>1730</v>
      </c>
      <c r="L446" s="811" t="s">
        <v>1189</v>
      </c>
      <c r="M446" s="811" t="s">
        <v>1710</v>
      </c>
      <c r="N446" s="811" t="s">
        <v>1710</v>
      </c>
      <c r="O446" s="811" t="s">
        <v>1804</v>
      </c>
      <c r="P446" s="811" t="s">
        <v>1732</v>
      </c>
      <c r="Q446" s="811" t="s">
        <v>1739</v>
      </c>
    </row>
    <row r="447" spans="1:17" x14ac:dyDescent="0.3">
      <c r="A447" s="811" t="s">
        <v>2274</v>
      </c>
      <c r="B447" s="811" t="s">
        <v>2275</v>
      </c>
      <c r="C447" s="812">
        <v>100000000</v>
      </c>
      <c r="D447" s="811" t="s">
        <v>1509</v>
      </c>
      <c r="E447" s="811" t="s">
        <v>1509</v>
      </c>
      <c r="F447" s="811" t="s">
        <v>1793</v>
      </c>
      <c r="G447" s="811" t="s">
        <v>1727</v>
      </c>
      <c r="H447" s="811" t="s">
        <v>1865</v>
      </c>
      <c r="I447" s="811" t="s">
        <v>1729</v>
      </c>
      <c r="J447" s="813">
        <v>100000000</v>
      </c>
      <c r="K447" s="811" t="s">
        <v>1730</v>
      </c>
      <c r="L447" s="811" t="s">
        <v>1189</v>
      </c>
      <c r="M447" s="811" t="s">
        <v>1710</v>
      </c>
      <c r="N447" s="811" t="s">
        <v>1710</v>
      </c>
      <c r="O447" s="811" t="s">
        <v>1804</v>
      </c>
      <c r="P447" s="811" t="s">
        <v>1732</v>
      </c>
      <c r="Q447" s="811" t="s">
        <v>1739</v>
      </c>
    </row>
    <row r="448" spans="1:17" x14ac:dyDescent="0.3">
      <c r="A448" s="811" t="s">
        <v>2276</v>
      </c>
      <c r="B448" s="811" t="s">
        <v>2277</v>
      </c>
      <c r="C448" s="812">
        <v>20000000</v>
      </c>
      <c r="D448" s="811" t="s">
        <v>1510</v>
      </c>
      <c r="E448" s="811" t="s">
        <v>1525</v>
      </c>
      <c r="F448" s="811" t="s">
        <v>1791</v>
      </c>
      <c r="G448" s="811" t="s">
        <v>1727</v>
      </c>
      <c r="H448" s="811" t="s">
        <v>1650</v>
      </c>
      <c r="I448" s="811" t="s">
        <v>1729</v>
      </c>
      <c r="J448" s="813">
        <v>20000000</v>
      </c>
      <c r="K448" s="811" t="s">
        <v>1730</v>
      </c>
      <c r="L448" s="811" t="s">
        <v>1189</v>
      </c>
      <c r="M448" s="811" t="s">
        <v>1710</v>
      </c>
      <c r="N448" s="811" t="s">
        <v>1710</v>
      </c>
      <c r="O448" s="811" t="s">
        <v>1804</v>
      </c>
      <c r="P448" s="811" t="s">
        <v>1732</v>
      </c>
      <c r="Q448" s="811" t="s">
        <v>1739</v>
      </c>
    </row>
    <row r="449" spans="1:17" x14ac:dyDescent="0.3">
      <c r="A449" s="811" t="s">
        <v>2278</v>
      </c>
      <c r="B449" s="811" t="s">
        <v>2279</v>
      </c>
      <c r="C449" s="812">
        <v>50000000</v>
      </c>
      <c r="D449" s="811" t="s">
        <v>1502</v>
      </c>
      <c r="E449" s="811" t="s">
        <v>1509</v>
      </c>
      <c r="F449" s="811" t="s">
        <v>1791</v>
      </c>
      <c r="G449" s="811" t="s">
        <v>1727</v>
      </c>
      <c r="H449" s="811" t="s">
        <v>1650</v>
      </c>
      <c r="I449" s="811" t="s">
        <v>1729</v>
      </c>
      <c r="J449" s="813">
        <v>50000000</v>
      </c>
      <c r="K449" s="811" t="s">
        <v>1730</v>
      </c>
      <c r="L449" s="811" t="s">
        <v>1189</v>
      </c>
      <c r="M449" s="811" t="s">
        <v>1710</v>
      </c>
      <c r="N449" s="811" t="s">
        <v>1710</v>
      </c>
      <c r="O449" s="811" t="s">
        <v>1804</v>
      </c>
      <c r="P449" s="811" t="s">
        <v>1732</v>
      </c>
      <c r="Q449" s="811" t="s">
        <v>1739</v>
      </c>
    </row>
    <row r="450" spans="1:17" x14ac:dyDescent="0.3">
      <c r="A450" s="811" t="s">
        <v>2280</v>
      </c>
      <c r="B450" s="811" t="s">
        <v>2281</v>
      </c>
      <c r="C450" s="812">
        <v>563008205</v>
      </c>
      <c r="D450" s="811" t="s">
        <v>1495</v>
      </c>
      <c r="E450" s="811" t="s">
        <v>1495</v>
      </c>
      <c r="F450" s="811" t="s">
        <v>2074</v>
      </c>
      <c r="G450" s="811" t="s">
        <v>1727</v>
      </c>
      <c r="H450" s="811" t="s">
        <v>1865</v>
      </c>
      <c r="I450" s="811" t="s">
        <v>1729</v>
      </c>
      <c r="J450" s="813">
        <v>563008205</v>
      </c>
      <c r="K450" s="811" t="s">
        <v>1730</v>
      </c>
      <c r="L450" s="811" t="s">
        <v>1189</v>
      </c>
      <c r="M450" s="811" t="s">
        <v>1710</v>
      </c>
      <c r="N450" s="811" t="s">
        <v>1710</v>
      </c>
      <c r="O450" s="811" t="s">
        <v>1804</v>
      </c>
      <c r="P450" s="811" t="s">
        <v>1732</v>
      </c>
      <c r="Q450" s="811" t="s">
        <v>1739</v>
      </c>
    </row>
    <row r="451" spans="1:17" x14ac:dyDescent="0.3">
      <c r="A451" s="811" t="s">
        <v>2282</v>
      </c>
      <c r="B451" s="811" t="s">
        <v>2283</v>
      </c>
      <c r="C451" s="812">
        <v>125000000</v>
      </c>
      <c r="D451" s="811" t="s">
        <v>1509</v>
      </c>
      <c r="E451" s="811" t="s">
        <v>1510</v>
      </c>
      <c r="F451" s="811" t="s">
        <v>1793</v>
      </c>
      <c r="G451" s="811" t="s">
        <v>1727</v>
      </c>
      <c r="H451" s="811" t="s">
        <v>1728</v>
      </c>
      <c r="I451" s="811" t="s">
        <v>1729</v>
      </c>
      <c r="J451" s="813">
        <v>125000000</v>
      </c>
      <c r="K451" s="811" t="s">
        <v>1730</v>
      </c>
      <c r="L451" s="811" t="s">
        <v>1189</v>
      </c>
      <c r="M451" s="811" t="s">
        <v>1710</v>
      </c>
      <c r="N451" s="811" t="s">
        <v>1710</v>
      </c>
      <c r="O451" s="811" t="s">
        <v>1804</v>
      </c>
      <c r="P451" s="811" t="s">
        <v>1732</v>
      </c>
      <c r="Q451" s="811" t="s">
        <v>1739</v>
      </c>
    </row>
    <row r="452" spans="1:17" x14ac:dyDescent="0.3">
      <c r="A452" s="811" t="s">
        <v>2282</v>
      </c>
      <c r="B452" s="811" t="s">
        <v>2284</v>
      </c>
      <c r="C452" s="812">
        <v>125000000</v>
      </c>
      <c r="D452" s="811" t="s">
        <v>1509</v>
      </c>
      <c r="E452" s="811" t="s">
        <v>1510</v>
      </c>
      <c r="F452" s="811" t="s">
        <v>1793</v>
      </c>
      <c r="G452" s="811" t="s">
        <v>1727</v>
      </c>
      <c r="H452" s="811" t="s">
        <v>1728</v>
      </c>
      <c r="I452" s="811" t="s">
        <v>1729</v>
      </c>
      <c r="J452" s="813">
        <v>125000000</v>
      </c>
      <c r="K452" s="811" t="s">
        <v>1730</v>
      </c>
      <c r="L452" s="811" t="s">
        <v>1189</v>
      </c>
      <c r="M452" s="811" t="s">
        <v>1710</v>
      </c>
      <c r="N452" s="811" t="s">
        <v>1710</v>
      </c>
      <c r="O452" s="811" t="s">
        <v>1804</v>
      </c>
      <c r="P452" s="811" t="s">
        <v>1732</v>
      </c>
      <c r="Q452" s="811" t="s">
        <v>1739</v>
      </c>
    </row>
    <row r="453" spans="1:17" x14ac:dyDescent="0.3">
      <c r="A453" s="811" t="s">
        <v>1724</v>
      </c>
      <c r="B453" s="811" t="s">
        <v>2285</v>
      </c>
      <c r="C453" s="812">
        <v>51408000</v>
      </c>
      <c r="D453" s="811" t="s">
        <v>1501</v>
      </c>
      <c r="E453" s="811" t="s">
        <v>1501</v>
      </c>
      <c r="F453" s="811" t="s">
        <v>1760</v>
      </c>
      <c r="G453" s="811" t="s">
        <v>1727</v>
      </c>
      <c r="H453" s="811" t="s">
        <v>1728</v>
      </c>
      <c r="I453" s="811" t="s">
        <v>1729</v>
      </c>
      <c r="J453" s="813">
        <v>51408000</v>
      </c>
      <c r="K453" s="811" t="s">
        <v>1730</v>
      </c>
      <c r="L453" s="811" t="s">
        <v>1189</v>
      </c>
      <c r="M453" s="811" t="s">
        <v>1710</v>
      </c>
      <c r="N453" s="811" t="s">
        <v>1710</v>
      </c>
      <c r="O453" s="811" t="s">
        <v>1742</v>
      </c>
      <c r="P453" s="811" t="s">
        <v>1732</v>
      </c>
      <c r="Q453" s="811" t="s">
        <v>1743</v>
      </c>
    </row>
    <row r="454" spans="1:17" x14ac:dyDescent="0.3">
      <c r="A454" s="811" t="s">
        <v>1724</v>
      </c>
      <c r="B454" s="811" t="s">
        <v>2286</v>
      </c>
      <c r="C454" s="812">
        <v>62832000</v>
      </c>
      <c r="D454" s="811" t="s">
        <v>1501</v>
      </c>
      <c r="E454" s="811" t="s">
        <v>1501</v>
      </c>
      <c r="F454" s="811" t="s">
        <v>1760</v>
      </c>
      <c r="G454" s="811" t="s">
        <v>1727</v>
      </c>
      <c r="H454" s="811" t="s">
        <v>1728</v>
      </c>
      <c r="I454" s="811" t="s">
        <v>1729</v>
      </c>
      <c r="J454" s="813">
        <v>62832000</v>
      </c>
      <c r="K454" s="811" t="s">
        <v>1730</v>
      </c>
      <c r="L454" s="811" t="s">
        <v>1189</v>
      </c>
      <c r="M454" s="811" t="s">
        <v>1710</v>
      </c>
      <c r="N454" s="811" t="s">
        <v>1710</v>
      </c>
      <c r="O454" s="811" t="s">
        <v>1742</v>
      </c>
      <c r="P454" s="811" t="s">
        <v>1732</v>
      </c>
      <c r="Q454" s="811" t="s">
        <v>1743</v>
      </c>
    </row>
    <row r="455" spans="1:17" x14ac:dyDescent="0.3">
      <c r="A455" s="811" t="s">
        <v>1724</v>
      </c>
      <c r="B455" s="811" t="s">
        <v>2287</v>
      </c>
      <c r="C455" s="812">
        <v>29981361</v>
      </c>
      <c r="D455" s="811" t="s">
        <v>1501</v>
      </c>
      <c r="E455" s="811" t="s">
        <v>1501</v>
      </c>
      <c r="F455" s="811" t="s">
        <v>1737</v>
      </c>
      <c r="G455" s="811" t="s">
        <v>1727</v>
      </c>
      <c r="H455" s="811" t="s">
        <v>1728</v>
      </c>
      <c r="I455" s="811" t="s">
        <v>1729</v>
      </c>
      <c r="J455" s="813">
        <v>29981361</v>
      </c>
      <c r="K455" s="811" t="s">
        <v>1730</v>
      </c>
      <c r="L455" s="811" t="s">
        <v>1189</v>
      </c>
      <c r="M455" s="811" t="s">
        <v>1710</v>
      </c>
      <c r="N455" s="811" t="s">
        <v>1710</v>
      </c>
      <c r="O455" s="811" t="s">
        <v>2209</v>
      </c>
      <c r="P455" s="811" t="s">
        <v>1732</v>
      </c>
      <c r="Q455" s="811" t="s">
        <v>1799</v>
      </c>
    </row>
    <row r="456" spans="1:17" x14ac:dyDescent="0.3">
      <c r="A456" s="811" t="s">
        <v>1724</v>
      </c>
      <c r="B456" s="811" t="s">
        <v>2288</v>
      </c>
      <c r="C456" s="812">
        <v>23621677</v>
      </c>
      <c r="D456" s="811" t="s">
        <v>1495</v>
      </c>
      <c r="E456" s="811" t="s">
        <v>1495</v>
      </c>
      <c r="F456" s="811" t="s">
        <v>1793</v>
      </c>
      <c r="G456" s="811" t="s">
        <v>1727</v>
      </c>
      <c r="H456" s="811" t="s">
        <v>1728</v>
      </c>
      <c r="I456" s="811" t="s">
        <v>1729</v>
      </c>
      <c r="J456" s="813">
        <v>23621677</v>
      </c>
      <c r="K456" s="811" t="s">
        <v>1730</v>
      </c>
      <c r="L456" s="811" t="s">
        <v>1189</v>
      </c>
      <c r="M456" s="811" t="s">
        <v>1710</v>
      </c>
      <c r="N456" s="811" t="s">
        <v>1710</v>
      </c>
      <c r="O456" s="811" t="s">
        <v>2209</v>
      </c>
      <c r="P456" s="811" t="s">
        <v>1732</v>
      </c>
      <c r="Q456" s="811" t="s">
        <v>1799</v>
      </c>
    </row>
    <row r="457" spans="1:17" x14ac:dyDescent="0.3">
      <c r="A457" s="811" t="s">
        <v>1724</v>
      </c>
      <c r="B457" s="811" t="s">
        <v>2289</v>
      </c>
      <c r="C457" s="812">
        <v>29072832</v>
      </c>
      <c r="D457" s="811" t="s">
        <v>1495</v>
      </c>
      <c r="E457" s="811" t="s">
        <v>1495</v>
      </c>
      <c r="F457" s="811" t="s">
        <v>1793</v>
      </c>
      <c r="G457" s="811" t="s">
        <v>1727</v>
      </c>
      <c r="H457" s="811" t="s">
        <v>1728</v>
      </c>
      <c r="I457" s="811" t="s">
        <v>1729</v>
      </c>
      <c r="J457" s="813">
        <v>29072832</v>
      </c>
      <c r="K457" s="811" t="s">
        <v>1730</v>
      </c>
      <c r="L457" s="811" t="s">
        <v>1189</v>
      </c>
      <c r="M457" s="811" t="s">
        <v>1710</v>
      </c>
      <c r="N457" s="811" t="s">
        <v>1710</v>
      </c>
      <c r="O457" s="811" t="s">
        <v>2209</v>
      </c>
      <c r="P457" s="811" t="s">
        <v>1732</v>
      </c>
      <c r="Q457" s="811" t="s">
        <v>1799</v>
      </c>
    </row>
    <row r="458" spans="1:17" x14ac:dyDescent="0.3">
      <c r="A458" s="811" t="s">
        <v>2290</v>
      </c>
      <c r="B458" s="811" t="s">
        <v>2291</v>
      </c>
      <c r="C458" s="812">
        <v>8000000</v>
      </c>
      <c r="D458" s="811" t="s">
        <v>1495</v>
      </c>
      <c r="E458" s="811" t="s">
        <v>1495</v>
      </c>
      <c r="F458" s="811" t="s">
        <v>1737</v>
      </c>
      <c r="G458" s="811" t="s">
        <v>1727</v>
      </c>
      <c r="H458" s="811" t="s">
        <v>1728</v>
      </c>
      <c r="I458" s="811" t="s">
        <v>1729</v>
      </c>
      <c r="J458" s="813">
        <v>8000000</v>
      </c>
      <c r="K458" s="811" t="s">
        <v>1730</v>
      </c>
      <c r="L458" s="811" t="s">
        <v>1189</v>
      </c>
      <c r="M458" s="811" t="s">
        <v>1710</v>
      </c>
      <c r="N458" s="811" t="s">
        <v>1710</v>
      </c>
      <c r="O458" s="811" t="s">
        <v>2209</v>
      </c>
      <c r="P458" s="811" t="s">
        <v>1732</v>
      </c>
      <c r="Q458" s="811" t="s">
        <v>1799</v>
      </c>
    </row>
    <row r="459" spans="1:17" x14ac:dyDescent="0.3">
      <c r="A459" s="811" t="s">
        <v>1724</v>
      </c>
      <c r="B459" s="811" t="s">
        <v>2292</v>
      </c>
      <c r="C459" s="812">
        <v>73590615</v>
      </c>
      <c r="D459" s="811" t="s">
        <v>1501</v>
      </c>
      <c r="E459" s="811" t="s">
        <v>1501</v>
      </c>
      <c r="F459" s="811" t="s">
        <v>1741</v>
      </c>
      <c r="G459" s="811" t="s">
        <v>1727</v>
      </c>
      <c r="H459" s="811" t="s">
        <v>1728</v>
      </c>
      <c r="I459" s="811" t="s">
        <v>1729</v>
      </c>
      <c r="J459" s="813">
        <v>73590615</v>
      </c>
      <c r="K459" s="811" t="s">
        <v>1730</v>
      </c>
      <c r="L459" s="811" t="s">
        <v>1189</v>
      </c>
      <c r="M459" s="811" t="s">
        <v>1710</v>
      </c>
      <c r="N459" s="811" t="s">
        <v>1710</v>
      </c>
      <c r="O459" s="811" t="s">
        <v>2209</v>
      </c>
      <c r="P459" s="811" t="s">
        <v>1732</v>
      </c>
      <c r="Q459" s="811" t="s">
        <v>1799</v>
      </c>
    </row>
    <row r="460" spans="1:17" x14ac:dyDescent="0.3">
      <c r="A460" s="811" t="s">
        <v>1724</v>
      </c>
      <c r="B460" s="811" t="s">
        <v>2293</v>
      </c>
      <c r="C460" s="812">
        <v>32500000</v>
      </c>
      <c r="D460" s="811" t="s">
        <v>1502</v>
      </c>
      <c r="E460" s="811" t="s">
        <v>1502</v>
      </c>
      <c r="F460" s="811" t="s">
        <v>1814</v>
      </c>
      <c r="G460" s="811" t="s">
        <v>1727</v>
      </c>
      <c r="H460" s="811" t="s">
        <v>1728</v>
      </c>
      <c r="I460" s="811" t="s">
        <v>1729</v>
      </c>
      <c r="J460" s="813">
        <v>32500000</v>
      </c>
      <c r="K460" s="811" t="s">
        <v>1730</v>
      </c>
      <c r="L460" s="811" t="s">
        <v>1189</v>
      </c>
      <c r="M460" s="811" t="s">
        <v>1710</v>
      </c>
      <c r="N460" s="811" t="s">
        <v>1710</v>
      </c>
      <c r="O460" s="811" t="s">
        <v>2294</v>
      </c>
      <c r="P460" s="811" t="s">
        <v>1732</v>
      </c>
      <c r="Q460" s="811" t="s">
        <v>2295</v>
      </c>
    </row>
    <row r="461" spans="1:17" x14ac:dyDescent="0.3">
      <c r="A461" s="811" t="s">
        <v>1724</v>
      </c>
      <c r="B461" s="811" t="s">
        <v>2296</v>
      </c>
      <c r="C461" s="812">
        <v>32500000</v>
      </c>
      <c r="D461" s="811" t="s">
        <v>1501</v>
      </c>
      <c r="E461" s="811" t="s">
        <v>1501</v>
      </c>
      <c r="F461" s="811" t="s">
        <v>1814</v>
      </c>
      <c r="G461" s="811" t="s">
        <v>1727</v>
      </c>
      <c r="H461" s="811" t="s">
        <v>1728</v>
      </c>
      <c r="I461" s="811" t="s">
        <v>1729</v>
      </c>
      <c r="J461" s="813">
        <v>32500000</v>
      </c>
      <c r="K461" s="811" t="s">
        <v>1730</v>
      </c>
      <c r="L461" s="811" t="s">
        <v>1189</v>
      </c>
      <c r="M461" s="811" t="s">
        <v>1710</v>
      </c>
      <c r="N461" s="811" t="s">
        <v>1710</v>
      </c>
      <c r="O461" s="811" t="s">
        <v>2294</v>
      </c>
      <c r="P461" s="811" t="s">
        <v>1732</v>
      </c>
      <c r="Q461" s="811" t="s">
        <v>2295</v>
      </c>
    </row>
    <row r="462" spans="1:17" x14ac:dyDescent="0.3">
      <c r="A462" s="811" t="s">
        <v>1724</v>
      </c>
      <c r="B462" s="811" t="s">
        <v>2297</v>
      </c>
      <c r="C462" s="812">
        <v>32500000</v>
      </c>
      <c r="D462" s="811" t="s">
        <v>1611</v>
      </c>
      <c r="E462" s="811" t="s">
        <v>1611</v>
      </c>
      <c r="F462" s="811" t="s">
        <v>1814</v>
      </c>
      <c r="G462" s="811" t="s">
        <v>1727</v>
      </c>
      <c r="H462" s="811" t="s">
        <v>1728</v>
      </c>
      <c r="I462" s="811" t="s">
        <v>1729</v>
      </c>
      <c r="J462" s="813">
        <v>32500000</v>
      </c>
      <c r="K462" s="811" t="s">
        <v>1730</v>
      </c>
      <c r="L462" s="811" t="s">
        <v>1189</v>
      </c>
      <c r="M462" s="811" t="s">
        <v>1710</v>
      </c>
      <c r="N462" s="811" t="s">
        <v>1710</v>
      </c>
      <c r="O462" s="811" t="s">
        <v>2294</v>
      </c>
      <c r="P462" s="811" t="s">
        <v>1732</v>
      </c>
      <c r="Q462" s="811" t="s">
        <v>2295</v>
      </c>
    </row>
    <row r="463" spans="1:17" x14ac:dyDescent="0.3">
      <c r="A463" s="811" t="s">
        <v>1724</v>
      </c>
      <c r="B463" s="811" t="s">
        <v>2298</v>
      </c>
      <c r="C463" s="812">
        <v>27500000</v>
      </c>
      <c r="D463" s="811" t="s">
        <v>1501</v>
      </c>
      <c r="E463" s="811" t="s">
        <v>1501</v>
      </c>
      <c r="F463" s="811" t="s">
        <v>1793</v>
      </c>
      <c r="G463" s="811" t="s">
        <v>1727</v>
      </c>
      <c r="H463" s="811" t="s">
        <v>1728</v>
      </c>
      <c r="I463" s="811" t="s">
        <v>1729</v>
      </c>
      <c r="J463" s="813">
        <v>27500000</v>
      </c>
      <c r="K463" s="811" t="s">
        <v>1730</v>
      </c>
      <c r="L463" s="811" t="s">
        <v>1189</v>
      </c>
      <c r="M463" s="811" t="s">
        <v>1710</v>
      </c>
      <c r="N463" s="811" t="s">
        <v>1710</v>
      </c>
      <c r="O463" s="811" t="s">
        <v>2294</v>
      </c>
      <c r="P463" s="811" t="s">
        <v>1732</v>
      </c>
      <c r="Q463" s="811" t="s">
        <v>2295</v>
      </c>
    </row>
    <row r="464" spans="1:17" x14ac:dyDescent="0.3">
      <c r="A464" s="811" t="s">
        <v>2299</v>
      </c>
      <c r="B464" s="811" t="s">
        <v>2300</v>
      </c>
      <c r="C464" s="812">
        <v>59000000</v>
      </c>
      <c r="D464" s="811" t="s">
        <v>1502</v>
      </c>
      <c r="E464" s="811" t="s">
        <v>1509</v>
      </c>
      <c r="F464" s="811" t="s">
        <v>1726</v>
      </c>
      <c r="G464" s="811" t="s">
        <v>1727</v>
      </c>
      <c r="H464" s="811" t="s">
        <v>1650</v>
      </c>
      <c r="I464" s="811" t="s">
        <v>1729</v>
      </c>
      <c r="J464" s="813">
        <v>59000000</v>
      </c>
      <c r="K464" s="811" t="s">
        <v>1730</v>
      </c>
      <c r="L464" s="811" t="s">
        <v>1189</v>
      </c>
      <c r="M464" s="811" t="s">
        <v>1710</v>
      </c>
      <c r="N464" s="811" t="s">
        <v>1710</v>
      </c>
      <c r="O464" s="811" t="s">
        <v>1774</v>
      </c>
      <c r="P464" s="811" t="s">
        <v>1732</v>
      </c>
      <c r="Q464" s="811" t="s">
        <v>1775</v>
      </c>
    </row>
    <row r="465" spans="1:17" x14ac:dyDescent="0.3">
      <c r="A465" s="811" t="s">
        <v>2301</v>
      </c>
      <c r="B465" s="811" t="s">
        <v>2302</v>
      </c>
      <c r="C465" s="812">
        <v>32697000</v>
      </c>
      <c r="D465" s="811" t="s">
        <v>1505</v>
      </c>
      <c r="E465" s="811" t="s">
        <v>1501</v>
      </c>
      <c r="F465" s="811" t="s">
        <v>1741</v>
      </c>
      <c r="G465" s="811" t="s">
        <v>1727</v>
      </c>
      <c r="H465" s="811" t="s">
        <v>1650</v>
      </c>
      <c r="I465" s="811" t="s">
        <v>1729</v>
      </c>
      <c r="J465" s="813">
        <v>32697000</v>
      </c>
      <c r="K465" s="811" t="s">
        <v>1730</v>
      </c>
      <c r="L465" s="811" t="s">
        <v>1189</v>
      </c>
      <c r="M465" s="811" t="s">
        <v>1710</v>
      </c>
      <c r="N465" s="811" t="s">
        <v>1710</v>
      </c>
      <c r="O465" s="811" t="s">
        <v>1774</v>
      </c>
      <c r="P465" s="811" t="s">
        <v>1732</v>
      </c>
      <c r="Q465" s="811" t="s">
        <v>1775</v>
      </c>
    </row>
    <row r="466" spans="1:17" x14ac:dyDescent="0.3">
      <c r="A466" s="811" t="s">
        <v>2303</v>
      </c>
      <c r="B466" s="811" t="s">
        <v>2304</v>
      </c>
      <c r="C466" s="812">
        <v>90825000</v>
      </c>
      <c r="D466" s="811" t="s">
        <v>1501</v>
      </c>
      <c r="E466" s="811" t="s">
        <v>1611</v>
      </c>
      <c r="F466" s="811" t="s">
        <v>1747</v>
      </c>
      <c r="G466" s="811" t="s">
        <v>1727</v>
      </c>
      <c r="H466" s="811" t="s">
        <v>1738</v>
      </c>
      <c r="I466" s="811" t="s">
        <v>1729</v>
      </c>
      <c r="J466" s="813">
        <v>90825000</v>
      </c>
      <c r="K466" s="811" t="s">
        <v>1730</v>
      </c>
      <c r="L466" s="811" t="s">
        <v>1189</v>
      </c>
      <c r="M466" s="811" t="s">
        <v>1710</v>
      </c>
      <c r="N466" s="811" t="s">
        <v>1710</v>
      </c>
      <c r="O466" s="811" t="s">
        <v>1774</v>
      </c>
      <c r="P466" s="811" t="s">
        <v>1732</v>
      </c>
      <c r="Q466" s="811" t="s">
        <v>1775</v>
      </c>
    </row>
    <row r="467" spans="1:17" x14ac:dyDescent="0.3">
      <c r="A467" s="811" t="s">
        <v>2305</v>
      </c>
      <c r="B467" s="811" t="s">
        <v>2306</v>
      </c>
      <c r="C467" s="812">
        <v>12000000</v>
      </c>
      <c r="D467" s="811" t="s">
        <v>2236</v>
      </c>
      <c r="E467" s="811" t="s">
        <v>1520</v>
      </c>
      <c r="F467" s="811" t="s">
        <v>1747</v>
      </c>
      <c r="G467" s="811" t="s">
        <v>1727</v>
      </c>
      <c r="H467" s="811" t="s">
        <v>1738</v>
      </c>
      <c r="I467" s="811" t="s">
        <v>1729</v>
      </c>
      <c r="J467" s="813">
        <v>12000000</v>
      </c>
      <c r="K467" s="811" t="s">
        <v>1730</v>
      </c>
      <c r="L467" s="811" t="s">
        <v>1189</v>
      </c>
      <c r="M467" s="811" t="s">
        <v>1710</v>
      </c>
      <c r="N467" s="811" t="s">
        <v>1710</v>
      </c>
      <c r="O467" s="811" t="s">
        <v>1774</v>
      </c>
      <c r="P467" s="811" t="s">
        <v>1732</v>
      </c>
      <c r="Q467" s="811" t="s">
        <v>1775</v>
      </c>
    </row>
    <row r="468" spans="1:17" x14ac:dyDescent="0.3">
      <c r="A468" s="811" t="s">
        <v>2307</v>
      </c>
      <c r="B468" s="811" t="s">
        <v>2308</v>
      </c>
      <c r="C468" s="812">
        <v>250000000</v>
      </c>
      <c r="D468" s="811" t="s">
        <v>1505</v>
      </c>
      <c r="E468" s="811" t="s">
        <v>1501</v>
      </c>
      <c r="F468" s="811" t="s">
        <v>1747</v>
      </c>
      <c r="G468" s="811" t="s">
        <v>1727</v>
      </c>
      <c r="H468" s="811" t="s">
        <v>1728</v>
      </c>
      <c r="I468" s="811" t="s">
        <v>1729</v>
      </c>
      <c r="J468" s="813">
        <v>250000000</v>
      </c>
      <c r="K468" s="811" t="s">
        <v>1730</v>
      </c>
      <c r="L468" s="811" t="s">
        <v>1189</v>
      </c>
      <c r="M468" s="811" t="s">
        <v>1710</v>
      </c>
      <c r="N468" s="811" t="s">
        <v>1710</v>
      </c>
      <c r="O468" s="811" t="s">
        <v>1774</v>
      </c>
      <c r="P468" s="811" t="s">
        <v>1732</v>
      </c>
      <c r="Q468" s="811" t="s">
        <v>1775</v>
      </c>
    </row>
    <row r="469" spans="1:17" x14ac:dyDescent="0.3">
      <c r="A469" s="811" t="s">
        <v>2309</v>
      </c>
      <c r="B469" s="811" t="s">
        <v>2310</v>
      </c>
      <c r="C469" s="812">
        <v>170000000</v>
      </c>
      <c r="D469" s="811" t="s">
        <v>1514</v>
      </c>
      <c r="E469" s="811" t="s">
        <v>2236</v>
      </c>
      <c r="F469" s="811" t="s">
        <v>1747</v>
      </c>
      <c r="G469" s="811" t="s">
        <v>1727</v>
      </c>
      <c r="H469" s="811" t="s">
        <v>1738</v>
      </c>
      <c r="I469" s="811" t="s">
        <v>1729</v>
      </c>
      <c r="J469" s="813">
        <v>170000000</v>
      </c>
      <c r="K469" s="811" t="s">
        <v>1730</v>
      </c>
      <c r="L469" s="811" t="s">
        <v>1189</v>
      </c>
      <c r="M469" s="811" t="s">
        <v>1710</v>
      </c>
      <c r="N469" s="811" t="s">
        <v>1710</v>
      </c>
      <c r="O469" s="811" t="s">
        <v>1774</v>
      </c>
      <c r="P469" s="811" t="s">
        <v>1732</v>
      </c>
      <c r="Q469" s="811" t="s">
        <v>1775</v>
      </c>
    </row>
    <row r="470" spans="1:17" x14ac:dyDescent="0.3">
      <c r="A470" s="811" t="s">
        <v>2311</v>
      </c>
      <c r="B470" s="811" t="s">
        <v>2312</v>
      </c>
      <c r="C470" s="812">
        <v>59000000</v>
      </c>
      <c r="D470" s="811" t="s">
        <v>1525</v>
      </c>
      <c r="E470" s="811" t="s">
        <v>1514</v>
      </c>
      <c r="F470" s="811" t="s">
        <v>1791</v>
      </c>
      <c r="G470" s="811" t="s">
        <v>1727</v>
      </c>
      <c r="H470" s="811" t="s">
        <v>1650</v>
      </c>
      <c r="I470" s="811" t="s">
        <v>1729</v>
      </c>
      <c r="J470" s="813">
        <v>59000000</v>
      </c>
      <c r="K470" s="811" t="s">
        <v>1730</v>
      </c>
      <c r="L470" s="811" t="s">
        <v>1189</v>
      </c>
      <c r="M470" s="811" t="s">
        <v>1710</v>
      </c>
      <c r="N470" s="811" t="s">
        <v>1710</v>
      </c>
      <c r="O470" s="811" t="s">
        <v>1774</v>
      </c>
      <c r="P470" s="811" t="s">
        <v>1732</v>
      </c>
      <c r="Q470" s="811" t="s">
        <v>1775</v>
      </c>
    </row>
    <row r="471" spans="1:17" x14ac:dyDescent="0.3">
      <c r="A471" s="811" t="s">
        <v>2309</v>
      </c>
      <c r="B471" s="811" t="s">
        <v>2313</v>
      </c>
      <c r="C471" s="812">
        <v>650000000</v>
      </c>
      <c r="D471" s="811" t="s">
        <v>1510</v>
      </c>
      <c r="E471" s="811" t="s">
        <v>1510</v>
      </c>
      <c r="F471" s="811" t="s">
        <v>1747</v>
      </c>
      <c r="G471" s="811" t="s">
        <v>1727</v>
      </c>
      <c r="H471" s="811" t="s">
        <v>1738</v>
      </c>
      <c r="I471" s="811" t="s">
        <v>1729</v>
      </c>
      <c r="J471" s="813">
        <v>650000000</v>
      </c>
      <c r="K471" s="811" t="s">
        <v>1730</v>
      </c>
      <c r="L471" s="811" t="s">
        <v>1189</v>
      </c>
      <c r="M471" s="811" t="s">
        <v>1710</v>
      </c>
      <c r="N471" s="811" t="s">
        <v>1710</v>
      </c>
      <c r="O471" s="811" t="s">
        <v>1774</v>
      </c>
      <c r="P471" s="811" t="s">
        <v>1732</v>
      </c>
      <c r="Q471" s="811" t="s">
        <v>1775</v>
      </c>
    </row>
    <row r="472" spans="1:17" x14ac:dyDescent="0.3">
      <c r="A472" s="811" t="s">
        <v>2314</v>
      </c>
      <c r="B472" s="811" t="s">
        <v>2315</v>
      </c>
      <c r="C472" s="812">
        <v>54000000</v>
      </c>
      <c r="D472" s="811" t="s">
        <v>1520</v>
      </c>
      <c r="E472" s="811" t="s">
        <v>2316</v>
      </c>
      <c r="F472" s="811" t="s">
        <v>1747</v>
      </c>
      <c r="G472" s="811" t="s">
        <v>1727</v>
      </c>
      <c r="H472" s="811" t="s">
        <v>1738</v>
      </c>
      <c r="I472" s="811" t="s">
        <v>1729</v>
      </c>
      <c r="J472" s="813">
        <v>54000000</v>
      </c>
      <c r="K472" s="811" t="s">
        <v>1730</v>
      </c>
      <c r="L472" s="811" t="s">
        <v>1189</v>
      </c>
      <c r="M472" s="811" t="s">
        <v>1710</v>
      </c>
      <c r="N472" s="811" t="s">
        <v>1710</v>
      </c>
      <c r="O472" s="811" t="s">
        <v>1774</v>
      </c>
      <c r="P472" s="811" t="s">
        <v>1732</v>
      </c>
      <c r="Q472" s="811" t="s">
        <v>1775</v>
      </c>
    </row>
    <row r="473" spans="1:17" x14ac:dyDescent="0.3">
      <c r="A473" s="811" t="s">
        <v>2172</v>
      </c>
      <c r="B473" s="811" t="s">
        <v>2317</v>
      </c>
      <c r="C473" s="812">
        <v>70000000</v>
      </c>
      <c r="D473" s="811" t="s">
        <v>1509</v>
      </c>
      <c r="E473" s="811" t="s">
        <v>1510</v>
      </c>
      <c r="F473" s="811" t="s">
        <v>2074</v>
      </c>
      <c r="G473" s="811" t="s">
        <v>1727</v>
      </c>
      <c r="H473" s="811" t="s">
        <v>1738</v>
      </c>
      <c r="I473" s="811" t="s">
        <v>1729</v>
      </c>
      <c r="J473" s="813">
        <v>70000000</v>
      </c>
      <c r="K473" s="811" t="s">
        <v>1730</v>
      </c>
      <c r="L473" s="811" t="s">
        <v>1189</v>
      </c>
      <c r="M473" s="811" t="s">
        <v>1710</v>
      </c>
      <c r="N473" s="811" t="s">
        <v>1710</v>
      </c>
      <c r="O473" s="811" t="s">
        <v>1774</v>
      </c>
      <c r="P473" s="811" t="s">
        <v>1732</v>
      </c>
      <c r="Q473" s="811" t="s">
        <v>1775</v>
      </c>
    </row>
    <row r="474" spans="1:17" x14ac:dyDescent="0.3">
      <c r="A474" s="811" t="s">
        <v>2318</v>
      </c>
      <c r="B474" s="811" t="s">
        <v>2319</v>
      </c>
      <c r="C474" s="812">
        <v>245000000</v>
      </c>
      <c r="D474" s="811" t="s">
        <v>2236</v>
      </c>
      <c r="E474" s="811" t="s">
        <v>1520</v>
      </c>
      <c r="F474" s="811" t="s">
        <v>1747</v>
      </c>
      <c r="G474" s="811" t="s">
        <v>1727</v>
      </c>
      <c r="H474" s="811" t="s">
        <v>1803</v>
      </c>
      <c r="I474" s="811" t="s">
        <v>1729</v>
      </c>
      <c r="J474" s="813">
        <v>245000000</v>
      </c>
      <c r="K474" s="811" t="s">
        <v>1730</v>
      </c>
      <c r="L474" s="811" t="s">
        <v>1189</v>
      </c>
      <c r="M474" s="811" t="s">
        <v>1710</v>
      </c>
      <c r="N474" s="811" t="s">
        <v>1710</v>
      </c>
      <c r="O474" s="811" t="s">
        <v>1774</v>
      </c>
      <c r="P474" s="811" t="s">
        <v>1732</v>
      </c>
      <c r="Q474" s="811" t="s">
        <v>1775</v>
      </c>
    </row>
    <row r="475" spans="1:17" x14ac:dyDescent="0.3">
      <c r="A475" s="811" t="s">
        <v>2320</v>
      </c>
      <c r="B475" s="811" t="s">
        <v>2321</v>
      </c>
      <c r="C475" s="812">
        <v>78000000</v>
      </c>
      <c r="D475" s="811" t="s">
        <v>1514</v>
      </c>
      <c r="E475" s="811" t="s">
        <v>2236</v>
      </c>
      <c r="F475" s="811" t="s">
        <v>1747</v>
      </c>
      <c r="G475" s="811" t="s">
        <v>1727</v>
      </c>
      <c r="H475" s="811" t="s">
        <v>1803</v>
      </c>
      <c r="I475" s="811" t="s">
        <v>1729</v>
      </c>
      <c r="J475" s="813">
        <v>78000000</v>
      </c>
      <c r="K475" s="811" t="s">
        <v>1730</v>
      </c>
      <c r="L475" s="811" t="s">
        <v>1189</v>
      </c>
      <c r="M475" s="811" t="s">
        <v>1710</v>
      </c>
      <c r="N475" s="811" t="s">
        <v>1710</v>
      </c>
      <c r="O475" s="811" t="s">
        <v>1774</v>
      </c>
      <c r="P475" s="811" t="s">
        <v>1732</v>
      </c>
      <c r="Q475" s="811" t="s">
        <v>1775</v>
      </c>
    </row>
    <row r="476" spans="1:17" x14ac:dyDescent="0.3">
      <c r="A476" s="811" t="s">
        <v>2322</v>
      </c>
      <c r="B476" s="811" t="s">
        <v>2323</v>
      </c>
      <c r="C476" s="812">
        <v>35000000</v>
      </c>
      <c r="D476" s="811" t="s">
        <v>1509</v>
      </c>
      <c r="E476" s="811" t="s">
        <v>1510</v>
      </c>
      <c r="F476" s="811" t="s">
        <v>1747</v>
      </c>
      <c r="G476" s="811" t="s">
        <v>1727</v>
      </c>
      <c r="H476" s="811" t="s">
        <v>1728</v>
      </c>
      <c r="I476" s="811" t="s">
        <v>1729</v>
      </c>
      <c r="J476" s="813">
        <v>35000000</v>
      </c>
      <c r="K476" s="811" t="s">
        <v>1730</v>
      </c>
      <c r="L476" s="811" t="s">
        <v>1189</v>
      </c>
      <c r="M476" s="811" t="s">
        <v>1710</v>
      </c>
      <c r="N476" s="811" t="s">
        <v>1710</v>
      </c>
      <c r="O476" s="811" t="s">
        <v>1774</v>
      </c>
      <c r="P476" s="811" t="s">
        <v>1732</v>
      </c>
      <c r="Q476" s="811" t="s">
        <v>1775</v>
      </c>
    </row>
    <row r="477" spans="1:17" x14ac:dyDescent="0.3">
      <c r="A477" s="811" t="s">
        <v>2324</v>
      </c>
      <c r="B477" s="811" t="s">
        <v>2325</v>
      </c>
      <c r="C477" s="812">
        <v>31000000</v>
      </c>
      <c r="D477" s="811" t="s">
        <v>1510</v>
      </c>
      <c r="E477" s="811" t="s">
        <v>1525</v>
      </c>
      <c r="F477" s="811" t="s">
        <v>2074</v>
      </c>
      <c r="G477" s="811" t="s">
        <v>1727</v>
      </c>
      <c r="H477" s="811" t="s">
        <v>1650</v>
      </c>
      <c r="I477" s="811" t="s">
        <v>1729</v>
      </c>
      <c r="J477" s="813">
        <v>31000000</v>
      </c>
      <c r="K477" s="811" t="s">
        <v>1730</v>
      </c>
      <c r="L477" s="811" t="s">
        <v>1189</v>
      </c>
      <c r="M477" s="811" t="s">
        <v>1710</v>
      </c>
      <c r="N477" s="811" t="s">
        <v>1710</v>
      </c>
      <c r="O477" s="811" t="s">
        <v>1774</v>
      </c>
      <c r="P477" s="811" t="s">
        <v>1732</v>
      </c>
      <c r="Q477" s="811" t="s">
        <v>1775</v>
      </c>
    </row>
    <row r="478" spans="1:17" x14ac:dyDescent="0.3">
      <c r="A478" s="811" t="s">
        <v>1724</v>
      </c>
      <c r="B478" s="811" t="s">
        <v>2326</v>
      </c>
      <c r="C478" s="812">
        <v>42745500</v>
      </c>
      <c r="D478" s="811" t="s">
        <v>1505</v>
      </c>
      <c r="E478" s="811" t="s">
        <v>1505</v>
      </c>
      <c r="F478" s="811" t="s">
        <v>1773</v>
      </c>
      <c r="G478" s="811" t="s">
        <v>1727</v>
      </c>
      <c r="H478" s="811" t="s">
        <v>1728</v>
      </c>
      <c r="I478" s="811" t="s">
        <v>1729</v>
      </c>
      <c r="J478" s="813">
        <v>42745500</v>
      </c>
      <c r="K478" s="811" t="s">
        <v>1730</v>
      </c>
      <c r="L478" s="811" t="s">
        <v>1189</v>
      </c>
      <c r="M478" s="811" t="s">
        <v>1710</v>
      </c>
      <c r="N478" s="811" t="s">
        <v>1710</v>
      </c>
      <c r="O478" s="811" t="s">
        <v>1774</v>
      </c>
      <c r="P478" s="811" t="s">
        <v>1732</v>
      </c>
      <c r="Q478" s="811" t="s">
        <v>1775</v>
      </c>
    </row>
    <row r="479" spans="1:17" x14ac:dyDescent="0.3">
      <c r="A479" s="811" t="s">
        <v>1724</v>
      </c>
      <c r="B479" s="811" t="s">
        <v>2327</v>
      </c>
      <c r="C479" s="812">
        <v>26400000</v>
      </c>
      <c r="D479" s="811" t="s">
        <v>1505</v>
      </c>
      <c r="E479" s="811" t="s">
        <v>1505</v>
      </c>
      <c r="F479" s="811" t="s">
        <v>1726</v>
      </c>
      <c r="G479" s="811" t="s">
        <v>1727</v>
      </c>
      <c r="H479" s="811" t="s">
        <v>1728</v>
      </c>
      <c r="I479" s="811" t="s">
        <v>1729</v>
      </c>
      <c r="J479" s="813">
        <v>26400000</v>
      </c>
      <c r="K479" s="811" t="s">
        <v>1730</v>
      </c>
      <c r="L479" s="811" t="s">
        <v>1189</v>
      </c>
      <c r="M479" s="811" t="s">
        <v>1710</v>
      </c>
      <c r="N479" s="811" t="s">
        <v>1710</v>
      </c>
      <c r="O479" s="811" t="s">
        <v>1774</v>
      </c>
      <c r="P479" s="811" t="s">
        <v>1732</v>
      </c>
      <c r="Q479" s="811" t="s">
        <v>1775</v>
      </c>
    </row>
    <row r="480" spans="1:17" x14ac:dyDescent="0.3">
      <c r="A480" s="811" t="s">
        <v>1724</v>
      </c>
      <c r="B480" s="811" t="s">
        <v>2328</v>
      </c>
      <c r="C480" s="812">
        <v>37260000</v>
      </c>
      <c r="D480" s="811" t="s">
        <v>1501</v>
      </c>
      <c r="E480" s="811" t="s">
        <v>1501</v>
      </c>
      <c r="F480" s="811" t="s">
        <v>1726</v>
      </c>
      <c r="G480" s="811" t="s">
        <v>1727</v>
      </c>
      <c r="H480" s="811" t="s">
        <v>1728</v>
      </c>
      <c r="I480" s="811" t="s">
        <v>1729</v>
      </c>
      <c r="J480" s="813">
        <v>37260000</v>
      </c>
      <c r="K480" s="811" t="s">
        <v>1730</v>
      </c>
      <c r="L480" s="811" t="s">
        <v>1189</v>
      </c>
      <c r="M480" s="811" t="s">
        <v>1710</v>
      </c>
      <c r="N480" s="811" t="s">
        <v>1710</v>
      </c>
      <c r="O480" s="811" t="s">
        <v>1774</v>
      </c>
      <c r="P480" s="811" t="s">
        <v>1732</v>
      </c>
      <c r="Q480" s="811" t="s">
        <v>1775</v>
      </c>
    </row>
    <row r="481" spans="1:17" x14ac:dyDescent="0.3">
      <c r="A481" s="811" t="s">
        <v>1724</v>
      </c>
      <c r="B481" s="811" t="s">
        <v>2329</v>
      </c>
      <c r="C481" s="812">
        <v>23287500</v>
      </c>
      <c r="D481" s="811" t="s">
        <v>1495</v>
      </c>
      <c r="E481" s="811" t="s">
        <v>1495</v>
      </c>
      <c r="F481" s="811" t="s">
        <v>1741</v>
      </c>
      <c r="G481" s="811" t="s">
        <v>1727</v>
      </c>
      <c r="H481" s="811" t="s">
        <v>1728</v>
      </c>
      <c r="I481" s="811" t="s">
        <v>1729</v>
      </c>
      <c r="J481" s="813">
        <v>23287500</v>
      </c>
      <c r="K481" s="811" t="s">
        <v>1730</v>
      </c>
      <c r="L481" s="811" t="s">
        <v>1189</v>
      </c>
      <c r="M481" s="811" t="s">
        <v>1710</v>
      </c>
      <c r="N481" s="811" t="s">
        <v>1710</v>
      </c>
      <c r="O481" s="811" t="s">
        <v>1774</v>
      </c>
      <c r="P481" s="811" t="s">
        <v>1732</v>
      </c>
      <c r="Q481" s="811" t="s">
        <v>1775</v>
      </c>
    </row>
    <row r="482" spans="1:17" x14ac:dyDescent="0.3">
      <c r="A482" s="811" t="s">
        <v>1724</v>
      </c>
      <c r="B482" s="811" t="s">
        <v>2330</v>
      </c>
      <c r="C482" s="812">
        <v>72000000</v>
      </c>
      <c r="D482" s="811" t="s">
        <v>1501</v>
      </c>
      <c r="E482" s="811" t="s">
        <v>1501</v>
      </c>
      <c r="F482" s="811" t="s">
        <v>1741</v>
      </c>
      <c r="G482" s="811" t="s">
        <v>1727</v>
      </c>
      <c r="H482" s="811" t="s">
        <v>1728</v>
      </c>
      <c r="I482" s="811" t="s">
        <v>1729</v>
      </c>
      <c r="J482" s="813">
        <v>72000000</v>
      </c>
      <c r="K482" s="811" t="s">
        <v>1730</v>
      </c>
      <c r="L482" s="811" t="s">
        <v>1189</v>
      </c>
      <c r="M482" s="811" t="s">
        <v>1710</v>
      </c>
      <c r="N482" s="811" t="s">
        <v>1710</v>
      </c>
      <c r="O482" s="811" t="s">
        <v>1756</v>
      </c>
      <c r="P482" s="811" t="s">
        <v>1732</v>
      </c>
      <c r="Q482" s="811" t="s">
        <v>1757</v>
      </c>
    </row>
    <row r="483" spans="1:17" x14ac:dyDescent="0.3">
      <c r="A483" s="811" t="s">
        <v>1724</v>
      </c>
      <c r="B483" s="811" t="s">
        <v>2331</v>
      </c>
      <c r="C483" s="812">
        <v>78750000</v>
      </c>
      <c r="D483" s="811" t="s">
        <v>1501</v>
      </c>
      <c r="E483" s="811" t="s">
        <v>1501</v>
      </c>
      <c r="F483" s="811" t="s">
        <v>1741</v>
      </c>
      <c r="G483" s="811" t="s">
        <v>1727</v>
      </c>
      <c r="H483" s="811" t="s">
        <v>1728</v>
      </c>
      <c r="I483" s="811" t="s">
        <v>1729</v>
      </c>
      <c r="J483" s="813">
        <v>78750000</v>
      </c>
      <c r="K483" s="811" t="s">
        <v>1730</v>
      </c>
      <c r="L483" s="811" t="s">
        <v>1189</v>
      </c>
      <c r="M483" s="811" t="s">
        <v>1710</v>
      </c>
      <c r="N483" s="811" t="s">
        <v>1710</v>
      </c>
      <c r="O483" s="811" t="s">
        <v>1756</v>
      </c>
      <c r="P483" s="811" t="s">
        <v>1732</v>
      </c>
      <c r="Q483" s="811" t="s">
        <v>1757</v>
      </c>
    </row>
    <row r="484" spans="1:17" x14ac:dyDescent="0.3">
      <c r="A484" s="811" t="s">
        <v>1724</v>
      </c>
      <c r="B484" s="811" t="s">
        <v>2332</v>
      </c>
      <c r="C484" s="812">
        <v>36000000</v>
      </c>
      <c r="D484" s="811" t="s">
        <v>1501</v>
      </c>
      <c r="E484" s="811" t="s">
        <v>1501</v>
      </c>
      <c r="F484" s="811" t="s">
        <v>1741</v>
      </c>
      <c r="G484" s="811" t="s">
        <v>1727</v>
      </c>
      <c r="H484" s="811" t="s">
        <v>1728</v>
      </c>
      <c r="I484" s="811" t="s">
        <v>1729</v>
      </c>
      <c r="J484" s="813">
        <v>36000000</v>
      </c>
      <c r="K484" s="811" t="s">
        <v>1730</v>
      </c>
      <c r="L484" s="811" t="s">
        <v>1189</v>
      </c>
      <c r="M484" s="811" t="s">
        <v>1710</v>
      </c>
      <c r="N484" s="811" t="s">
        <v>1710</v>
      </c>
      <c r="O484" s="811" t="s">
        <v>1756</v>
      </c>
      <c r="P484" s="811" t="s">
        <v>1732</v>
      </c>
      <c r="Q484" s="811" t="s">
        <v>1757</v>
      </c>
    </row>
    <row r="485" spans="1:17" x14ac:dyDescent="0.3">
      <c r="A485" s="811" t="s">
        <v>1724</v>
      </c>
      <c r="B485" s="811" t="s">
        <v>2333</v>
      </c>
      <c r="C485" s="812">
        <v>31706748</v>
      </c>
      <c r="D485" s="811" t="s">
        <v>1501</v>
      </c>
      <c r="E485" s="811" t="s">
        <v>1501</v>
      </c>
      <c r="F485" s="811" t="s">
        <v>1741</v>
      </c>
      <c r="G485" s="811" t="s">
        <v>1727</v>
      </c>
      <c r="H485" s="811" t="s">
        <v>1728</v>
      </c>
      <c r="I485" s="811" t="s">
        <v>1729</v>
      </c>
      <c r="J485" s="813">
        <v>31706748</v>
      </c>
      <c r="K485" s="811" t="s">
        <v>1730</v>
      </c>
      <c r="L485" s="811" t="s">
        <v>1189</v>
      </c>
      <c r="M485" s="811" t="s">
        <v>1710</v>
      </c>
      <c r="N485" s="811" t="s">
        <v>1710</v>
      </c>
      <c r="O485" s="811" t="s">
        <v>1756</v>
      </c>
      <c r="P485" s="811" t="s">
        <v>1732</v>
      </c>
      <c r="Q485" s="811" t="s">
        <v>1757</v>
      </c>
    </row>
    <row r="486" spans="1:17" x14ac:dyDescent="0.3">
      <c r="A486" s="811" t="s">
        <v>1724</v>
      </c>
      <c r="B486" s="811" t="s">
        <v>2334</v>
      </c>
      <c r="C486" s="812">
        <v>45000000</v>
      </c>
      <c r="D486" s="811" t="s">
        <v>1501</v>
      </c>
      <c r="E486" s="811" t="s">
        <v>1501</v>
      </c>
      <c r="F486" s="811" t="s">
        <v>1741</v>
      </c>
      <c r="G486" s="811" t="s">
        <v>1727</v>
      </c>
      <c r="H486" s="811" t="s">
        <v>1728</v>
      </c>
      <c r="I486" s="811" t="s">
        <v>1729</v>
      </c>
      <c r="J486" s="813">
        <v>45000000</v>
      </c>
      <c r="K486" s="811" t="s">
        <v>1730</v>
      </c>
      <c r="L486" s="811" t="s">
        <v>1189</v>
      </c>
      <c r="M486" s="811" t="s">
        <v>1710</v>
      </c>
      <c r="N486" s="811" t="s">
        <v>1710</v>
      </c>
      <c r="O486" s="811" t="s">
        <v>1756</v>
      </c>
      <c r="P486" s="811" t="s">
        <v>1732</v>
      </c>
      <c r="Q486" s="811" t="s">
        <v>1757</v>
      </c>
    </row>
    <row r="487" spans="1:17" x14ac:dyDescent="0.3">
      <c r="A487" s="811" t="s">
        <v>1724</v>
      </c>
      <c r="B487" s="811" t="s">
        <v>2335</v>
      </c>
      <c r="C487" s="812">
        <v>55000000</v>
      </c>
      <c r="D487" s="811" t="s">
        <v>1495</v>
      </c>
      <c r="E487" s="811" t="s">
        <v>1495</v>
      </c>
      <c r="F487" s="811" t="s">
        <v>1764</v>
      </c>
      <c r="G487" s="811" t="s">
        <v>1727</v>
      </c>
      <c r="H487" s="811" t="s">
        <v>1728</v>
      </c>
      <c r="I487" s="811" t="s">
        <v>1729</v>
      </c>
      <c r="J487" s="813">
        <v>55000000</v>
      </c>
      <c r="K487" s="811" t="s">
        <v>1730</v>
      </c>
      <c r="L487" s="811" t="s">
        <v>1189</v>
      </c>
      <c r="M487" s="811" t="s">
        <v>1710</v>
      </c>
      <c r="N487" s="811" t="s">
        <v>1710</v>
      </c>
      <c r="O487" s="811" t="s">
        <v>1756</v>
      </c>
      <c r="P487" s="811" t="s">
        <v>1732</v>
      </c>
      <c r="Q487" s="811" t="s">
        <v>1757</v>
      </c>
    </row>
    <row r="488" spans="1:17" x14ac:dyDescent="0.3">
      <c r="A488" s="811" t="s">
        <v>1724</v>
      </c>
      <c r="B488" s="811" t="s">
        <v>2336</v>
      </c>
      <c r="C488" s="812">
        <v>36000000</v>
      </c>
      <c r="D488" s="811" t="s">
        <v>1501</v>
      </c>
      <c r="E488" s="811" t="s">
        <v>1501</v>
      </c>
      <c r="F488" s="811" t="s">
        <v>1741</v>
      </c>
      <c r="G488" s="811" t="s">
        <v>1727</v>
      </c>
      <c r="H488" s="811" t="s">
        <v>1728</v>
      </c>
      <c r="I488" s="811" t="s">
        <v>1729</v>
      </c>
      <c r="J488" s="813">
        <v>36000000</v>
      </c>
      <c r="K488" s="811" t="s">
        <v>1730</v>
      </c>
      <c r="L488" s="811" t="s">
        <v>1189</v>
      </c>
      <c r="M488" s="811" t="s">
        <v>1710</v>
      </c>
      <c r="N488" s="811" t="s">
        <v>1710</v>
      </c>
      <c r="O488" s="811" t="s">
        <v>1756</v>
      </c>
      <c r="P488" s="811" t="s">
        <v>1732</v>
      </c>
      <c r="Q488" s="811" t="s">
        <v>1757</v>
      </c>
    </row>
    <row r="489" spans="1:17" x14ac:dyDescent="0.3">
      <c r="A489" s="811" t="s">
        <v>1724</v>
      </c>
      <c r="B489" s="811" t="s">
        <v>2337</v>
      </c>
      <c r="C489" s="812">
        <v>55800000</v>
      </c>
      <c r="D489" s="811" t="s">
        <v>1501</v>
      </c>
      <c r="E489" s="811" t="s">
        <v>1501</v>
      </c>
      <c r="F489" s="811" t="s">
        <v>1741</v>
      </c>
      <c r="G489" s="811" t="s">
        <v>1727</v>
      </c>
      <c r="H489" s="811" t="s">
        <v>1728</v>
      </c>
      <c r="I489" s="811" t="s">
        <v>1729</v>
      </c>
      <c r="J489" s="813">
        <v>55800000</v>
      </c>
      <c r="K489" s="811" t="s">
        <v>1730</v>
      </c>
      <c r="L489" s="811" t="s">
        <v>1189</v>
      </c>
      <c r="M489" s="811" t="s">
        <v>1710</v>
      </c>
      <c r="N489" s="811" t="s">
        <v>1710</v>
      </c>
      <c r="O489" s="811" t="s">
        <v>1756</v>
      </c>
      <c r="P489" s="811" t="s">
        <v>1732</v>
      </c>
      <c r="Q489" s="811" t="s">
        <v>1757</v>
      </c>
    </row>
    <row r="490" spans="1:17" x14ac:dyDescent="0.3">
      <c r="A490" s="811" t="s">
        <v>1724</v>
      </c>
      <c r="B490" s="811" t="s">
        <v>2338</v>
      </c>
      <c r="C490" s="812">
        <v>82500000</v>
      </c>
      <c r="D490" s="811" t="s">
        <v>1495</v>
      </c>
      <c r="E490" s="811" t="s">
        <v>1495</v>
      </c>
      <c r="F490" s="811" t="s">
        <v>1764</v>
      </c>
      <c r="G490" s="811" t="s">
        <v>1727</v>
      </c>
      <c r="H490" s="811" t="s">
        <v>1728</v>
      </c>
      <c r="I490" s="811" t="s">
        <v>1729</v>
      </c>
      <c r="J490" s="813">
        <v>82500000</v>
      </c>
      <c r="K490" s="811" t="s">
        <v>1730</v>
      </c>
      <c r="L490" s="811" t="s">
        <v>1189</v>
      </c>
      <c r="M490" s="811" t="s">
        <v>1710</v>
      </c>
      <c r="N490" s="811" t="s">
        <v>1710</v>
      </c>
      <c r="O490" s="811" t="s">
        <v>1756</v>
      </c>
      <c r="P490" s="811" t="s">
        <v>1732</v>
      </c>
      <c r="Q490" s="811" t="s">
        <v>1757</v>
      </c>
    </row>
    <row r="491" spans="1:17" x14ac:dyDescent="0.3">
      <c r="A491" s="811" t="s">
        <v>1724</v>
      </c>
      <c r="B491" s="811" t="s">
        <v>2339</v>
      </c>
      <c r="C491" s="812">
        <v>85500000</v>
      </c>
      <c r="D491" s="811" t="s">
        <v>1501</v>
      </c>
      <c r="E491" s="811" t="s">
        <v>1501</v>
      </c>
      <c r="F491" s="811" t="s">
        <v>1741</v>
      </c>
      <c r="G491" s="811" t="s">
        <v>1727</v>
      </c>
      <c r="H491" s="811" t="s">
        <v>1728</v>
      </c>
      <c r="I491" s="811" t="s">
        <v>1729</v>
      </c>
      <c r="J491" s="813">
        <v>85500000</v>
      </c>
      <c r="K491" s="811" t="s">
        <v>1730</v>
      </c>
      <c r="L491" s="811" t="s">
        <v>1189</v>
      </c>
      <c r="M491" s="811" t="s">
        <v>1710</v>
      </c>
      <c r="N491" s="811" t="s">
        <v>1710</v>
      </c>
      <c r="O491" s="811" t="s">
        <v>1756</v>
      </c>
      <c r="P491" s="811" t="s">
        <v>1732</v>
      </c>
      <c r="Q491" s="811" t="s">
        <v>1757</v>
      </c>
    </row>
    <row r="492" spans="1:17" x14ac:dyDescent="0.3">
      <c r="A492" s="811" t="s">
        <v>1724</v>
      </c>
      <c r="B492" s="811" t="s">
        <v>2340</v>
      </c>
      <c r="C492" s="812">
        <v>24300000</v>
      </c>
      <c r="D492" s="811" t="s">
        <v>1501</v>
      </c>
      <c r="E492" s="811" t="s">
        <v>1501</v>
      </c>
      <c r="F492" s="811" t="s">
        <v>1741</v>
      </c>
      <c r="G492" s="811" t="s">
        <v>1727</v>
      </c>
      <c r="H492" s="811" t="s">
        <v>1728</v>
      </c>
      <c r="I492" s="811" t="s">
        <v>1729</v>
      </c>
      <c r="J492" s="813">
        <v>24300000</v>
      </c>
      <c r="K492" s="811" t="s">
        <v>1730</v>
      </c>
      <c r="L492" s="811" t="s">
        <v>1189</v>
      </c>
      <c r="M492" s="811" t="s">
        <v>1710</v>
      </c>
      <c r="N492" s="811" t="s">
        <v>1710</v>
      </c>
      <c r="O492" s="811" t="s">
        <v>1756</v>
      </c>
      <c r="P492" s="811" t="s">
        <v>1732</v>
      </c>
      <c r="Q492" s="811" t="s">
        <v>1757</v>
      </c>
    </row>
    <row r="493" spans="1:17" x14ac:dyDescent="0.3">
      <c r="A493" s="811" t="s">
        <v>1724</v>
      </c>
      <c r="B493" s="811" t="s">
        <v>2341</v>
      </c>
      <c r="C493" s="812">
        <v>73800000</v>
      </c>
      <c r="D493" s="811" t="s">
        <v>1501</v>
      </c>
      <c r="E493" s="811" t="s">
        <v>1501</v>
      </c>
      <c r="F493" s="811" t="s">
        <v>1741</v>
      </c>
      <c r="G493" s="811" t="s">
        <v>1727</v>
      </c>
      <c r="H493" s="811" t="s">
        <v>1728</v>
      </c>
      <c r="I493" s="811" t="s">
        <v>1729</v>
      </c>
      <c r="J493" s="813">
        <v>73800000</v>
      </c>
      <c r="K493" s="811" t="s">
        <v>1730</v>
      </c>
      <c r="L493" s="811" t="s">
        <v>1189</v>
      </c>
      <c r="M493" s="811" t="s">
        <v>1710</v>
      </c>
      <c r="N493" s="811" t="s">
        <v>1710</v>
      </c>
      <c r="O493" s="811" t="s">
        <v>1756</v>
      </c>
      <c r="P493" s="811" t="s">
        <v>1732</v>
      </c>
      <c r="Q493" s="811" t="s">
        <v>1757</v>
      </c>
    </row>
    <row r="494" spans="1:17" x14ac:dyDescent="0.3">
      <c r="A494" s="811" t="s">
        <v>1724</v>
      </c>
      <c r="B494" s="811" t="s">
        <v>2342</v>
      </c>
      <c r="C494" s="812">
        <v>81000000</v>
      </c>
      <c r="D494" s="811" t="s">
        <v>1501</v>
      </c>
      <c r="E494" s="811" t="s">
        <v>1501</v>
      </c>
      <c r="F494" s="811" t="s">
        <v>1741</v>
      </c>
      <c r="G494" s="811" t="s">
        <v>1727</v>
      </c>
      <c r="H494" s="811" t="s">
        <v>1728</v>
      </c>
      <c r="I494" s="811" t="s">
        <v>1729</v>
      </c>
      <c r="J494" s="813">
        <v>81000000</v>
      </c>
      <c r="K494" s="811" t="s">
        <v>1730</v>
      </c>
      <c r="L494" s="811" t="s">
        <v>1189</v>
      </c>
      <c r="M494" s="811" t="s">
        <v>1710</v>
      </c>
      <c r="N494" s="811" t="s">
        <v>1710</v>
      </c>
      <c r="O494" s="811" t="s">
        <v>1756</v>
      </c>
      <c r="P494" s="811" t="s">
        <v>1732</v>
      </c>
      <c r="Q494" s="811" t="s">
        <v>1757</v>
      </c>
    </row>
    <row r="495" spans="1:17" x14ac:dyDescent="0.3">
      <c r="A495" s="811" t="s">
        <v>1724</v>
      </c>
      <c r="B495" s="811" t="s">
        <v>2343</v>
      </c>
      <c r="C495" s="812">
        <v>64800000</v>
      </c>
      <c r="D495" s="811" t="s">
        <v>1501</v>
      </c>
      <c r="E495" s="811" t="s">
        <v>1501</v>
      </c>
      <c r="F495" s="811" t="s">
        <v>1741</v>
      </c>
      <c r="G495" s="811" t="s">
        <v>1727</v>
      </c>
      <c r="H495" s="811" t="s">
        <v>1728</v>
      </c>
      <c r="I495" s="811" t="s">
        <v>1729</v>
      </c>
      <c r="J495" s="813">
        <v>64800000</v>
      </c>
      <c r="K495" s="811" t="s">
        <v>1730</v>
      </c>
      <c r="L495" s="811" t="s">
        <v>1189</v>
      </c>
      <c r="M495" s="811" t="s">
        <v>1710</v>
      </c>
      <c r="N495" s="811" t="s">
        <v>1710</v>
      </c>
      <c r="O495" s="811" t="s">
        <v>1756</v>
      </c>
      <c r="P495" s="811" t="s">
        <v>1732</v>
      </c>
      <c r="Q495" s="811" t="s">
        <v>1757</v>
      </c>
    </row>
    <row r="496" spans="1:17" x14ac:dyDescent="0.3">
      <c r="A496" s="811" t="s">
        <v>1724</v>
      </c>
      <c r="B496" s="811" t="s">
        <v>2344</v>
      </c>
      <c r="C496" s="812">
        <v>46350000</v>
      </c>
      <c r="D496" s="811" t="s">
        <v>1501</v>
      </c>
      <c r="E496" s="811" t="s">
        <v>1501</v>
      </c>
      <c r="F496" s="811" t="s">
        <v>1741</v>
      </c>
      <c r="G496" s="811" t="s">
        <v>1727</v>
      </c>
      <c r="H496" s="811" t="s">
        <v>1728</v>
      </c>
      <c r="I496" s="811" t="s">
        <v>1729</v>
      </c>
      <c r="J496" s="813">
        <v>46350000</v>
      </c>
      <c r="K496" s="811" t="s">
        <v>1730</v>
      </c>
      <c r="L496" s="811" t="s">
        <v>1189</v>
      </c>
      <c r="M496" s="811" t="s">
        <v>1710</v>
      </c>
      <c r="N496" s="811" t="s">
        <v>1710</v>
      </c>
      <c r="O496" s="811" t="s">
        <v>1756</v>
      </c>
      <c r="P496" s="811" t="s">
        <v>1732</v>
      </c>
      <c r="Q496" s="811" t="s">
        <v>1757</v>
      </c>
    </row>
    <row r="497" spans="1:17" x14ac:dyDescent="0.3">
      <c r="A497" s="811" t="s">
        <v>1724</v>
      </c>
      <c r="B497" s="811" t="s">
        <v>2345</v>
      </c>
      <c r="C497" s="812">
        <v>64800000</v>
      </c>
      <c r="D497" s="811" t="s">
        <v>1501</v>
      </c>
      <c r="E497" s="811" t="s">
        <v>1501</v>
      </c>
      <c r="F497" s="811" t="s">
        <v>1741</v>
      </c>
      <c r="G497" s="811" t="s">
        <v>1727</v>
      </c>
      <c r="H497" s="811" t="s">
        <v>1728</v>
      </c>
      <c r="I497" s="811" t="s">
        <v>1729</v>
      </c>
      <c r="J497" s="813">
        <v>64800000</v>
      </c>
      <c r="K497" s="811" t="s">
        <v>1730</v>
      </c>
      <c r="L497" s="811" t="s">
        <v>1189</v>
      </c>
      <c r="M497" s="811" t="s">
        <v>1710</v>
      </c>
      <c r="N497" s="811" t="s">
        <v>1710</v>
      </c>
      <c r="O497" s="811" t="s">
        <v>1756</v>
      </c>
      <c r="P497" s="811" t="s">
        <v>1732</v>
      </c>
      <c r="Q497" s="811" t="s">
        <v>1757</v>
      </c>
    </row>
    <row r="498" spans="1:17" x14ac:dyDescent="0.3">
      <c r="A498" s="811" t="s">
        <v>1724</v>
      </c>
      <c r="B498" s="811" t="s">
        <v>2346</v>
      </c>
      <c r="C498" s="812">
        <v>96000000</v>
      </c>
      <c r="D498" s="811" t="s">
        <v>1611</v>
      </c>
      <c r="E498" s="811" t="s">
        <v>1611</v>
      </c>
      <c r="F498" s="811" t="s">
        <v>1726</v>
      </c>
      <c r="G498" s="811" t="s">
        <v>1727</v>
      </c>
      <c r="H498" s="811" t="s">
        <v>1728</v>
      </c>
      <c r="I498" s="811" t="s">
        <v>1729</v>
      </c>
      <c r="J498" s="813">
        <v>96000000</v>
      </c>
      <c r="K498" s="811" t="s">
        <v>1730</v>
      </c>
      <c r="L498" s="811" t="s">
        <v>1189</v>
      </c>
      <c r="M498" s="811" t="s">
        <v>1710</v>
      </c>
      <c r="N498" s="811" t="s">
        <v>1710</v>
      </c>
      <c r="O498" s="811" t="s">
        <v>1756</v>
      </c>
      <c r="P498" s="811" t="s">
        <v>1732</v>
      </c>
      <c r="Q498" s="811" t="s">
        <v>1757</v>
      </c>
    </row>
    <row r="499" spans="1:17" x14ac:dyDescent="0.3">
      <c r="A499" s="811" t="s">
        <v>1724</v>
      </c>
      <c r="B499" s="811" t="s">
        <v>2347</v>
      </c>
      <c r="C499" s="812">
        <v>36000000</v>
      </c>
      <c r="D499" s="811" t="s">
        <v>1501</v>
      </c>
      <c r="E499" s="811" t="s">
        <v>1501</v>
      </c>
      <c r="F499" s="811" t="s">
        <v>1741</v>
      </c>
      <c r="G499" s="811" t="s">
        <v>1727</v>
      </c>
      <c r="H499" s="811" t="s">
        <v>1728</v>
      </c>
      <c r="I499" s="811" t="s">
        <v>1729</v>
      </c>
      <c r="J499" s="813">
        <v>36000000</v>
      </c>
      <c r="K499" s="811" t="s">
        <v>1730</v>
      </c>
      <c r="L499" s="811" t="s">
        <v>1189</v>
      </c>
      <c r="M499" s="811" t="s">
        <v>1710</v>
      </c>
      <c r="N499" s="811" t="s">
        <v>1710</v>
      </c>
      <c r="O499" s="811" t="s">
        <v>1756</v>
      </c>
      <c r="P499" s="811" t="s">
        <v>1732</v>
      </c>
      <c r="Q499" s="811" t="s">
        <v>1757</v>
      </c>
    </row>
    <row r="500" spans="1:17" x14ac:dyDescent="0.3">
      <c r="A500" s="811" t="s">
        <v>2348</v>
      </c>
      <c r="B500" s="811" t="s">
        <v>2349</v>
      </c>
      <c r="C500" s="812">
        <v>100000000</v>
      </c>
      <c r="D500" s="811" t="s">
        <v>1509</v>
      </c>
      <c r="E500" s="811" t="s">
        <v>1509</v>
      </c>
      <c r="F500" s="811" t="s">
        <v>1737</v>
      </c>
      <c r="G500" s="811" t="s">
        <v>1727</v>
      </c>
      <c r="H500" s="811" t="s">
        <v>1815</v>
      </c>
      <c r="I500" s="811" t="s">
        <v>1729</v>
      </c>
      <c r="J500" s="813">
        <v>100000000</v>
      </c>
      <c r="K500" s="811" t="s">
        <v>1730</v>
      </c>
      <c r="L500" s="811" t="s">
        <v>1189</v>
      </c>
      <c r="M500" s="811" t="s">
        <v>1710</v>
      </c>
      <c r="N500" s="811" t="s">
        <v>1710</v>
      </c>
      <c r="O500" s="811" t="s">
        <v>432</v>
      </c>
      <c r="P500" s="811" t="s">
        <v>1732</v>
      </c>
      <c r="Q500" s="811" t="s">
        <v>1739</v>
      </c>
    </row>
    <row r="501" spans="1:17" x14ac:dyDescent="0.3">
      <c r="A501" s="811" t="s">
        <v>2350</v>
      </c>
      <c r="B501" s="811" t="s">
        <v>2351</v>
      </c>
      <c r="C501" s="812">
        <v>59000000</v>
      </c>
      <c r="D501" s="811" t="s">
        <v>1510</v>
      </c>
      <c r="E501" s="811" t="s">
        <v>1510</v>
      </c>
      <c r="F501" s="811" t="s">
        <v>2074</v>
      </c>
      <c r="G501" s="811" t="s">
        <v>1727</v>
      </c>
      <c r="H501" s="811" t="s">
        <v>1650</v>
      </c>
      <c r="I501" s="811" t="s">
        <v>1729</v>
      </c>
      <c r="J501" s="813">
        <v>59000000</v>
      </c>
      <c r="K501" s="811" t="s">
        <v>1730</v>
      </c>
      <c r="L501" s="811" t="s">
        <v>1189</v>
      </c>
      <c r="M501" s="811" t="s">
        <v>1710</v>
      </c>
      <c r="N501" s="811" t="s">
        <v>1710</v>
      </c>
      <c r="O501" s="811" t="s">
        <v>432</v>
      </c>
      <c r="P501" s="811" t="s">
        <v>1732</v>
      </c>
      <c r="Q501" s="811" t="s">
        <v>1739</v>
      </c>
    </row>
    <row r="502" spans="1:17" x14ac:dyDescent="0.3">
      <c r="A502" s="811" t="s">
        <v>1724</v>
      </c>
      <c r="B502" s="811" t="s">
        <v>2352</v>
      </c>
      <c r="C502" s="812">
        <v>15000000</v>
      </c>
      <c r="D502" s="811" t="s">
        <v>1525</v>
      </c>
      <c r="E502" s="811" t="s">
        <v>1525</v>
      </c>
      <c r="F502" s="811" t="s">
        <v>1814</v>
      </c>
      <c r="G502" s="811" t="s">
        <v>1727</v>
      </c>
      <c r="H502" s="811" t="s">
        <v>1728</v>
      </c>
      <c r="I502" s="811" t="s">
        <v>1729</v>
      </c>
      <c r="J502" s="813">
        <v>15000000</v>
      </c>
      <c r="K502" s="811" t="s">
        <v>1730</v>
      </c>
      <c r="L502" s="811" t="s">
        <v>1189</v>
      </c>
      <c r="M502" s="811" t="s">
        <v>1710</v>
      </c>
      <c r="N502" s="811" t="s">
        <v>1710</v>
      </c>
      <c r="O502" s="811" t="s">
        <v>2353</v>
      </c>
      <c r="P502" s="811" t="s">
        <v>1732</v>
      </c>
      <c r="Q502" s="811" t="s">
        <v>2196</v>
      </c>
    </row>
    <row r="503" spans="1:17" x14ac:dyDescent="0.3">
      <c r="A503" s="811" t="s">
        <v>1724</v>
      </c>
      <c r="B503" s="811" t="s">
        <v>2354</v>
      </c>
      <c r="C503" s="812">
        <v>22500000</v>
      </c>
      <c r="D503" s="811" t="s">
        <v>1510</v>
      </c>
      <c r="E503" s="811" t="s">
        <v>1510</v>
      </c>
      <c r="F503" s="811" t="s">
        <v>1814</v>
      </c>
      <c r="G503" s="811" t="s">
        <v>1727</v>
      </c>
      <c r="H503" s="811" t="s">
        <v>1728</v>
      </c>
      <c r="I503" s="811" t="s">
        <v>1729</v>
      </c>
      <c r="J503" s="813">
        <v>22500000</v>
      </c>
      <c r="K503" s="811" t="s">
        <v>1730</v>
      </c>
      <c r="L503" s="811" t="s">
        <v>1189</v>
      </c>
      <c r="M503" s="811" t="s">
        <v>1710</v>
      </c>
      <c r="N503" s="811" t="s">
        <v>1710</v>
      </c>
      <c r="O503" s="811" t="s">
        <v>2353</v>
      </c>
      <c r="P503" s="811" t="s">
        <v>1732</v>
      </c>
      <c r="Q503" s="811" t="s">
        <v>2196</v>
      </c>
    </row>
    <row r="504" spans="1:17" x14ac:dyDescent="0.3">
      <c r="A504" s="811" t="s">
        <v>2355</v>
      </c>
      <c r="B504" s="811" t="s">
        <v>2356</v>
      </c>
      <c r="C504" s="812">
        <v>400000000</v>
      </c>
      <c r="D504" s="811" t="s">
        <v>1525</v>
      </c>
      <c r="E504" s="811" t="s">
        <v>1525</v>
      </c>
      <c r="F504" s="811" t="s">
        <v>2074</v>
      </c>
      <c r="G504" s="811" t="s">
        <v>1727</v>
      </c>
      <c r="H504" s="811" t="s">
        <v>1803</v>
      </c>
      <c r="I504" s="811" t="s">
        <v>1729</v>
      </c>
      <c r="J504" s="813">
        <v>400000000</v>
      </c>
      <c r="K504" s="811" t="s">
        <v>1730</v>
      </c>
      <c r="L504" s="811" t="s">
        <v>1189</v>
      </c>
      <c r="M504" s="811" t="s">
        <v>1710</v>
      </c>
      <c r="N504" s="811" t="s">
        <v>1710</v>
      </c>
      <c r="O504" s="811" t="s">
        <v>1731</v>
      </c>
      <c r="P504" s="811" t="s">
        <v>1732</v>
      </c>
      <c r="Q504" s="811" t="s">
        <v>1733</v>
      </c>
    </row>
    <row r="505" spans="1:17" x14ac:dyDescent="0.3">
      <c r="A505" s="811" t="s">
        <v>1724</v>
      </c>
      <c r="B505" s="811" t="s">
        <v>2357</v>
      </c>
      <c r="C505" s="812">
        <v>45100000</v>
      </c>
      <c r="D505" s="811" t="s">
        <v>1510</v>
      </c>
      <c r="E505" s="811" t="s">
        <v>1510</v>
      </c>
      <c r="F505" s="811" t="s">
        <v>1737</v>
      </c>
      <c r="G505" s="811" t="s">
        <v>1727</v>
      </c>
      <c r="H505" s="811" t="s">
        <v>1728</v>
      </c>
      <c r="I505" s="811" t="s">
        <v>1729</v>
      </c>
      <c r="J505" s="813">
        <v>45100000</v>
      </c>
      <c r="K505" s="811" t="s">
        <v>1730</v>
      </c>
      <c r="L505" s="811" t="s">
        <v>1189</v>
      </c>
      <c r="M505" s="811" t="s">
        <v>1710</v>
      </c>
      <c r="N505" s="811" t="s">
        <v>1710</v>
      </c>
      <c r="O505" s="811" t="s">
        <v>1742</v>
      </c>
      <c r="P505" s="811" t="s">
        <v>1732</v>
      </c>
      <c r="Q505" s="811" t="s">
        <v>1743</v>
      </c>
    </row>
    <row r="506" spans="1:17" x14ac:dyDescent="0.3">
      <c r="A506" s="811" t="s">
        <v>1724</v>
      </c>
      <c r="B506" s="811" t="s">
        <v>2358</v>
      </c>
      <c r="C506" s="812">
        <v>27500000</v>
      </c>
      <c r="D506" s="811" t="s">
        <v>1510</v>
      </c>
      <c r="E506" s="811" t="s">
        <v>1510</v>
      </c>
      <c r="F506" s="811" t="s">
        <v>1737</v>
      </c>
      <c r="G506" s="811" t="s">
        <v>1727</v>
      </c>
      <c r="H506" s="811" t="s">
        <v>1728</v>
      </c>
      <c r="I506" s="811" t="s">
        <v>1729</v>
      </c>
      <c r="J506" s="813">
        <v>27500000</v>
      </c>
      <c r="K506" s="811" t="s">
        <v>1730</v>
      </c>
      <c r="L506" s="811" t="s">
        <v>1189</v>
      </c>
      <c r="M506" s="811" t="s">
        <v>1710</v>
      </c>
      <c r="N506" s="811" t="s">
        <v>1710</v>
      </c>
      <c r="O506" s="811" t="s">
        <v>1742</v>
      </c>
      <c r="P506" s="811" t="s">
        <v>1732</v>
      </c>
      <c r="Q506" s="811" t="s">
        <v>1743</v>
      </c>
    </row>
    <row r="507" spans="1:17" x14ac:dyDescent="0.3">
      <c r="A507" s="811" t="s">
        <v>1724</v>
      </c>
      <c r="B507" s="811" t="s">
        <v>2359</v>
      </c>
      <c r="C507" s="812">
        <v>23162500</v>
      </c>
      <c r="D507" s="811" t="s">
        <v>1510</v>
      </c>
      <c r="E507" s="811" t="s">
        <v>1510</v>
      </c>
      <c r="F507" s="811" t="s">
        <v>1737</v>
      </c>
      <c r="G507" s="811" t="s">
        <v>1727</v>
      </c>
      <c r="H507" s="811" t="s">
        <v>1728</v>
      </c>
      <c r="I507" s="811" t="s">
        <v>1729</v>
      </c>
      <c r="J507" s="813">
        <v>23162500</v>
      </c>
      <c r="K507" s="811" t="s">
        <v>1730</v>
      </c>
      <c r="L507" s="811" t="s">
        <v>1189</v>
      </c>
      <c r="M507" s="811" t="s">
        <v>1710</v>
      </c>
      <c r="N507" s="811" t="s">
        <v>1710</v>
      </c>
      <c r="O507" s="811" t="s">
        <v>1742</v>
      </c>
      <c r="P507" s="811" t="s">
        <v>1732</v>
      </c>
      <c r="Q507" s="811" t="s">
        <v>1743</v>
      </c>
    </row>
    <row r="508" spans="1:17" x14ac:dyDescent="0.3">
      <c r="A508" s="811" t="s">
        <v>1724</v>
      </c>
      <c r="B508" s="811" t="s">
        <v>2360</v>
      </c>
      <c r="C508" s="812">
        <v>23162500</v>
      </c>
      <c r="D508" s="811" t="s">
        <v>1510</v>
      </c>
      <c r="E508" s="811" t="s">
        <v>1510</v>
      </c>
      <c r="F508" s="811" t="s">
        <v>1737</v>
      </c>
      <c r="G508" s="811" t="s">
        <v>1727</v>
      </c>
      <c r="H508" s="811" t="s">
        <v>1728</v>
      </c>
      <c r="I508" s="811" t="s">
        <v>1729</v>
      </c>
      <c r="J508" s="813">
        <v>23162500</v>
      </c>
      <c r="K508" s="811" t="s">
        <v>1730</v>
      </c>
      <c r="L508" s="811" t="s">
        <v>1189</v>
      </c>
      <c r="M508" s="811" t="s">
        <v>1710</v>
      </c>
      <c r="N508" s="811" t="s">
        <v>1710</v>
      </c>
      <c r="O508" s="811" t="s">
        <v>1742</v>
      </c>
      <c r="P508" s="811" t="s">
        <v>1732</v>
      </c>
      <c r="Q508" s="811" t="s">
        <v>1743</v>
      </c>
    </row>
    <row r="509" spans="1:17" x14ac:dyDescent="0.3">
      <c r="A509" s="811" t="s">
        <v>1724</v>
      </c>
      <c r="B509" s="811" t="s">
        <v>2361</v>
      </c>
      <c r="C509" s="812">
        <v>32500000</v>
      </c>
      <c r="D509" s="811" t="s">
        <v>1510</v>
      </c>
      <c r="E509" s="811" t="s">
        <v>1510</v>
      </c>
      <c r="F509" s="811" t="s">
        <v>1814</v>
      </c>
      <c r="G509" s="811" t="s">
        <v>1727</v>
      </c>
      <c r="H509" s="811" t="s">
        <v>1728</v>
      </c>
      <c r="I509" s="811" t="s">
        <v>1729</v>
      </c>
      <c r="J509" s="813">
        <v>32500000</v>
      </c>
      <c r="K509" s="811" t="s">
        <v>1730</v>
      </c>
      <c r="L509" s="811" t="s">
        <v>1189</v>
      </c>
      <c r="M509" s="811" t="s">
        <v>1710</v>
      </c>
      <c r="N509" s="811" t="s">
        <v>1710</v>
      </c>
      <c r="O509" s="811" t="s">
        <v>1742</v>
      </c>
      <c r="P509" s="811" t="s">
        <v>1732</v>
      </c>
      <c r="Q509" s="811" t="s">
        <v>1743</v>
      </c>
    </row>
    <row r="510" spans="1:17" x14ac:dyDescent="0.3">
      <c r="A510" s="811" t="s">
        <v>1724</v>
      </c>
      <c r="B510" s="811" t="s">
        <v>2362</v>
      </c>
      <c r="C510" s="812">
        <v>22440000</v>
      </c>
      <c r="D510" s="811" t="s">
        <v>1514</v>
      </c>
      <c r="E510" s="811" t="s">
        <v>1514</v>
      </c>
      <c r="F510" s="811" t="s">
        <v>1793</v>
      </c>
      <c r="G510" s="811" t="s">
        <v>1727</v>
      </c>
      <c r="H510" s="811" t="s">
        <v>1728</v>
      </c>
      <c r="I510" s="811" t="s">
        <v>1729</v>
      </c>
      <c r="J510" s="813">
        <v>22440000</v>
      </c>
      <c r="K510" s="811" t="s">
        <v>1730</v>
      </c>
      <c r="L510" s="811" t="s">
        <v>1189</v>
      </c>
      <c r="M510" s="811" t="s">
        <v>1710</v>
      </c>
      <c r="N510" s="811" t="s">
        <v>1710</v>
      </c>
      <c r="O510" s="811" t="s">
        <v>1742</v>
      </c>
      <c r="P510" s="811" t="s">
        <v>1732</v>
      </c>
      <c r="Q510" s="811" t="s">
        <v>1743</v>
      </c>
    </row>
    <row r="511" spans="1:17" x14ac:dyDescent="0.3">
      <c r="A511" s="811" t="s">
        <v>1724</v>
      </c>
      <c r="B511" s="811" t="s">
        <v>2363</v>
      </c>
      <c r="C511" s="812">
        <v>53460000</v>
      </c>
      <c r="D511" s="811" t="s">
        <v>1505</v>
      </c>
      <c r="E511" s="811" t="s">
        <v>1505</v>
      </c>
      <c r="F511" s="811" t="s">
        <v>1764</v>
      </c>
      <c r="G511" s="811" t="s">
        <v>1727</v>
      </c>
      <c r="H511" s="811" t="s">
        <v>1728</v>
      </c>
      <c r="I511" s="811" t="s">
        <v>1729</v>
      </c>
      <c r="J511" s="813">
        <v>53460000</v>
      </c>
      <c r="K511" s="811" t="s">
        <v>1730</v>
      </c>
      <c r="L511" s="811" t="s">
        <v>1189</v>
      </c>
      <c r="M511" s="811" t="s">
        <v>1710</v>
      </c>
      <c r="N511" s="811" t="s">
        <v>1710</v>
      </c>
      <c r="O511" s="811" t="s">
        <v>1844</v>
      </c>
      <c r="P511" s="811" t="s">
        <v>1732</v>
      </c>
      <c r="Q511" s="811" t="s">
        <v>1780</v>
      </c>
    </row>
    <row r="512" spans="1:17" x14ac:dyDescent="0.3">
      <c r="A512" s="811" t="s">
        <v>1724</v>
      </c>
      <c r="B512" s="811" t="s">
        <v>2364</v>
      </c>
      <c r="C512" s="812">
        <v>31000000</v>
      </c>
      <c r="D512" s="811" t="s">
        <v>1505</v>
      </c>
      <c r="E512" s="811" t="s">
        <v>1505</v>
      </c>
      <c r="F512" s="811" t="s">
        <v>1764</v>
      </c>
      <c r="G512" s="811" t="s">
        <v>1727</v>
      </c>
      <c r="H512" s="811" t="s">
        <v>1728</v>
      </c>
      <c r="I512" s="811" t="s">
        <v>1729</v>
      </c>
      <c r="J512" s="813">
        <v>31000000</v>
      </c>
      <c r="K512" s="811" t="s">
        <v>1730</v>
      </c>
      <c r="L512" s="811" t="s">
        <v>1189</v>
      </c>
      <c r="M512" s="811" t="s">
        <v>1710</v>
      </c>
      <c r="N512" s="811" t="s">
        <v>1710</v>
      </c>
      <c r="O512" s="811" t="s">
        <v>1844</v>
      </c>
      <c r="P512" s="811" t="s">
        <v>1732</v>
      </c>
      <c r="Q512" s="811" t="s">
        <v>1780</v>
      </c>
    </row>
    <row r="513" spans="1:17" x14ac:dyDescent="0.3">
      <c r="A513" s="811" t="s">
        <v>1724</v>
      </c>
      <c r="B513" s="811" t="s">
        <v>2365</v>
      </c>
      <c r="C513" s="812">
        <v>12000000</v>
      </c>
      <c r="D513" s="811" t="s">
        <v>1505</v>
      </c>
      <c r="E513" s="811" t="s">
        <v>1505</v>
      </c>
      <c r="F513" s="811" t="s">
        <v>1793</v>
      </c>
      <c r="G513" s="811" t="s">
        <v>1727</v>
      </c>
      <c r="H513" s="811" t="s">
        <v>1728</v>
      </c>
      <c r="I513" s="811" t="s">
        <v>1729</v>
      </c>
      <c r="J513" s="813">
        <v>12000000</v>
      </c>
      <c r="K513" s="811" t="s">
        <v>1730</v>
      </c>
      <c r="L513" s="811" t="s">
        <v>1189</v>
      </c>
      <c r="M513" s="811" t="s">
        <v>1710</v>
      </c>
      <c r="N513" s="811" t="s">
        <v>1710</v>
      </c>
      <c r="O513" s="811" t="s">
        <v>1844</v>
      </c>
      <c r="P513" s="811" t="s">
        <v>1732</v>
      </c>
      <c r="Q513" s="811" t="s">
        <v>1780</v>
      </c>
    </row>
    <row r="514" spans="1:17" x14ac:dyDescent="0.3">
      <c r="A514" s="811" t="s">
        <v>1724</v>
      </c>
      <c r="B514" s="811" t="s">
        <v>2366</v>
      </c>
      <c r="C514" s="812">
        <v>27000000</v>
      </c>
      <c r="D514" s="811" t="s">
        <v>1501</v>
      </c>
      <c r="E514" s="811" t="s">
        <v>1501</v>
      </c>
      <c r="F514" s="811" t="s">
        <v>1741</v>
      </c>
      <c r="G514" s="811" t="s">
        <v>1727</v>
      </c>
      <c r="H514" s="811" t="s">
        <v>1728</v>
      </c>
      <c r="I514" s="811" t="s">
        <v>1729</v>
      </c>
      <c r="J514" s="813">
        <v>27000000</v>
      </c>
      <c r="K514" s="811" t="s">
        <v>1730</v>
      </c>
      <c r="L514" s="811" t="s">
        <v>1189</v>
      </c>
      <c r="M514" s="811" t="s">
        <v>1710</v>
      </c>
      <c r="N514" s="811" t="s">
        <v>1710</v>
      </c>
      <c r="O514" s="811" t="s">
        <v>1844</v>
      </c>
      <c r="P514" s="811" t="s">
        <v>1732</v>
      </c>
      <c r="Q514" s="811" t="s">
        <v>1780</v>
      </c>
    </row>
    <row r="515" spans="1:17" x14ac:dyDescent="0.3">
      <c r="A515" s="811" t="s">
        <v>1724</v>
      </c>
      <c r="B515" s="811" t="s">
        <v>2367</v>
      </c>
      <c r="C515" s="812">
        <v>45500000</v>
      </c>
      <c r="D515" s="811" t="s">
        <v>1509</v>
      </c>
      <c r="E515" s="811" t="s">
        <v>1509</v>
      </c>
      <c r="F515" s="811" t="s">
        <v>1773</v>
      </c>
      <c r="G515" s="811" t="s">
        <v>1727</v>
      </c>
      <c r="H515" s="811" t="s">
        <v>1728</v>
      </c>
      <c r="I515" s="811" t="s">
        <v>1729</v>
      </c>
      <c r="J515" s="813">
        <v>45500000</v>
      </c>
      <c r="K515" s="811" t="s">
        <v>1730</v>
      </c>
      <c r="L515" s="811" t="s">
        <v>1189</v>
      </c>
      <c r="M515" s="811" t="s">
        <v>1710</v>
      </c>
      <c r="N515" s="811" t="s">
        <v>1710</v>
      </c>
      <c r="O515" s="811" t="s">
        <v>1844</v>
      </c>
      <c r="P515" s="811" t="s">
        <v>1732</v>
      </c>
      <c r="Q515" s="811" t="s">
        <v>1780</v>
      </c>
    </row>
    <row r="516" spans="1:17" x14ac:dyDescent="0.3">
      <c r="A516" s="811" t="s">
        <v>1724</v>
      </c>
      <c r="B516" s="811" t="s">
        <v>2368</v>
      </c>
      <c r="C516" s="812">
        <v>80000000</v>
      </c>
      <c r="D516" s="811" t="s">
        <v>1505</v>
      </c>
      <c r="E516" s="811" t="s">
        <v>1505</v>
      </c>
      <c r="F516" s="811" t="s">
        <v>1760</v>
      </c>
      <c r="G516" s="811" t="s">
        <v>1727</v>
      </c>
      <c r="H516" s="811" t="s">
        <v>1728</v>
      </c>
      <c r="I516" s="811" t="s">
        <v>1729</v>
      </c>
      <c r="J516" s="813">
        <v>80000000</v>
      </c>
      <c r="K516" s="811" t="s">
        <v>1730</v>
      </c>
      <c r="L516" s="811" t="s">
        <v>1189</v>
      </c>
      <c r="M516" s="811" t="s">
        <v>1710</v>
      </c>
      <c r="N516" s="811" t="s">
        <v>1710</v>
      </c>
      <c r="O516" s="811" t="s">
        <v>2194</v>
      </c>
      <c r="P516" s="811" t="s">
        <v>2195</v>
      </c>
      <c r="Q516" s="811" t="s">
        <v>2196</v>
      </c>
    </row>
    <row r="517" spans="1:17" x14ac:dyDescent="0.3">
      <c r="A517" s="811" t="s">
        <v>1724</v>
      </c>
      <c r="B517" s="811" t="s">
        <v>2369</v>
      </c>
      <c r="C517" s="812">
        <v>80000000</v>
      </c>
      <c r="D517" s="811" t="s">
        <v>1505</v>
      </c>
      <c r="E517" s="811" t="s">
        <v>1505</v>
      </c>
      <c r="F517" s="811" t="s">
        <v>1760</v>
      </c>
      <c r="G517" s="811" t="s">
        <v>1727</v>
      </c>
      <c r="H517" s="811" t="s">
        <v>1728</v>
      </c>
      <c r="I517" s="811" t="s">
        <v>1729</v>
      </c>
      <c r="J517" s="813">
        <v>80000000</v>
      </c>
      <c r="K517" s="811" t="s">
        <v>1730</v>
      </c>
      <c r="L517" s="811" t="s">
        <v>1189</v>
      </c>
      <c r="M517" s="811" t="s">
        <v>1710</v>
      </c>
      <c r="N517" s="811" t="s">
        <v>1710</v>
      </c>
      <c r="O517" s="811" t="s">
        <v>2194</v>
      </c>
      <c r="P517" s="811" t="s">
        <v>2195</v>
      </c>
      <c r="Q517" s="811" t="s">
        <v>2196</v>
      </c>
    </row>
    <row r="518" spans="1:17" x14ac:dyDescent="0.3">
      <c r="A518" s="811" t="s">
        <v>1724</v>
      </c>
      <c r="B518" s="811" t="s">
        <v>2370</v>
      </c>
      <c r="C518" s="812">
        <v>65000000</v>
      </c>
      <c r="D518" s="811" t="s">
        <v>1505</v>
      </c>
      <c r="E518" s="811" t="s">
        <v>1505</v>
      </c>
      <c r="F518" s="811" t="s">
        <v>1760</v>
      </c>
      <c r="G518" s="811" t="s">
        <v>1727</v>
      </c>
      <c r="H518" s="811" t="s">
        <v>1728</v>
      </c>
      <c r="I518" s="811" t="s">
        <v>1729</v>
      </c>
      <c r="J518" s="813">
        <v>65000000</v>
      </c>
      <c r="K518" s="811" t="s">
        <v>1730</v>
      </c>
      <c r="L518" s="811" t="s">
        <v>1189</v>
      </c>
      <c r="M518" s="811" t="s">
        <v>1710</v>
      </c>
      <c r="N518" s="811" t="s">
        <v>1710</v>
      </c>
      <c r="O518" s="811" t="s">
        <v>2194</v>
      </c>
      <c r="P518" s="811" t="s">
        <v>2195</v>
      </c>
      <c r="Q518" s="811" t="s">
        <v>2196</v>
      </c>
    </row>
    <row r="519" spans="1:17" x14ac:dyDescent="0.3">
      <c r="A519" s="811" t="s">
        <v>1724</v>
      </c>
      <c r="B519" s="811" t="s">
        <v>2371</v>
      </c>
      <c r="C519" s="812">
        <v>30000000</v>
      </c>
      <c r="D519" s="811" t="s">
        <v>1505</v>
      </c>
      <c r="E519" s="811" t="s">
        <v>1505</v>
      </c>
      <c r="F519" s="811" t="s">
        <v>1760</v>
      </c>
      <c r="G519" s="811" t="s">
        <v>1727</v>
      </c>
      <c r="H519" s="811" t="s">
        <v>1728</v>
      </c>
      <c r="I519" s="811" t="s">
        <v>1729</v>
      </c>
      <c r="J519" s="813">
        <v>30000000</v>
      </c>
      <c r="K519" s="811" t="s">
        <v>1730</v>
      </c>
      <c r="L519" s="811" t="s">
        <v>1189</v>
      </c>
      <c r="M519" s="811" t="s">
        <v>1710</v>
      </c>
      <c r="N519" s="811" t="s">
        <v>1710</v>
      </c>
      <c r="O519" s="811" t="s">
        <v>2194</v>
      </c>
      <c r="P519" s="811" t="s">
        <v>2195</v>
      </c>
      <c r="Q519" s="811" t="s">
        <v>2196</v>
      </c>
    </row>
    <row r="520" spans="1:17" x14ac:dyDescent="0.3">
      <c r="A520" s="811" t="s">
        <v>1724</v>
      </c>
      <c r="B520" s="811" t="s">
        <v>2372</v>
      </c>
      <c r="C520" s="812">
        <v>41337934</v>
      </c>
      <c r="D520" s="811" t="s">
        <v>1495</v>
      </c>
      <c r="E520" s="811" t="s">
        <v>1495</v>
      </c>
      <c r="F520" s="811" t="s">
        <v>1773</v>
      </c>
      <c r="G520" s="811" t="s">
        <v>1727</v>
      </c>
      <c r="H520" s="811" t="s">
        <v>1728</v>
      </c>
      <c r="I520" s="811" t="s">
        <v>1729</v>
      </c>
      <c r="J520" s="813">
        <v>41337934</v>
      </c>
      <c r="K520" s="811" t="s">
        <v>1730</v>
      </c>
      <c r="L520" s="811" t="s">
        <v>1189</v>
      </c>
      <c r="M520" s="811" t="s">
        <v>1710</v>
      </c>
      <c r="N520" s="811" t="s">
        <v>1710</v>
      </c>
      <c r="O520" s="811" t="s">
        <v>2209</v>
      </c>
      <c r="P520" s="811" t="s">
        <v>1732</v>
      </c>
      <c r="Q520" s="811" t="s">
        <v>1799</v>
      </c>
    </row>
    <row r="521" spans="1:17" x14ac:dyDescent="0.3">
      <c r="A521" s="811" t="s">
        <v>1724</v>
      </c>
      <c r="B521" s="811" t="s">
        <v>2373</v>
      </c>
      <c r="C521" s="812">
        <v>34978255</v>
      </c>
      <c r="D521" s="811" t="s">
        <v>1495</v>
      </c>
      <c r="E521" s="811" t="s">
        <v>1495</v>
      </c>
      <c r="F521" s="811" t="s">
        <v>1773</v>
      </c>
      <c r="G521" s="811" t="s">
        <v>1727</v>
      </c>
      <c r="H521" s="811" t="s">
        <v>1728</v>
      </c>
      <c r="I521" s="811" t="s">
        <v>1729</v>
      </c>
      <c r="J521" s="813">
        <v>34978255</v>
      </c>
      <c r="K521" s="811" t="s">
        <v>1730</v>
      </c>
      <c r="L521" s="811" t="s">
        <v>1189</v>
      </c>
      <c r="M521" s="811" t="s">
        <v>1710</v>
      </c>
      <c r="N521" s="811" t="s">
        <v>1710</v>
      </c>
      <c r="O521" s="811" t="s">
        <v>2209</v>
      </c>
      <c r="P521" s="811" t="s">
        <v>1732</v>
      </c>
      <c r="Q521" s="811" t="s">
        <v>1799</v>
      </c>
    </row>
    <row r="522" spans="1:17" x14ac:dyDescent="0.3">
      <c r="A522" s="811" t="s">
        <v>1724</v>
      </c>
      <c r="B522" s="811" t="s">
        <v>2374</v>
      </c>
      <c r="C522" s="812">
        <v>81767340</v>
      </c>
      <c r="D522" s="811" t="s">
        <v>1501</v>
      </c>
      <c r="E522" s="811" t="s">
        <v>1501</v>
      </c>
      <c r="F522" s="811" t="s">
        <v>1760</v>
      </c>
      <c r="G522" s="811" t="s">
        <v>1727</v>
      </c>
      <c r="H522" s="811" t="s">
        <v>1728</v>
      </c>
      <c r="I522" s="811" t="s">
        <v>1729</v>
      </c>
      <c r="J522" s="813">
        <v>81767340</v>
      </c>
      <c r="K522" s="811" t="s">
        <v>1730</v>
      </c>
      <c r="L522" s="811" t="s">
        <v>1189</v>
      </c>
      <c r="M522" s="811" t="s">
        <v>1710</v>
      </c>
      <c r="N522" s="811" t="s">
        <v>1710</v>
      </c>
      <c r="O522" s="811" t="s">
        <v>1920</v>
      </c>
      <c r="P522" s="811" t="s">
        <v>1732</v>
      </c>
      <c r="Q522" s="811" t="s">
        <v>1785</v>
      </c>
    </row>
    <row r="523" spans="1:17" x14ac:dyDescent="0.3">
      <c r="A523" s="811" t="s">
        <v>1724</v>
      </c>
      <c r="B523" s="811" t="s">
        <v>2375</v>
      </c>
      <c r="C523" s="812">
        <v>65413872</v>
      </c>
      <c r="D523" s="811" t="s">
        <v>1611</v>
      </c>
      <c r="E523" s="811" t="s">
        <v>1611</v>
      </c>
      <c r="F523" s="811" t="s">
        <v>1741</v>
      </c>
      <c r="G523" s="811" t="s">
        <v>1727</v>
      </c>
      <c r="H523" s="811" t="s">
        <v>1728</v>
      </c>
      <c r="I523" s="811" t="s">
        <v>1729</v>
      </c>
      <c r="J523" s="813">
        <v>65413872</v>
      </c>
      <c r="K523" s="811" t="s">
        <v>1730</v>
      </c>
      <c r="L523" s="811" t="s">
        <v>1189</v>
      </c>
      <c r="M523" s="811" t="s">
        <v>1710</v>
      </c>
      <c r="N523" s="811" t="s">
        <v>1710</v>
      </c>
      <c r="O523" s="811" t="s">
        <v>1920</v>
      </c>
      <c r="P523" s="811" t="s">
        <v>1732</v>
      </c>
      <c r="Q523" s="811" t="s">
        <v>1785</v>
      </c>
    </row>
    <row r="524" spans="1:17" x14ac:dyDescent="0.3">
      <c r="A524" s="811" t="s">
        <v>1724</v>
      </c>
      <c r="B524" s="811" t="s">
        <v>2376</v>
      </c>
      <c r="C524" s="812">
        <v>65413872</v>
      </c>
      <c r="D524" s="811" t="s">
        <v>1611</v>
      </c>
      <c r="E524" s="811" t="s">
        <v>1611</v>
      </c>
      <c r="F524" s="811" t="s">
        <v>1741</v>
      </c>
      <c r="G524" s="811" t="s">
        <v>1727</v>
      </c>
      <c r="H524" s="811" t="s">
        <v>1728</v>
      </c>
      <c r="I524" s="811" t="s">
        <v>1729</v>
      </c>
      <c r="J524" s="813">
        <v>65413872</v>
      </c>
      <c r="K524" s="811" t="s">
        <v>1730</v>
      </c>
      <c r="L524" s="811" t="s">
        <v>1189</v>
      </c>
      <c r="M524" s="811" t="s">
        <v>1710</v>
      </c>
      <c r="N524" s="811" t="s">
        <v>1710</v>
      </c>
      <c r="O524" s="811" t="s">
        <v>1920</v>
      </c>
      <c r="P524" s="811" t="s">
        <v>1732</v>
      </c>
      <c r="Q524" s="811" t="s">
        <v>1785</v>
      </c>
    </row>
    <row r="525" spans="1:17" x14ac:dyDescent="0.3">
      <c r="A525" s="811" t="s">
        <v>1724</v>
      </c>
      <c r="B525" s="811" t="s">
        <v>2377</v>
      </c>
      <c r="C525" s="812">
        <v>36784368</v>
      </c>
      <c r="D525" s="811" t="s">
        <v>1611</v>
      </c>
      <c r="E525" s="811" t="s">
        <v>1611</v>
      </c>
      <c r="F525" s="811" t="s">
        <v>1741</v>
      </c>
      <c r="G525" s="811" t="s">
        <v>1727</v>
      </c>
      <c r="H525" s="811" t="s">
        <v>1728</v>
      </c>
      <c r="I525" s="811" t="s">
        <v>1729</v>
      </c>
      <c r="J525" s="813">
        <v>36784368</v>
      </c>
      <c r="K525" s="811" t="s">
        <v>1730</v>
      </c>
      <c r="L525" s="811" t="s">
        <v>1189</v>
      </c>
      <c r="M525" s="811" t="s">
        <v>1710</v>
      </c>
      <c r="N525" s="811" t="s">
        <v>1710</v>
      </c>
      <c r="O525" s="811" t="s">
        <v>1920</v>
      </c>
      <c r="P525" s="811" t="s">
        <v>1732</v>
      </c>
      <c r="Q525" s="811" t="s">
        <v>1785</v>
      </c>
    </row>
    <row r="526" spans="1:17" x14ac:dyDescent="0.3">
      <c r="A526" s="811" t="s">
        <v>1724</v>
      </c>
      <c r="B526" s="811" t="s">
        <v>2378</v>
      </c>
      <c r="C526" s="812">
        <v>65394432</v>
      </c>
      <c r="D526" s="811" t="s">
        <v>1611</v>
      </c>
      <c r="E526" s="811" t="s">
        <v>1611</v>
      </c>
      <c r="F526" s="811" t="s">
        <v>1741</v>
      </c>
      <c r="G526" s="811" t="s">
        <v>1727</v>
      </c>
      <c r="H526" s="811" t="s">
        <v>1728</v>
      </c>
      <c r="I526" s="811" t="s">
        <v>1729</v>
      </c>
      <c r="J526" s="813">
        <v>65394432</v>
      </c>
      <c r="K526" s="811" t="s">
        <v>1730</v>
      </c>
      <c r="L526" s="811" t="s">
        <v>1189</v>
      </c>
      <c r="M526" s="811" t="s">
        <v>1710</v>
      </c>
      <c r="N526" s="811" t="s">
        <v>1710</v>
      </c>
      <c r="O526" s="811" t="s">
        <v>1920</v>
      </c>
      <c r="P526" s="811" t="s">
        <v>1732</v>
      </c>
      <c r="Q526" s="811" t="s">
        <v>1785</v>
      </c>
    </row>
    <row r="527" spans="1:17" x14ac:dyDescent="0.3">
      <c r="A527" s="811" t="s">
        <v>1724</v>
      </c>
      <c r="B527" s="811" t="s">
        <v>2379</v>
      </c>
      <c r="C527" s="812">
        <v>65413872</v>
      </c>
      <c r="D527" s="811" t="s">
        <v>1611</v>
      </c>
      <c r="E527" s="811" t="s">
        <v>1611</v>
      </c>
      <c r="F527" s="811" t="s">
        <v>1741</v>
      </c>
      <c r="G527" s="811" t="s">
        <v>1727</v>
      </c>
      <c r="H527" s="811" t="s">
        <v>1728</v>
      </c>
      <c r="I527" s="811" t="s">
        <v>1729</v>
      </c>
      <c r="J527" s="813">
        <v>65413872</v>
      </c>
      <c r="K527" s="811" t="s">
        <v>1730</v>
      </c>
      <c r="L527" s="811" t="s">
        <v>1189</v>
      </c>
      <c r="M527" s="811" t="s">
        <v>1710</v>
      </c>
      <c r="N527" s="811" t="s">
        <v>1710</v>
      </c>
      <c r="O527" s="811" t="s">
        <v>1920</v>
      </c>
      <c r="P527" s="811" t="s">
        <v>1732</v>
      </c>
      <c r="Q527" s="811" t="s">
        <v>1785</v>
      </c>
    </row>
    <row r="528" spans="1:17" x14ac:dyDescent="0.3">
      <c r="A528" s="811" t="s">
        <v>1724</v>
      </c>
      <c r="B528" s="811" t="s">
        <v>2380</v>
      </c>
      <c r="C528" s="812">
        <v>32706936</v>
      </c>
      <c r="D528" s="811" t="s">
        <v>1611</v>
      </c>
      <c r="E528" s="811" t="s">
        <v>1611</v>
      </c>
      <c r="F528" s="811" t="s">
        <v>1741</v>
      </c>
      <c r="G528" s="811" t="s">
        <v>1727</v>
      </c>
      <c r="H528" s="811" t="s">
        <v>1728</v>
      </c>
      <c r="I528" s="811" t="s">
        <v>1729</v>
      </c>
      <c r="J528" s="813">
        <v>32706936</v>
      </c>
      <c r="K528" s="811" t="s">
        <v>1730</v>
      </c>
      <c r="L528" s="811" t="s">
        <v>1189</v>
      </c>
      <c r="M528" s="811" t="s">
        <v>1710</v>
      </c>
      <c r="N528" s="811" t="s">
        <v>1710</v>
      </c>
      <c r="O528" s="811" t="s">
        <v>1920</v>
      </c>
      <c r="P528" s="811" t="s">
        <v>1732</v>
      </c>
      <c r="Q528" s="811" t="s">
        <v>1785</v>
      </c>
    </row>
    <row r="529" spans="1:17" x14ac:dyDescent="0.3">
      <c r="A529" s="811" t="s">
        <v>1724</v>
      </c>
      <c r="B529" s="811" t="s">
        <v>2381</v>
      </c>
      <c r="C529" s="812">
        <v>65413872</v>
      </c>
      <c r="D529" s="811" t="s">
        <v>1611</v>
      </c>
      <c r="E529" s="811" t="s">
        <v>1611</v>
      </c>
      <c r="F529" s="811" t="s">
        <v>1741</v>
      </c>
      <c r="G529" s="811" t="s">
        <v>1727</v>
      </c>
      <c r="H529" s="811" t="s">
        <v>1728</v>
      </c>
      <c r="I529" s="811" t="s">
        <v>1729</v>
      </c>
      <c r="J529" s="813">
        <v>65413872</v>
      </c>
      <c r="K529" s="811" t="s">
        <v>1730</v>
      </c>
      <c r="L529" s="811" t="s">
        <v>1189</v>
      </c>
      <c r="M529" s="811" t="s">
        <v>1710</v>
      </c>
      <c r="N529" s="811" t="s">
        <v>1710</v>
      </c>
      <c r="O529" s="811" t="s">
        <v>1920</v>
      </c>
      <c r="P529" s="811" t="s">
        <v>1732</v>
      </c>
      <c r="Q529" s="811" t="s">
        <v>1785</v>
      </c>
    </row>
    <row r="530" spans="1:17" x14ac:dyDescent="0.3">
      <c r="A530" s="811" t="s">
        <v>1724</v>
      </c>
      <c r="B530" s="811" t="s">
        <v>2382</v>
      </c>
      <c r="C530" s="812">
        <v>32706936</v>
      </c>
      <c r="D530" s="811" t="s">
        <v>1611</v>
      </c>
      <c r="E530" s="811" t="s">
        <v>1611</v>
      </c>
      <c r="F530" s="811" t="s">
        <v>1737</v>
      </c>
      <c r="G530" s="811" t="s">
        <v>1727</v>
      </c>
      <c r="H530" s="811" t="s">
        <v>1728</v>
      </c>
      <c r="I530" s="811" t="s">
        <v>1729</v>
      </c>
      <c r="J530" s="813">
        <v>32706936</v>
      </c>
      <c r="K530" s="811" t="s">
        <v>1730</v>
      </c>
      <c r="L530" s="811" t="s">
        <v>1189</v>
      </c>
      <c r="M530" s="811" t="s">
        <v>1710</v>
      </c>
      <c r="N530" s="811" t="s">
        <v>1710</v>
      </c>
      <c r="O530" s="811" t="s">
        <v>1920</v>
      </c>
      <c r="P530" s="811" t="s">
        <v>1732</v>
      </c>
      <c r="Q530" s="811" t="s">
        <v>1785</v>
      </c>
    </row>
    <row r="531" spans="1:17" x14ac:dyDescent="0.3">
      <c r="A531" s="811" t="s">
        <v>2383</v>
      </c>
      <c r="B531" s="811" t="s">
        <v>2384</v>
      </c>
      <c r="C531" s="812">
        <v>60000000</v>
      </c>
      <c r="D531" s="811" t="s">
        <v>1502</v>
      </c>
      <c r="E531" s="811" t="s">
        <v>1502</v>
      </c>
      <c r="F531" s="811" t="s">
        <v>1737</v>
      </c>
      <c r="G531" s="811" t="s">
        <v>1727</v>
      </c>
      <c r="H531" s="811" t="s">
        <v>1650</v>
      </c>
      <c r="I531" s="811" t="s">
        <v>1729</v>
      </c>
      <c r="J531" s="813">
        <v>60000000</v>
      </c>
      <c r="K531" s="811" t="s">
        <v>1730</v>
      </c>
      <c r="L531" s="811" t="s">
        <v>1189</v>
      </c>
      <c r="M531" s="811" t="s">
        <v>1710</v>
      </c>
      <c r="N531" s="811" t="s">
        <v>1710</v>
      </c>
      <c r="O531" s="811" t="s">
        <v>1868</v>
      </c>
      <c r="P531" s="811" t="s">
        <v>1732</v>
      </c>
      <c r="Q531" s="811" t="s">
        <v>1785</v>
      </c>
    </row>
    <row r="532" spans="1:17" x14ac:dyDescent="0.3">
      <c r="A532" s="811" t="s">
        <v>1724</v>
      </c>
      <c r="B532" s="811" t="s">
        <v>2385</v>
      </c>
      <c r="C532" s="812">
        <v>35000000</v>
      </c>
      <c r="D532" s="811" t="s">
        <v>1509</v>
      </c>
      <c r="E532" s="811" t="s">
        <v>1509</v>
      </c>
      <c r="F532" s="811" t="s">
        <v>1773</v>
      </c>
      <c r="G532" s="811" t="s">
        <v>1727</v>
      </c>
      <c r="H532" s="811" t="s">
        <v>1728</v>
      </c>
      <c r="I532" s="811" t="s">
        <v>1729</v>
      </c>
      <c r="J532" s="813">
        <v>35000000</v>
      </c>
      <c r="K532" s="811" t="s">
        <v>1730</v>
      </c>
      <c r="L532" s="811" t="s">
        <v>1189</v>
      </c>
      <c r="M532" s="811" t="s">
        <v>1710</v>
      </c>
      <c r="N532" s="811" t="s">
        <v>1710</v>
      </c>
      <c r="O532" s="811" t="s">
        <v>2386</v>
      </c>
      <c r="P532" s="811" t="s">
        <v>1732</v>
      </c>
      <c r="Q532" s="811" t="s">
        <v>1757</v>
      </c>
    </row>
    <row r="533" spans="1:17" x14ac:dyDescent="0.3">
      <c r="A533" s="811" t="s">
        <v>1724</v>
      </c>
      <c r="B533" s="811" t="s">
        <v>2387</v>
      </c>
      <c r="C533" s="812">
        <v>32706936</v>
      </c>
      <c r="D533" s="811" t="s">
        <v>1505</v>
      </c>
      <c r="E533" s="811" t="s">
        <v>1505</v>
      </c>
      <c r="F533" s="811" t="s">
        <v>1726</v>
      </c>
      <c r="G533" s="811" t="s">
        <v>1727</v>
      </c>
      <c r="H533" s="811" t="s">
        <v>1728</v>
      </c>
      <c r="I533" s="811" t="s">
        <v>1729</v>
      </c>
      <c r="J533" s="813">
        <v>32706936</v>
      </c>
      <c r="K533" s="811" t="s">
        <v>1730</v>
      </c>
      <c r="L533" s="811" t="s">
        <v>1189</v>
      </c>
      <c r="M533" s="811" t="s">
        <v>1710</v>
      </c>
      <c r="N533" s="811" t="s">
        <v>1710</v>
      </c>
      <c r="O533" s="811" t="s">
        <v>1804</v>
      </c>
      <c r="P533" s="811" t="s">
        <v>1732</v>
      </c>
      <c r="Q533" s="811" t="s">
        <v>1739</v>
      </c>
    </row>
    <row r="534" spans="1:17" x14ac:dyDescent="0.3">
      <c r="A534" s="811" t="s">
        <v>1724</v>
      </c>
      <c r="B534" s="811" t="s">
        <v>2388</v>
      </c>
      <c r="C534" s="812">
        <v>56000000</v>
      </c>
      <c r="D534" s="811" t="s">
        <v>1505</v>
      </c>
      <c r="E534" s="811" t="s">
        <v>1505</v>
      </c>
      <c r="F534" s="811" t="s">
        <v>1726</v>
      </c>
      <c r="G534" s="811" t="s">
        <v>1727</v>
      </c>
      <c r="H534" s="811" t="s">
        <v>1728</v>
      </c>
      <c r="I534" s="811" t="s">
        <v>1729</v>
      </c>
      <c r="J534" s="813">
        <v>56000000</v>
      </c>
      <c r="K534" s="811" t="s">
        <v>1730</v>
      </c>
      <c r="L534" s="811" t="s">
        <v>1189</v>
      </c>
      <c r="M534" s="811" t="s">
        <v>1710</v>
      </c>
      <c r="N534" s="811" t="s">
        <v>1710</v>
      </c>
      <c r="O534" s="811" t="s">
        <v>1804</v>
      </c>
      <c r="P534" s="811" t="s">
        <v>1732</v>
      </c>
      <c r="Q534" s="811" t="s">
        <v>1739</v>
      </c>
    </row>
    <row r="535" spans="1:17" x14ac:dyDescent="0.3">
      <c r="A535" s="811" t="s">
        <v>1724</v>
      </c>
      <c r="B535" s="811" t="s">
        <v>2389</v>
      </c>
      <c r="C535" s="812">
        <v>12000000</v>
      </c>
      <c r="D535" s="811" t="s">
        <v>1505</v>
      </c>
      <c r="E535" s="811" t="s">
        <v>1505</v>
      </c>
      <c r="F535" s="811" t="s">
        <v>1793</v>
      </c>
      <c r="G535" s="811" t="s">
        <v>1727</v>
      </c>
      <c r="H535" s="811" t="s">
        <v>1728</v>
      </c>
      <c r="I535" s="811" t="s">
        <v>1729</v>
      </c>
      <c r="J535" s="813">
        <v>12000000</v>
      </c>
      <c r="K535" s="811" t="s">
        <v>1730</v>
      </c>
      <c r="L535" s="811" t="s">
        <v>1189</v>
      </c>
      <c r="M535" s="811" t="s">
        <v>1710</v>
      </c>
      <c r="N535" s="811" t="s">
        <v>1710</v>
      </c>
      <c r="O535" s="811" t="s">
        <v>1804</v>
      </c>
      <c r="P535" s="811" t="s">
        <v>1732</v>
      </c>
      <c r="Q535" s="811" t="s">
        <v>1739</v>
      </c>
    </row>
    <row r="536" spans="1:17" x14ac:dyDescent="0.3">
      <c r="A536" s="811" t="s">
        <v>1724</v>
      </c>
      <c r="B536" s="811" t="s">
        <v>2390</v>
      </c>
      <c r="C536" s="812">
        <v>56000000</v>
      </c>
      <c r="D536" s="811" t="s">
        <v>1505</v>
      </c>
      <c r="E536" s="811" t="s">
        <v>1505</v>
      </c>
      <c r="F536" s="811" t="s">
        <v>1726</v>
      </c>
      <c r="G536" s="811" t="s">
        <v>1727</v>
      </c>
      <c r="H536" s="811" t="s">
        <v>1728</v>
      </c>
      <c r="I536" s="811" t="s">
        <v>1729</v>
      </c>
      <c r="J536" s="813">
        <v>56000000</v>
      </c>
      <c r="K536" s="811" t="s">
        <v>1730</v>
      </c>
      <c r="L536" s="811" t="s">
        <v>1189</v>
      </c>
      <c r="M536" s="811" t="s">
        <v>1710</v>
      </c>
      <c r="N536" s="811" t="s">
        <v>1710</v>
      </c>
      <c r="O536" s="811" t="s">
        <v>1804</v>
      </c>
      <c r="P536" s="811" t="s">
        <v>1732</v>
      </c>
      <c r="Q536" s="811" t="s">
        <v>1739</v>
      </c>
    </row>
    <row r="537" spans="1:17" x14ac:dyDescent="0.3">
      <c r="A537" s="811" t="s">
        <v>1724</v>
      </c>
      <c r="B537" s="811" t="s">
        <v>2391</v>
      </c>
      <c r="C537" s="812">
        <v>13926000</v>
      </c>
      <c r="D537" s="811" t="s">
        <v>1505</v>
      </c>
      <c r="E537" s="811" t="s">
        <v>1505</v>
      </c>
      <c r="F537" s="811" t="s">
        <v>1737</v>
      </c>
      <c r="G537" s="811" t="s">
        <v>1727</v>
      </c>
      <c r="H537" s="811" t="s">
        <v>1728</v>
      </c>
      <c r="I537" s="811" t="s">
        <v>1729</v>
      </c>
      <c r="J537" s="813">
        <v>13926000</v>
      </c>
      <c r="K537" s="811" t="s">
        <v>1730</v>
      </c>
      <c r="L537" s="811" t="s">
        <v>1189</v>
      </c>
      <c r="M537" s="811" t="s">
        <v>1710</v>
      </c>
      <c r="N537" s="811" t="s">
        <v>1710</v>
      </c>
      <c r="O537" s="811" t="s">
        <v>1804</v>
      </c>
      <c r="P537" s="811" t="s">
        <v>1732</v>
      </c>
      <c r="Q537" s="811" t="s">
        <v>1739</v>
      </c>
    </row>
    <row r="538" spans="1:17" x14ac:dyDescent="0.3">
      <c r="A538" s="811" t="s">
        <v>1724</v>
      </c>
      <c r="B538" s="811" t="s">
        <v>2392</v>
      </c>
      <c r="C538" s="812">
        <v>42000000</v>
      </c>
      <c r="D538" s="811" t="s">
        <v>1505</v>
      </c>
      <c r="E538" s="811" t="s">
        <v>1505</v>
      </c>
      <c r="F538" s="811" t="s">
        <v>1737</v>
      </c>
      <c r="G538" s="811" t="s">
        <v>1727</v>
      </c>
      <c r="H538" s="811" t="s">
        <v>1728</v>
      </c>
      <c r="I538" s="811" t="s">
        <v>1729</v>
      </c>
      <c r="J538" s="813">
        <v>42000000</v>
      </c>
      <c r="K538" s="811" t="s">
        <v>1730</v>
      </c>
      <c r="L538" s="811" t="s">
        <v>1189</v>
      </c>
      <c r="M538" s="811" t="s">
        <v>1710</v>
      </c>
      <c r="N538" s="811" t="s">
        <v>1710</v>
      </c>
      <c r="O538" s="811" t="s">
        <v>1804</v>
      </c>
      <c r="P538" s="811" t="s">
        <v>1732</v>
      </c>
      <c r="Q538" s="811" t="s">
        <v>1739</v>
      </c>
    </row>
    <row r="539" spans="1:17" x14ac:dyDescent="0.3">
      <c r="A539" s="811" t="s">
        <v>1724</v>
      </c>
      <c r="B539" s="811" t="s">
        <v>2393</v>
      </c>
      <c r="C539" s="812">
        <v>58145664</v>
      </c>
      <c r="D539" s="811" t="s">
        <v>1505</v>
      </c>
      <c r="E539" s="811" t="s">
        <v>1505</v>
      </c>
      <c r="F539" s="811" t="s">
        <v>1726</v>
      </c>
      <c r="G539" s="811" t="s">
        <v>1727</v>
      </c>
      <c r="H539" s="811" t="s">
        <v>1728</v>
      </c>
      <c r="I539" s="811" t="s">
        <v>1729</v>
      </c>
      <c r="J539" s="813">
        <v>58145664</v>
      </c>
      <c r="K539" s="811" t="s">
        <v>1730</v>
      </c>
      <c r="L539" s="811" t="s">
        <v>1189</v>
      </c>
      <c r="M539" s="811" t="s">
        <v>1710</v>
      </c>
      <c r="N539" s="811" t="s">
        <v>1710</v>
      </c>
      <c r="O539" s="811" t="s">
        <v>1920</v>
      </c>
      <c r="P539" s="811" t="s">
        <v>1732</v>
      </c>
      <c r="Q539" s="811" t="s">
        <v>1785</v>
      </c>
    </row>
    <row r="540" spans="1:17" x14ac:dyDescent="0.3">
      <c r="A540" s="811" t="s">
        <v>1724</v>
      </c>
      <c r="B540" s="811" t="s">
        <v>2394</v>
      </c>
      <c r="C540" s="812">
        <v>19987572</v>
      </c>
      <c r="D540" s="811" t="s">
        <v>1505</v>
      </c>
      <c r="E540" s="811" t="s">
        <v>1505</v>
      </c>
      <c r="F540" s="811" t="s">
        <v>1764</v>
      </c>
      <c r="G540" s="811" t="s">
        <v>1727</v>
      </c>
      <c r="H540" s="811" t="s">
        <v>1728</v>
      </c>
      <c r="I540" s="811" t="s">
        <v>1729</v>
      </c>
      <c r="J540" s="813">
        <v>19987572</v>
      </c>
      <c r="K540" s="811" t="s">
        <v>1730</v>
      </c>
      <c r="L540" s="811" t="s">
        <v>1189</v>
      </c>
      <c r="M540" s="811" t="s">
        <v>1710</v>
      </c>
      <c r="N540" s="811" t="s">
        <v>1710</v>
      </c>
      <c r="O540" s="811" t="s">
        <v>1920</v>
      </c>
      <c r="P540" s="811" t="s">
        <v>1732</v>
      </c>
      <c r="Q540" s="811" t="s">
        <v>1785</v>
      </c>
    </row>
    <row r="541" spans="1:17" x14ac:dyDescent="0.3">
      <c r="A541" s="811" t="s">
        <v>1724</v>
      </c>
      <c r="B541" s="811" t="s">
        <v>2395</v>
      </c>
      <c r="C541" s="812">
        <v>77000000</v>
      </c>
      <c r="D541" s="811" t="s">
        <v>1505</v>
      </c>
      <c r="E541" s="811" t="s">
        <v>1505</v>
      </c>
      <c r="F541" s="811" t="s">
        <v>1764</v>
      </c>
      <c r="G541" s="811" t="s">
        <v>1727</v>
      </c>
      <c r="H541" s="811" t="s">
        <v>1728</v>
      </c>
      <c r="I541" s="811" t="s">
        <v>1729</v>
      </c>
      <c r="J541" s="813">
        <v>77000000</v>
      </c>
      <c r="K541" s="811" t="s">
        <v>1730</v>
      </c>
      <c r="L541" s="811" t="s">
        <v>1189</v>
      </c>
      <c r="M541" s="811" t="s">
        <v>1710</v>
      </c>
      <c r="N541" s="811" t="s">
        <v>1710</v>
      </c>
      <c r="O541" s="811" t="s">
        <v>1834</v>
      </c>
      <c r="P541" s="811" t="s">
        <v>1835</v>
      </c>
      <c r="Q541" s="811" t="s">
        <v>1733</v>
      </c>
    </row>
    <row r="542" spans="1:17" x14ac:dyDescent="0.3">
      <c r="A542" s="811" t="s">
        <v>1724</v>
      </c>
      <c r="B542" s="811" t="s">
        <v>2098</v>
      </c>
      <c r="C542" s="812">
        <v>64900000</v>
      </c>
      <c r="D542" s="811" t="s">
        <v>1505</v>
      </c>
      <c r="E542" s="811" t="s">
        <v>1505</v>
      </c>
      <c r="F542" s="811" t="s">
        <v>1747</v>
      </c>
      <c r="G542" s="811" t="s">
        <v>1727</v>
      </c>
      <c r="H542" s="811" t="s">
        <v>1728</v>
      </c>
      <c r="I542" s="811" t="s">
        <v>1729</v>
      </c>
      <c r="J542" s="813">
        <v>64900000</v>
      </c>
      <c r="K542" s="811" t="s">
        <v>1730</v>
      </c>
      <c r="L542" s="811" t="s">
        <v>1189</v>
      </c>
      <c r="M542" s="811" t="s">
        <v>1710</v>
      </c>
      <c r="N542" s="811" t="s">
        <v>1710</v>
      </c>
      <c r="O542" s="811" t="s">
        <v>1834</v>
      </c>
      <c r="P542" s="811" t="s">
        <v>1835</v>
      </c>
      <c r="Q542" s="811" t="s">
        <v>1733</v>
      </c>
    </row>
    <row r="543" spans="1:17" x14ac:dyDescent="0.3">
      <c r="A543" s="811" t="s">
        <v>1724</v>
      </c>
      <c r="B543" s="811" t="s">
        <v>2396</v>
      </c>
      <c r="C543" s="812">
        <v>77000000</v>
      </c>
      <c r="D543" s="811" t="s">
        <v>1505</v>
      </c>
      <c r="E543" s="811" t="s">
        <v>1505</v>
      </c>
      <c r="F543" s="811" t="s">
        <v>1764</v>
      </c>
      <c r="G543" s="811" t="s">
        <v>1727</v>
      </c>
      <c r="H543" s="811" t="s">
        <v>1728</v>
      </c>
      <c r="I543" s="811" t="s">
        <v>1729</v>
      </c>
      <c r="J543" s="813">
        <v>77000000</v>
      </c>
      <c r="K543" s="811" t="s">
        <v>1730</v>
      </c>
      <c r="L543" s="811" t="s">
        <v>1189</v>
      </c>
      <c r="M543" s="811" t="s">
        <v>1710</v>
      </c>
      <c r="N543" s="811" t="s">
        <v>1710</v>
      </c>
      <c r="O543" s="811" t="s">
        <v>1834</v>
      </c>
      <c r="P543" s="811" t="s">
        <v>1835</v>
      </c>
      <c r="Q543" s="811" t="s">
        <v>1733</v>
      </c>
    </row>
    <row r="544" spans="1:17" x14ac:dyDescent="0.3">
      <c r="A544" s="811" t="s">
        <v>1724</v>
      </c>
      <c r="B544" s="811" t="s">
        <v>2397</v>
      </c>
      <c r="C544" s="812">
        <v>29700000</v>
      </c>
      <c r="D544" s="811" t="s">
        <v>1495</v>
      </c>
      <c r="E544" s="811" t="s">
        <v>1495</v>
      </c>
      <c r="F544" s="811" t="s">
        <v>1764</v>
      </c>
      <c r="G544" s="811" t="s">
        <v>1727</v>
      </c>
      <c r="H544" s="811" t="s">
        <v>1728</v>
      </c>
      <c r="I544" s="811" t="s">
        <v>1729</v>
      </c>
      <c r="J544" s="813">
        <v>29700000</v>
      </c>
      <c r="K544" s="811" t="s">
        <v>1730</v>
      </c>
      <c r="L544" s="811" t="s">
        <v>1189</v>
      </c>
      <c r="M544" s="811" t="s">
        <v>1710</v>
      </c>
      <c r="N544" s="811" t="s">
        <v>1710</v>
      </c>
      <c r="O544" s="811" t="s">
        <v>1756</v>
      </c>
      <c r="P544" s="811" t="s">
        <v>1732</v>
      </c>
      <c r="Q544" s="811" t="s">
        <v>1757</v>
      </c>
    </row>
    <row r="545" spans="1:17" x14ac:dyDescent="0.3">
      <c r="A545" s="811" t="s">
        <v>1724</v>
      </c>
      <c r="B545" s="811" t="s">
        <v>2398</v>
      </c>
      <c r="C545" s="812">
        <v>64260000</v>
      </c>
      <c r="D545" s="811" t="s">
        <v>1501</v>
      </c>
      <c r="E545" s="811" t="s">
        <v>1501</v>
      </c>
      <c r="F545" s="811" t="s">
        <v>1741</v>
      </c>
      <c r="G545" s="811" t="s">
        <v>1727</v>
      </c>
      <c r="H545" s="811" t="s">
        <v>1728</v>
      </c>
      <c r="I545" s="811" t="s">
        <v>1729</v>
      </c>
      <c r="J545" s="813">
        <v>64260000</v>
      </c>
      <c r="K545" s="811" t="s">
        <v>1730</v>
      </c>
      <c r="L545" s="811" t="s">
        <v>1189</v>
      </c>
      <c r="M545" s="811" t="s">
        <v>1710</v>
      </c>
      <c r="N545" s="811" t="s">
        <v>1710</v>
      </c>
      <c r="O545" s="811" t="s">
        <v>1742</v>
      </c>
      <c r="P545" s="811" t="s">
        <v>1732</v>
      </c>
      <c r="Q545" s="811" t="s">
        <v>1743</v>
      </c>
    </row>
    <row r="546" spans="1:17" x14ac:dyDescent="0.3">
      <c r="A546" s="811" t="s">
        <v>1724</v>
      </c>
      <c r="B546" s="811" t="s">
        <v>2399</v>
      </c>
      <c r="C546" s="812">
        <v>36720000</v>
      </c>
      <c r="D546" s="811" t="s">
        <v>1611</v>
      </c>
      <c r="E546" s="811" t="s">
        <v>1611</v>
      </c>
      <c r="F546" s="811" t="s">
        <v>1741</v>
      </c>
      <c r="G546" s="811" t="s">
        <v>1727</v>
      </c>
      <c r="H546" s="811" t="s">
        <v>1728</v>
      </c>
      <c r="I546" s="811" t="s">
        <v>1729</v>
      </c>
      <c r="J546" s="813">
        <v>36720000</v>
      </c>
      <c r="K546" s="811" t="s">
        <v>1730</v>
      </c>
      <c r="L546" s="811" t="s">
        <v>1189</v>
      </c>
      <c r="M546" s="811" t="s">
        <v>1710</v>
      </c>
      <c r="N546" s="811" t="s">
        <v>1710</v>
      </c>
      <c r="O546" s="811" t="s">
        <v>1742</v>
      </c>
      <c r="P546" s="811" t="s">
        <v>1732</v>
      </c>
      <c r="Q546" s="811" t="s">
        <v>1743</v>
      </c>
    </row>
    <row r="547" spans="1:17" x14ac:dyDescent="0.3">
      <c r="A547" s="811" t="s">
        <v>1724</v>
      </c>
      <c r="B547" s="811" t="s">
        <v>2400</v>
      </c>
      <c r="C547" s="812">
        <v>51754800</v>
      </c>
      <c r="D547" s="811" t="s">
        <v>1501</v>
      </c>
      <c r="E547" s="811" t="s">
        <v>1501</v>
      </c>
      <c r="F547" s="811" t="s">
        <v>1760</v>
      </c>
      <c r="G547" s="811" t="s">
        <v>1727</v>
      </c>
      <c r="H547" s="811" t="s">
        <v>1728</v>
      </c>
      <c r="I547" s="811" t="s">
        <v>1729</v>
      </c>
      <c r="J547" s="813">
        <v>51754800</v>
      </c>
      <c r="K547" s="811" t="s">
        <v>1730</v>
      </c>
      <c r="L547" s="811" t="s">
        <v>1189</v>
      </c>
      <c r="M547" s="811" t="s">
        <v>1710</v>
      </c>
      <c r="N547" s="811" t="s">
        <v>1710</v>
      </c>
      <c r="O547" s="811" t="s">
        <v>1742</v>
      </c>
      <c r="P547" s="811" t="s">
        <v>1732</v>
      </c>
      <c r="Q547" s="811" t="s">
        <v>1743</v>
      </c>
    </row>
    <row r="548" spans="1:17" x14ac:dyDescent="0.3">
      <c r="A548" s="811" t="s">
        <v>1724</v>
      </c>
      <c r="B548" s="811" t="s">
        <v>2401</v>
      </c>
      <c r="C548" s="812">
        <v>48144000</v>
      </c>
      <c r="D548" s="811" t="s">
        <v>1501</v>
      </c>
      <c r="E548" s="811" t="s">
        <v>1501</v>
      </c>
      <c r="F548" s="811" t="s">
        <v>1760</v>
      </c>
      <c r="G548" s="811" t="s">
        <v>1727</v>
      </c>
      <c r="H548" s="811" t="s">
        <v>1728</v>
      </c>
      <c r="I548" s="811" t="s">
        <v>1729</v>
      </c>
      <c r="J548" s="813">
        <v>48144000</v>
      </c>
      <c r="K548" s="811" t="s">
        <v>1730</v>
      </c>
      <c r="L548" s="811" t="s">
        <v>1189</v>
      </c>
      <c r="M548" s="811" t="s">
        <v>1710</v>
      </c>
      <c r="N548" s="811" t="s">
        <v>1710</v>
      </c>
      <c r="O548" s="811" t="s">
        <v>1742</v>
      </c>
      <c r="P548" s="811" t="s">
        <v>1732</v>
      </c>
      <c r="Q548" s="811" t="s">
        <v>1743</v>
      </c>
    </row>
    <row r="549" spans="1:17" x14ac:dyDescent="0.3">
      <c r="A549" s="811" t="s">
        <v>1724</v>
      </c>
      <c r="B549" s="811" t="s">
        <v>2402</v>
      </c>
      <c r="C549" s="812">
        <v>36000000</v>
      </c>
      <c r="D549" s="811" t="s">
        <v>1501</v>
      </c>
      <c r="E549" s="811" t="s">
        <v>1501</v>
      </c>
      <c r="F549" s="811" t="s">
        <v>1726</v>
      </c>
      <c r="G549" s="811" t="s">
        <v>1727</v>
      </c>
      <c r="H549" s="811" t="s">
        <v>1728</v>
      </c>
      <c r="I549" s="811" t="s">
        <v>1729</v>
      </c>
      <c r="J549" s="813">
        <v>36000000</v>
      </c>
      <c r="K549" s="811" t="s">
        <v>1730</v>
      </c>
      <c r="L549" s="811" t="s">
        <v>1189</v>
      </c>
      <c r="M549" s="811" t="s">
        <v>1710</v>
      </c>
      <c r="N549" s="811" t="s">
        <v>1710</v>
      </c>
      <c r="O549" s="811" t="s">
        <v>1774</v>
      </c>
      <c r="P549" s="811" t="s">
        <v>1732</v>
      </c>
      <c r="Q549" s="811" t="s">
        <v>1775</v>
      </c>
    </row>
    <row r="550" spans="1:17" x14ac:dyDescent="0.3">
      <c r="A550" s="811" t="s">
        <v>1724</v>
      </c>
      <c r="B550" s="811" t="s">
        <v>2403</v>
      </c>
      <c r="C550" s="812">
        <v>19078983</v>
      </c>
      <c r="D550" s="811" t="s">
        <v>1502</v>
      </c>
      <c r="E550" s="811" t="s">
        <v>1502</v>
      </c>
      <c r="F550" s="811" t="s">
        <v>1773</v>
      </c>
      <c r="G550" s="811" t="s">
        <v>1727</v>
      </c>
      <c r="H550" s="811" t="s">
        <v>1728</v>
      </c>
      <c r="I550" s="811" t="s">
        <v>1729</v>
      </c>
      <c r="J550" s="813">
        <v>19078983</v>
      </c>
      <c r="K550" s="811" t="s">
        <v>1730</v>
      </c>
      <c r="L550" s="811" t="s">
        <v>1189</v>
      </c>
      <c r="M550" s="811" t="s">
        <v>1710</v>
      </c>
      <c r="N550" s="811" t="s">
        <v>1710</v>
      </c>
      <c r="O550" s="811" t="s">
        <v>1774</v>
      </c>
      <c r="P550" s="811" t="s">
        <v>1732</v>
      </c>
      <c r="Q550" s="811" t="s">
        <v>1775</v>
      </c>
    </row>
    <row r="551" spans="1:17" x14ac:dyDescent="0.3">
      <c r="A551" s="811" t="s">
        <v>2404</v>
      </c>
      <c r="B551" s="811" t="s">
        <v>2405</v>
      </c>
      <c r="C551" s="812">
        <v>239251158</v>
      </c>
      <c r="D551" s="811" t="s">
        <v>1510</v>
      </c>
      <c r="E551" s="811" t="s">
        <v>1510</v>
      </c>
      <c r="F551" s="811" t="s">
        <v>1741</v>
      </c>
      <c r="G551" s="811" t="s">
        <v>1727</v>
      </c>
      <c r="H551" s="811" t="s">
        <v>1728</v>
      </c>
      <c r="I551" s="811" t="s">
        <v>1729</v>
      </c>
      <c r="J551" s="813">
        <v>239251158</v>
      </c>
      <c r="K551" s="811" t="s">
        <v>1730</v>
      </c>
      <c r="L551" s="811" t="s">
        <v>1189</v>
      </c>
      <c r="M551" s="811" t="s">
        <v>1710</v>
      </c>
      <c r="N551" s="811" t="s">
        <v>1710</v>
      </c>
      <c r="O551" s="811" t="s">
        <v>1920</v>
      </c>
      <c r="P551" s="811" t="s">
        <v>1732</v>
      </c>
      <c r="Q551" s="811" t="s">
        <v>1785</v>
      </c>
    </row>
    <row r="552" spans="1:17" x14ac:dyDescent="0.3">
      <c r="A552" s="811" t="s">
        <v>1724</v>
      </c>
      <c r="B552" s="811" t="s">
        <v>2406</v>
      </c>
      <c r="C552" s="812">
        <v>36000000</v>
      </c>
      <c r="D552" s="811" t="s">
        <v>1611</v>
      </c>
      <c r="E552" s="811" t="s">
        <v>1611</v>
      </c>
      <c r="F552" s="811" t="s">
        <v>1737</v>
      </c>
      <c r="G552" s="811" t="s">
        <v>1727</v>
      </c>
      <c r="H552" s="811" t="s">
        <v>1728</v>
      </c>
      <c r="I552" s="811" t="s">
        <v>1729</v>
      </c>
      <c r="J552" s="813">
        <v>36000000</v>
      </c>
      <c r="K552" s="811" t="s">
        <v>1730</v>
      </c>
      <c r="L552" s="811" t="s">
        <v>1189</v>
      </c>
      <c r="M552" s="811" t="s">
        <v>1710</v>
      </c>
      <c r="N552" s="811" t="s">
        <v>1710</v>
      </c>
      <c r="O552" s="811" t="s">
        <v>1920</v>
      </c>
      <c r="P552" s="811" t="s">
        <v>1732</v>
      </c>
      <c r="Q552" s="811" t="s">
        <v>1785</v>
      </c>
    </row>
    <row r="553" spans="1:17" x14ac:dyDescent="0.3">
      <c r="A553" s="811" t="s">
        <v>1724</v>
      </c>
      <c r="B553" s="811" t="s">
        <v>2407</v>
      </c>
      <c r="C553" s="812">
        <v>22725578</v>
      </c>
      <c r="D553" s="811" t="s">
        <v>1505</v>
      </c>
      <c r="E553" s="811" t="s">
        <v>1505</v>
      </c>
      <c r="F553" s="811" t="s">
        <v>1764</v>
      </c>
      <c r="G553" s="811" t="s">
        <v>1727</v>
      </c>
      <c r="H553" s="811" t="s">
        <v>1728</v>
      </c>
      <c r="I553" s="811" t="s">
        <v>1729</v>
      </c>
      <c r="J553" s="813">
        <v>22725578</v>
      </c>
      <c r="K553" s="811" t="s">
        <v>1730</v>
      </c>
      <c r="L553" s="811" t="s">
        <v>1189</v>
      </c>
      <c r="M553" s="811" t="s">
        <v>1710</v>
      </c>
      <c r="N553" s="811" t="s">
        <v>1710</v>
      </c>
      <c r="O553" s="811" t="s">
        <v>1920</v>
      </c>
      <c r="P553" s="811" t="s">
        <v>1732</v>
      </c>
      <c r="Q553" s="811" t="s">
        <v>1785</v>
      </c>
    </row>
    <row r="554" spans="1:17" x14ac:dyDescent="0.3">
      <c r="A554" s="811" t="s">
        <v>1724</v>
      </c>
      <c r="B554" s="811" t="s">
        <v>2408</v>
      </c>
      <c r="C554" s="812">
        <v>29981358</v>
      </c>
      <c r="D554" s="811" t="s">
        <v>1505</v>
      </c>
      <c r="E554" s="811" t="s">
        <v>1505</v>
      </c>
      <c r="F554" s="811" t="s">
        <v>1764</v>
      </c>
      <c r="G554" s="811" t="s">
        <v>1727</v>
      </c>
      <c r="H554" s="811" t="s">
        <v>1728</v>
      </c>
      <c r="I554" s="811" t="s">
        <v>1729</v>
      </c>
      <c r="J554" s="813">
        <v>29981358</v>
      </c>
      <c r="K554" s="811" t="s">
        <v>1730</v>
      </c>
      <c r="L554" s="811" t="s">
        <v>1189</v>
      </c>
      <c r="M554" s="811" t="s">
        <v>1710</v>
      </c>
      <c r="N554" s="811" t="s">
        <v>1710</v>
      </c>
      <c r="O554" s="811" t="s">
        <v>1920</v>
      </c>
      <c r="P554" s="811" t="s">
        <v>1732</v>
      </c>
      <c r="Q554" s="811" t="s">
        <v>1785</v>
      </c>
    </row>
    <row r="555" spans="1:17" x14ac:dyDescent="0.3">
      <c r="A555" s="811" t="s">
        <v>1724</v>
      </c>
      <c r="B555" s="811" t="s">
        <v>2409</v>
      </c>
      <c r="C555" s="812">
        <v>65413872</v>
      </c>
      <c r="D555" s="811" t="s">
        <v>1505</v>
      </c>
      <c r="E555" s="811" t="s">
        <v>1505</v>
      </c>
      <c r="F555" s="811" t="s">
        <v>1741</v>
      </c>
      <c r="G555" s="811" t="s">
        <v>1727</v>
      </c>
      <c r="H555" s="811" t="s">
        <v>1728</v>
      </c>
      <c r="I555" s="811" t="s">
        <v>1729</v>
      </c>
      <c r="J555" s="813">
        <v>65413872</v>
      </c>
      <c r="K555" s="811" t="s">
        <v>1730</v>
      </c>
      <c r="L555" s="811" t="s">
        <v>1189</v>
      </c>
      <c r="M555" s="811" t="s">
        <v>1710</v>
      </c>
      <c r="N555" s="811" t="s">
        <v>1710</v>
      </c>
      <c r="O555" s="811" t="s">
        <v>1920</v>
      </c>
      <c r="P555" s="811" t="s">
        <v>1732</v>
      </c>
      <c r="Q555" s="811" t="s">
        <v>1785</v>
      </c>
    </row>
    <row r="556" spans="1:17" x14ac:dyDescent="0.3">
      <c r="A556" s="811" t="s">
        <v>1724</v>
      </c>
      <c r="B556" s="811" t="s">
        <v>2410</v>
      </c>
      <c r="C556" s="812">
        <v>65413872</v>
      </c>
      <c r="D556" s="811" t="s">
        <v>1505</v>
      </c>
      <c r="E556" s="811" t="s">
        <v>1505</v>
      </c>
      <c r="F556" s="811" t="s">
        <v>1741</v>
      </c>
      <c r="G556" s="811" t="s">
        <v>1727</v>
      </c>
      <c r="H556" s="811" t="s">
        <v>1728</v>
      </c>
      <c r="I556" s="811" t="s">
        <v>1729</v>
      </c>
      <c r="J556" s="813">
        <v>65413872</v>
      </c>
      <c r="K556" s="811" t="s">
        <v>1730</v>
      </c>
      <c r="L556" s="811" t="s">
        <v>1189</v>
      </c>
      <c r="M556" s="811" t="s">
        <v>1710</v>
      </c>
      <c r="N556" s="811" t="s">
        <v>1710</v>
      </c>
      <c r="O556" s="811" t="s">
        <v>1920</v>
      </c>
      <c r="P556" s="811" t="s">
        <v>1732</v>
      </c>
      <c r="Q556" s="811" t="s">
        <v>1785</v>
      </c>
    </row>
    <row r="557" spans="1:17" x14ac:dyDescent="0.3">
      <c r="A557" s="811" t="s">
        <v>1724</v>
      </c>
      <c r="B557" s="811" t="s">
        <v>2411</v>
      </c>
      <c r="C557" s="812">
        <v>65413872</v>
      </c>
      <c r="D557" s="811" t="s">
        <v>1505</v>
      </c>
      <c r="E557" s="811" t="s">
        <v>1505</v>
      </c>
      <c r="F557" s="811" t="s">
        <v>1741</v>
      </c>
      <c r="G557" s="811" t="s">
        <v>1727</v>
      </c>
      <c r="H557" s="811" t="s">
        <v>1728</v>
      </c>
      <c r="I557" s="811" t="s">
        <v>1729</v>
      </c>
      <c r="J557" s="813">
        <v>65413872</v>
      </c>
      <c r="K557" s="811" t="s">
        <v>1730</v>
      </c>
      <c r="L557" s="811" t="s">
        <v>1189</v>
      </c>
      <c r="M557" s="811" t="s">
        <v>1710</v>
      </c>
      <c r="N557" s="811" t="s">
        <v>1710</v>
      </c>
      <c r="O557" s="811" t="s">
        <v>1920</v>
      </c>
      <c r="P557" s="811" t="s">
        <v>1732</v>
      </c>
      <c r="Q557" s="811" t="s">
        <v>1785</v>
      </c>
    </row>
    <row r="558" spans="1:17" x14ac:dyDescent="0.3">
      <c r="A558" s="811" t="s">
        <v>1724</v>
      </c>
      <c r="B558" s="811" t="s">
        <v>2412</v>
      </c>
      <c r="C558" s="812">
        <v>65413872</v>
      </c>
      <c r="D558" s="811" t="s">
        <v>1505</v>
      </c>
      <c r="E558" s="811" t="s">
        <v>1505</v>
      </c>
      <c r="F558" s="811" t="s">
        <v>1741</v>
      </c>
      <c r="G558" s="811" t="s">
        <v>1727</v>
      </c>
      <c r="H558" s="811" t="s">
        <v>1728</v>
      </c>
      <c r="I558" s="811" t="s">
        <v>1729</v>
      </c>
      <c r="J558" s="813">
        <v>65413872</v>
      </c>
      <c r="K558" s="811" t="s">
        <v>1730</v>
      </c>
      <c r="L558" s="811" t="s">
        <v>1189</v>
      </c>
      <c r="M558" s="811" t="s">
        <v>1710</v>
      </c>
      <c r="N558" s="811" t="s">
        <v>1710</v>
      </c>
      <c r="O558" s="811" t="s">
        <v>1920</v>
      </c>
      <c r="P558" s="811" t="s">
        <v>1732</v>
      </c>
      <c r="Q558" s="811" t="s">
        <v>1785</v>
      </c>
    </row>
    <row r="559" spans="1:17" x14ac:dyDescent="0.3">
      <c r="A559" s="811" t="s">
        <v>1724</v>
      </c>
      <c r="B559" s="811" t="s">
        <v>2413</v>
      </c>
      <c r="C559" s="812">
        <v>65413872</v>
      </c>
      <c r="D559" s="811" t="s">
        <v>1505</v>
      </c>
      <c r="E559" s="811" t="s">
        <v>1505</v>
      </c>
      <c r="F559" s="811" t="s">
        <v>1741</v>
      </c>
      <c r="G559" s="811" t="s">
        <v>1727</v>
      </c>
      <c r="H559" s="811" t="s">
        <v>1728</v>
      </c>
      <c r="I559" s="811" t="s">
        <v>1729</v>
      </c>
      <c r="J559" s="813">
        <v>65413872</v>
      </c>
      <c r="K559" s="811" t="s">
        <v>1730</v>
      </c>
      <c r="L559" s="811" t="s">
        <v>1189</v>
      </c>
      <c r="M559" s="811" t="s">
        <v>1710</v>
      </c>
      <c r="N559" s="811" t="s">
        <v>1710</v>
      </c>
      <c r="O559" s="811" t="s">
        <v>1920</v>
      </c>
      <c r="P559" s="811" t="s">
        <v>1732</v>
      </c>
      <c r="Q559" s="811" t="s">
        <v>1785</v>
      </c>
    </row>
    <row r="560" spans="1:17" x14ac:dyDescent="0.3">
      <c r="A560" s="811" t="s">
        <v>1724</v>
      </c>
      <c r="B560" s="811" t="s">
        <v>2414</v>
      </c>
      <c r="C560" s="812">
        <v>79314319</v>
      </c>
      <c r="D560" s="811" t="s">
        <v>1505</v>
      </c>
      <c r="E560" s="811" t="s">
        <v>1505</v>
      </c>
      <c r="F560" s="811" t="s">
        <v>1741</v>
      </c>
      <c r="G560" s="811" t="s">
        <v>1727</v>
      </c>
      <c r="H560" s="811" t="s">
        <v>1728</v>
      </c>
      <c r="I560" s="811" t="s">
        <v>1729</v>
      </c>
      <c r="J560" s="813">
        <v>79314319</v>
      </c>
      <c r="K560" s="811" t="s">
        <v>1730</v>
      </c>
      <c r="L560" s="811" t="s">
        <v>1189</v>
      </c>
      <c r="M560" s="811" t="s">
        <v>1710</v>
      </c>
      <c r="N560" s="811" t="s">
        <v>1710</v>
      </c>
      <c r="O560" s="811" t="s">
        <v>1920</v>
      </c>
      <c r="P560" s="811" t="s">
        <v>1732</v>
      </c>
      <c r="Q560" s="811" t="s">
        <v>1785</v>
      </c>
    </row>
    <row r="561" spans="1:17" x14ac:dyDescent="0.3">
      <c r="A561" s="811" t="s">
        <v>1724</v>
      </c>
      <c r="B561" s="811" t="s">
        <v>2415</v>
      </c>
      <c r="C561" s="812">
        <v>34978251</v>
      </c>
      <c r="D561" s="811" t="s">
        <v>1505</v>
      </c>
      <c r="E561" s="811" t="s">
        <v>1505</v>
      </c>
      <c r="F561" s="811" t="s">
        <v>1764</v>
      </c>
      <c r="G561" s="811" t="s">
        <v>1727</v>
      </c>
      <c r="H561" s="811" t="s">
        <v>1728</v>
      </c>
      <c r="I561" s="811" t="s">
        <v>1729</v>
      </c>
      <c r="J561" s="813">
        <v>34978251</v>
      </c>
      <c r="K561" s="811" t="s">
        <v>1730</v>
      </c>
      <c r="L561" s="811" t="s">
        <v>1189</v>
      </c>
      <c r="M561" s="811" t="s">
        <v>1710</v>
      </c>
      <c r="N561" s="811" t="s">
        <v>1710</v>
      </c>
      <c r="O561" s="811" t="s">
        <v>1920</v>
      </c>
      <c r="P561" s="811" t="s">
        <v>1732</v>
      </c>
      <c r="Q561" s="811" t="s">
        <v>1785</v>
      </c>
    </row>
    <row r="562" spans="1:17" x14ac:dyDescent="0.3">
      <c r="A562" s="811" t="s">
        <v>1724</v>
      </c>
      <c r="B562" s="811" t="s">
        <v>2416</v>
      </c>
      <c r="C562" s="812">
        <v>19597151</v>
      </c>
      <c r="D562" s="811" t="s">
        <v>1501</v>
      </c>
      <c r="E562" s="811" t="s">
        <v>1501</v>
      </c>
      <c r="F562" s="811" t="s">
        <v>1741</v>
      </c>
      <c r="G562" s="811" t="s">
        <v>1727</v>
      </c>
      <c r="H562" s="811" t="s">
        <v>1728</v>
      </c>
      <c r="I562" s="811" t="s">
        <v>1729</v>
      </c>
      <c r="J562" s="813">
        <v>19597151</v>
      </c>
      <c r="K562" s="811" t="s">
        <v>1730</v>
      </c>
      <c r="L562" s="811" t="s">
        <v>1189</v>
      </c>
      <c r="M562" s="811" t="s">
        <v>1710</v>
      </c>
      <c r="N562" s="811" t="s">
        <v>1710</v>
      </c>
      <c r="O562" s="811" t="s">
        <v>1742</v>
      </c>
      <c r="P562" s="811" t="s">
        <v>1732</v>
      </c>
      <c r="Q562" s="811" t="s">
        <v>1743</v>
      </c>
    </row>
    <row r="563" spans="1:17" x14ac:dyDescent="0.3">
      <c r="A563" s="811" t="s">
        <v>1724</v>
      </c>
      <c r="B563" s="811" t="s">
        <v>2417</v>
      </c>
      <c r="C563" s="812">
        <v>44311860</v>
      </c>
      <c r="D563" s="811" t="s">
        <v>1501</v>
      </c>
      <c r="E563" s="811" t="s">
        <v>1501</v>
      </c>
      <c r="F563" s="811" t="s">
        <v>1741</v>
      </c>
      <c r="G563" s="811" t="s">
        <v>1727</v>
      </c>
      <c r="H563" s="811" t="s">
        <v>1728</v>
      </c>
      <c r="I563" s="811" t="s">
        <v>1729</v>
      </c>
      <c r="J563" s="813">
        <v>44311860</v>
      </c>
      <c r="K563" s="811" t="s">
        <v>1730</v>
      </c>
      <c r="L563" s="811" t="s">
        <v>1189</v>
      </c>
      <c r="M563" s="811" t="s">
        <v>1710</v>
      </c>
      <c r="N563" s="811" t="s">
        <v>1710</v>
      </c>
      <c r="O563" s="811" t="s">
        <v>1742</v>
      </c>
      <c r="P563" s="811" t="s">
        <v>1732</v>
      </c>
      <c r="Q563" s="811" t="s">
        <v>1743</v>
      </c>
    </row>
    <row r="564" spans="1:17" x14ac:dyDescent="0.3">
      <c r="A564" s="811" t="s">
        <v>1724</v>
      </c>
      <c r="B564" s="811" t="s">
        <v>2418</v>
      </c>
      <c r="C564" s="812">
        <v>64260000</v>
      </c>
      <c r="D564" s="811" t="s">
        <v>1501</v>
      </c>
      <c r="E564" s="811" t="s">
        <v>1501</v>
      </c>
      <c r="F564" s="811" t="s">
        <v>1741</v>
      </c>
      <c r="G564" s="811" t="s">
        <v>1727</v>
      </c>
      <c r="H564" s="811" t="s">
        <v>1728</v>
      </c>
      <c r="I564" s="811" t="s">
        <v>1729</v>
      </c>
      <c r="J564" s="813">
        <v>64260000</v>
      </c>
      <c r="K564" s="811" t="s">
        <v>1730</v>
      </c>
      <c r="L564" s="811" t="s">
        <v>1189</v>
      </c>
      <c r="M564" s="811" t="s">
        <v>1710</v>
      </c>
      <c r="N564" s="811" t="s">
        <v>1710</v>
      </c>
      <c r="O564" s="811" t="s">
        <v>1742</v>
      </c>
      <c r="P564" s="811" t="s">
        <v>1732</v>
      </c>
      <c r="Q564" s="811" t="s">
        <v>1743</v>
      </c>
    </row>
    <row r="565" spans="1:17" x14ac:dyDescent="0.3">
      <c r="A565" s="811" t="s">
        <v>1724</v>
      </c>
      <c r="B565" s="811" t="s">
        <v>2419</v>
      </c>
      <c r="C565" s="812">
        <v>44064000</v>
      </c>
      <c r="D565" s="811" t="s">
        <v>1501</v>
      </c>
      <c r="E565" s="811" t="s">
        <v>1501</v>
      </c>
      <c r="F565" s="811" t="s">
        <v>1741</v>
      </c>
      <c r="G565" s="811" t="s">
        <v>1727</v>
      </c>
      <c r="H565" s="811" t="s">
        <v>1728</v>
      </c>
      <c r="I565" s="811" t="s">
        <v>1729</v>
      </c>
      <c r="J565" s="813">
        <v>44064000</v>
      </c>
      <c r="K565" s="811" t="s">
        <v>1730</v>
      </c>
      <c r="L565" s="811" t="s">
        <v>1189</v>
      </c>
      <c r="M565" s="811" t="s">
        <v>1710</v>
      </c>
      <c r="N565" s="811" t="s">
        <v>1710</v>
      </c>
      <c r="O565" s="811" t="s">
        <v>1742</v>
      </c>
      <c r="P565" s="811" t="s">
        <v>1732</v>
      </c>
      <c r="Q565" s="811" t="s">
        <v>1743</v>
      </c>
    </row>
    <row r="566" spans="1:17" x14ac:dyDescent="0.3">
      <c r="A566" s="811" t="s">
        <v>1724</v>
      </c>
      <c r="B566" s="811" t="s">
        <v>2420</v>
      </c>
      <c r="C566" s="812">
        <v>64260000</v>
      </c>
      <c r="D566" s="811" t="s">
        <v>1501</v>
      </c>
      <c r="E566" s="811" t="s">
        <v>1501</v>
      </c>
      <c r="F566" s="811" t="s">
        <v>1741</v>
      </c>
      <c r="G566" s="811" t="s">
        <v>1727</v>
      </c>
      <c r="H566" s="811" t="s">
        <v>1728</v>
      </c>
      <c r="I566" s="811" t="s">
        <v>1729</v>
      </c>
      <c r="J566" s="813">
        <v>64260000</v>
      </c>
      <c r="K566" s="811" t="s">
        <v>1730</v>
      </c>
      <c r="L566" s="811" t="s">
        <v>1189</v>
      </c>
      <c r="M566" s="811" t="s">
        <v>1710</v>
      </c>
      <c r="N566" s="811" t="s">
        <v>1710</v>
      </c>
      <c r="O566" s="811" t="s">
        <v>1742</v>
      </c>
      <c r="P566" s="811" t="s">
        <v>1732</v>
      </c>
      <c r="Q566" s="811" t="s">
        <v>1743</v>
      </c>
    </row>
    <row r="567" spans="1:17" x14ac:dyDescent="0.3">
      <c r="A567" s="811" t="s">
        <v>1724</v>
      </c>
      <c r="B567" s="811" t="s">
        <v>2421</v>
      </c>
      <c r="C567" s="812">
        <v>64260000</v>
      </c>
      <c r="D567" s="811" t="s">
        <v>1501</v>
      </c>
      <c r="E567" s="811" t="s">
        <v>1501</v>
      </c>
      <c r="F567" s="811" t="s">
        <v>1741</v>
      </c>
      <c r="G567" s="811" t="s">
        <v>1727</v>
      </c>
      <c r="H567" s="811" t="s">
        <v>1728</v>
      </c>
      <c r="I567" s="811" t="s">
        <v>1729</v>
      </c>
      <c r="J567" s="813">
        <v>64260000</v>
      </c>
      <c r="K567" s="811" t="s">
        <v>1730</v>
      </c>
      <c r="L567" s="811" t="s">
        <v>1189</v>
      </c>
      <c r="M567" s="811" t="s">
        <v>1710</v>
      </c>
      <c r="N567" s="811" t="s">
        <v>1710</v>
      </c>
      <c r="O567" s="811" t="s">
        <v>1742</v>
      </c>
      <c r="P567" s="811" t="s">
        <v>1732</v>
      </c>
      <c r="Q567" s="811" t="s">
        <v>1743</v>
      </c>
    </row>
    <row r="568" spans="1:17" x14ac:dyDescent="0.3">
      <c r="A568" s="811" t="s">
        <v>1724</v>
      </c>
      <c r="B568" s="811" t="s">
        <v>2422</v>
      </c>
      <c r="C568" s="812">
        <v>64260000</v>
      </c>
      <c r="D568" s="811" t="s">
        <v>1501</v>
      </c>
      <c r="E568" s="811" t="s">
        <v>1501</v>
      </c>
      <c r="F568" s="811" t="s">
        <v>1741</v>
      </c>
      <c r="G568" s="811" t="s">
        <v>1727</v>
      </c>
      <c r="H568" s="811" t="s">
        <v>1728</v>
      </c>
      <c r="I568" s="811" t="s">
        <v>1729</v>
      </c>
      <c r="J568" s="813">
        <v>64260000</v>
      </c>
      <c r="K568" s="811" t="s">
        <v>1730</v>
      </c>
      <c r="L568" s="811" t="s">
        <v>1189</v>
      </c>
      <c r="M568" s="811" t="s">
        <v>1710</v>
      </c>
      <c r="N568" s="811" t="s">
        <v>1710</v>
      </c>
      <c r="O568" s="811" t="s">
        <v>1742</v>
      </c>
      <c r="P568" s="811" t="s">
        <v>1732</v>
      </c>
      <c r="Q568" s="811" t="s">
        <v>1743</v>
      </c>
    </row>
    <row r="569" spans="1:17" x14ac:dyDescent="0.3">
      <c r="A569" s="811" t="s">
        <v>1724</v>
      </c>
      <c r="B569" s="811" t="s">
        <v>2423</v>
      </c>
      <c r="C569" s="812">
        <v>24530202</v>
      </c>
      <c r="D569" s="811" t="s">
        <v>1611</v>
      </c>
      <c r="E569" s="811" t="s">
        <v>1611</v>
      </c>
      <c r="F569" s="811" t="s">
        <v>1741</v>
      </c>
      <c r="G569" s="811" t="s">
        <v>1727</v>
      </c>
      <c r="H569" s="811" t="s">
        <v>1728</v>
      </c>
      <c r="I569" s="811" t="s">
        <v>1729</v>
      </c>
      <c r="J569" s="813">
        <v>24530202</v>
      </c>
      <c r="K569" s="811" t="s">
        <v>1730</v>
      </c>
      <c r="L569" s="811" t="s">
        <v>1189</v>
      </c>
      <c r="M569" s="811" t="s">
        <v>1710</v>
      </c>
      <c r="N569" s="811" t="s">
        <v>1710</v>
      </c>
      <c r="O569" s="811" t="s">
        <v>1920</v>
      </c>
      <c r="P569" s="811" t="s">
        <v>1732</v>
      </c>
      <c r="Q569" s="811" t="s">
        <v>1785</v>
      </c>
    </row>
    <row r="570" spans="1:17" x14ac:dyDescent="0.3">
      <c r="A570" s="811" t="s">
        <v>1724</v>
      </c>
      <c r="B570" s="811" t="s">
        <v>2424</v>
      </c>
      <c r="C570" s="812">
        <v>24530202</v>
      </c>
      <c r="D570" s="811" t="s">
        <v>1611</v>
      </c>
      <c r="E570" s="811" t="s">
        <v>1611</v>
      </c>
      <c r="F570" s="811" t="s">
        <v>1741</v>
      </c>
      <c r="G570" s="811" t="s">
        <v>1727</v>
      </c>
      <c r="H570" s="811" t="s">
        <v>1728</v>
      </c>
      <c r="I570" s="811" t="s">
        <v>1729</v>
      </c>
      <c r="J570" s="813">
        <v>24530202</v>
      </c>
      <c r="K570" s="811" t="s">
        <v>1730</v>
      </c>
      <c r="L570" s="811" t="s">
        <v>1189</v>
      </c>
      <c r="M570" s="811" t="s">
        <v>1710</v>
      </c>
      <c r="N570" s="811" t="s">
        <v>1710</v>
      </c>
      <c r="O570" s="811" t="s">
        <v>1920</v>
      </c>
      <c r="P570" s="811" t="s">
        <v>1732</v>
      </c>
      <c r="Q570" s="811" t="s">
        <v>1785</v>
      </c>
    </row>
    <row r="571" spans="1:17" x14ac:dyDescent="0.3">
      <c r="A571" s="811" t="s">
        <v>1878</v>
      </c>
      <c r="B571" s="811" t="s">
        <v>2425</v>
      </c>
      <c r="C571" s="812">
        <v>55000000</v>
      </c>
      <c r="D571" s="811" t="s">
        <v>1502</v>
      </c>
      <c r="E571" s="811" t="s">
        <v>1502</v>
      </c>
      <c r="F571" s="811" t="s">
        <v>1747</v>
      </c>
      <c r="G571" s="811" t="s">
        <v>1727</v>
      </c>
      <c r="H571" s="811" t="s">
        <v>1728</v>
      </c>
      <c r="I571" s="811" t="s">
        <v>1729</v>
      </c>
      <c r="J571" s="813">
        <v>55000000</v>
      </c>
      <c r="K571" s="811" t="s">
        <v>1730</v>
      </c>
      <c r="L571" s="811" t="s">
        <v>1189</v>
      </c>
      <c r="M571" s="811" t="s">
        <v>1710</v>
      </c>
      <c r="N571" s="811" t="s">
        <v>1710</v>
      </c>
      <c r="O571" s="811" t="s">
        <v>1761</v>
      </c>
      <c r="P571" s="811" t="s">
        <v>1732</v>
      </c>
      <c r="Q571" s="811" t="s">
        <v>1733</v>
      </c>
    </row>
    <row r="572" spans="1:17" x14ac:dyDescent="0.3">
      <c r="A572" s="811" t="s">
        <v>1724</v>
      </c>
      <c r="B572" s="811" t="s">
        <v>2426</v>
      </c>
      <c r="C572" s="812">
        <v>54000000</v>
      </c>
      <c r="D572" s="811" t="s">
        <v>1501</v>
      </c>
      <c r="E572" s="811" t="s">
        <v>1501</v>
      </c>
      <c r="F572" s="811" t="s">
        <v>1741</v>
      </c>
      <c r="G572" s="811" t="s">
        <v>1727</v>
      </c>
      <c r="H572" s="811" t="s">
        <v>1728</v>
      </c>
      <c r="I572" s="811" t="s">
        <v>1729</v>
      </c>
      <c r="J572" s="813">
        <v>54000000</v>
      </c>
      <c r="K572" s="811" t="s">
        <v>1730</v>
      </c>
      <c r="L572" s="811" t="s">
        <v>1189</v>
      </c>
      <c r="M572" s="811" t="s">
        <v>1710</v>
      </c>
      <c r="N572" s="811" t="s">
        <v>1710</v>
      </c>
      <c r="O572" s="811" t="s">
        <v>1761</v>
      </c>
      <c r="P572" s="811" t="s">
        <v>1732</v>
      </c>
      <c r="Q572" s="811" t="s">
        <v>1733</v>
      </c>
    </row>
    <row r="573" spans="1:17" x14ac:dyDescent="0.3">
      <c r="A573" s="811" t="s">
        <v>1724</v>
      </c>
      <c r="B573" s="811" t="s">
        <v>2427</v>
      </c>
      <c r="C573" s="812">
        <v>50150000</v>
      </c>
      <c r="D573" s="811" t="s">
        <v>1611</v>
      </c>
      <c r="E573" s="811" t="s">
        <v>1611</v>
      </c>
      <c r="F573" s="811" t="s">
        <v>1726</v>
      </c>
      <c r="G573" s="811" t="s">
        <v>1727</v>
      </c>
      <c r="H573" s="811" t="s">
        <v>1728</v>
      </c>
      <c r="I573" s="811" t="s">
        <v>1729</v>
      </c>
      <c r="J573" s="813">
        <v>50150000</v>
      </c>
      <c r="K573" s="811" t="s">
        <v>1730</v>
      </c>
      <c r="L573" s="811" t="s">
        <v>1189</v>
      </c>
      <c r="M573" s="811" t="s">
        <v>1710</v>
      </c>
      <c r="N573" s="811" t="s">
        <v>1710</v>
      </c>
      <c r="O573" s="811" t="s">
        <v>1761</v>
      </c>
      <c r="P573" s="811" t="s">
        <v>1732</v>
      </c>
      <c r="Q573" s="811" t="s">
        <v>1733</v>
      </c>
    </row>
    <row r="574" spans="1:17" x14ac:dyDescent="0.3">
      <c r="A574" s="811" t="s">
        <v>1724</v>
      </c>
      <c r="B574" s="811" t="s">
        <v>2428</v>
      </c>
      <c r="C574" s="812">
        <v>42500000</v>
      </c>
      <c r="D574" s="811" t="s">
        <v>1501</v>
      </c>
      <c r="E574" s="811" t="s">
        <v>1501</v>
      </c>
      <c r="F574" s="811" t="s">
        <v>1726</v>
      </c>
      <c r="G574" s="811" t="s">
        <v>1727</v>
      </c>
      <c r="H574" s="811" t="s">
        <v>1728</v>
      </c>
      <c r="I574" s="811" t="s">
        <v>1729</v>
      </c>
      <c r="J574" s="813">
        <v>42500000</v>
      </c>
      <c r="K574" s="811" t="s">
        <v>1730</v>
      </c>
      <c r="L574" s="811" t="s">
        <v>1189</v>
      </c>
      <c r="M574" s="811" t="s">
        <v>1710</v>
      </c>
      <c r="N574" s="811" t="s">
        <v>1710</v>
      </c>
      <c r="O574" s="811" t="s">
        <v>1761</v>
      </c>
      <c r="P574" s="811" t="s">
        <v>1732</v>
      </c>
      <c r="Q574" s="811" t="s">
        <v>1733</v>
      </c>
    </row>
    <row r="575" spans="1:17" x14ac:dyDescent="0.3">
      <c r="A575" s="811" t="s">
        <v>1724</v>
      </c>
      <c r="B575" s="811" t="s">
        <v>2429</v>
      </c>
      <c r="C575" s="812">
        <v>42500000</v>
      </c>
      <c r="D575" s="811" t="s">
        <v>1501</v>
      </c>
      <c r="E575" s="811" t="s">
        <v>1501</v>
      </c>
      <c r="F575" s="811" t="s">
        <v>1726</v>
      </c>
      <c r="G575" s="811" t="s">
        <v>1727</v>
      </c>
      <c r="H575" s="811" t="s">
        <v>1728</v>
      </c>
      <c r="I575" s="811" t="s">
        <v>1729</v>
      </c>
      <c r="J575" s="813">
        <v>42500000</v>
      </c>
      <c r="K575" s="811" t="s">
        <v>1730</v>
      </c>
      <c r="L575" s="811" t="s">
        <v>1189</v>
      </c>
      <c r="M575" s="811" t="s">
        <v>1710</v>
      </c>
      <c r="N575" s="811" t="s">
        <v>1710</v>
      </c>
      <c r="O575" s="811" t="s">
        <v>1761</v>
      </c>
      <c r="P575" s="811" t="s">
        <v>1732</v>
      </c>
      <c r="Q575" s="811" t="s">
        <v>1733</v>
      </c>
    </row>
    <row r="576" spans="1:17" x14ac:dyDescent="0.3">
      <c r="A576" s="811" t="s">
        <v>1724</v>
      </c>
      <c r="B576" s="811" t="s">
        <v>2430</v>
      </c>
      <c r="C576" s="812">
        <v>28800000</v>
      </c>
      <c r="D576" s="811" t="s">
        <v>1611</v>
      </c>
      <c r="E576" s="811" t="s">
        <v>1611</v>
      </c>
      <c r="F576" s="811" t="s">
        <v>1726</v>
      </c>
      <c r="G576" s="811" t="s">
        <v>1727</v>
      </c>
      <c r="H576" s="811" t="s">
        <v>1728</v>
      </c>
      <c r="I576" s="811" t="s">
        <v>1729</v>
      </c>
      <c r="J576" s="813">
        <v>28800000</v>
      </c>
      <c r="K576" s="811" t="s">
        <v>1730</v>
      </c>
      <c r="L576" s="811" t="s">
        <v>1189</v>
      </c>
      <c r="M576" s="811" t="s">
        <v>1710</v>
      </c>
      <c r="N576" s="811" t="s">
        <v>1710</v>
      </c>
      <c r="O576" s="811" t="s">
        <v>1761</v>
      </c>
      <c r="P576" s="811" t="s">
        <v>1732</v>
      </c>
      <c r="Q576" s="811" t="s">
        <v>1733</v>
      </c>
    </row>
    <row r="577" spans="1:17" x14ac:dyDescent="0.3">
      <c r="A577" s="811" t="s">
        <v>1724</v>
      </c>
      <c r="B577" s="811" t="s">
        <v>2431</v>
      </c>
      <c r="C577" s="812">
        <v>28800000</v>
      </c>
      <c r="D577" s="811" t="s">
        <v>1611</v>
      </c>
      <c r="E577" s="811" t="s">
        <v>1611</v>
      </c>
      <c r="F577" s="811" t="s">
        <v>1726</v>
      </c>
      <c r="G577" s="811" t="s">
        <v>1727</v>
      </c>
      <c r="H577" s="811" t="s">
        <v>1728</v>
      </c>
      <c r="I577" s="811" t="s">
        <v>1729</v>
      </c>
      <c r="J577" s="813">
        <v>28800000</v>
      </c>
      <c r="K577" s="811" t="s">
        <v>1730</v>
      </c>
      <c r="L577" s="811" t="s">
        <v>1189</v>
      </c>
      <c r="M577" s="811" t="s">
        <v>1710</v>
      </c>
      <c r="N577" s="811" t="s">
        <v>1710</v>
      </c>
      <c r="O577" s="811" t="s">
        <v>1761</v>
      </c>
      <c r="P577" s="811" t="s">
        <v>1732</v>
      </c>
      <c r="Q577" s="811" t="s">
        <v>1733</v>
      </c>
    </row>
    <row r="578" spans="1:17" x14ac:dyDescent="0.3">
      <c r="A578" s="811" t="s">
        <v>1724</v>
      </c>
      <c r="B578" s="811" t="s">
        <v>2432</v>
      </c>
      <c r="C578" s="812">
        <v>42400000</v>
      </c>
      <c r="D578" s="811" t="s">
        <v>1611</v>
      </c>
      <c r="E578" s="811" t="s">
        <v>1611</v>
      </c>
      <c r="F578" s="811" t="s">
        <v>1726</v>
      </c>
      <c r="G578" s="811" t="s">
        <v>1727</v>
      </c>
      <c r="H578" s="811" t="s">
        <v>1728</v>
      </c>
      <c r="I578" s="811" t="s">
        <v>1729</v>
      </c>
      <c r="J578" s="813">
        <v>42400000</v>
      </c>
      <c r="K578" s="811" t="s">
        <v>1730</v>
      </c>
      <c r="L578" s="811" t="s">
        <v>1189</v>
      </c>
      <c r="M578" s="811" t="s">
        <v>1710</v>
      </c>
      <c r="N578" s="811" t="s">
        <v>1710</v>
      </c>
      <c r="O578" s="811" t="s">
        <v>1761</v>
      </c>
      <c r="P578" s="811" t="s">
        <v>1732</v>
      </c>
      <c r="Q578" s="811" t="s">
        <v>1733</v>
      </c>
    </row>
    <row r="579" spans="1:17" x14ac:dyDescent="0.3">
      <c r="A579" s="811" t="s">
        <v>1724</v>
      </c>
      <c r="B579" s="811" t="s">
        <v>2433</v>
      </c>
      <c r="C579" s="812">
        <v>42400000</v>
      </c>
      <c r="D579" s="811" t="s">
        <v>1611</v>
      </c>
      <c r="E579" s="811" t="s">
        <v>1611</v>
      </c>
      <c r="F579" s="811" t="s">
        <v>1726</v>
      </c>
      <c r="G579" s="811" t="s">
        <v>1727</v>
      </c>
      <c r="H579" s="811" t="s">
        <v>1728</v>
      </c>
      <c r="I579" s="811" t="s">
        <v>1729</v>
      </c>
      <c r="J579" s="813">
        <v>42400000</v>
      </c>
      <c r="K579" s="811" t="s">
        <v>1730</v>
      </c>
      <c r="L579" s="811" t="s">
        <v>1189</v>
      </c>
      <c r="M579" s="811" t="s">
        <v>1710</v>
      </c>
      <c r="N579" s="811" t="s">
        <v>1710</v>
      </c>
      <c r="O579" s="811" t="s">
        <v>1761</v>
      </c>
      <c r="P579" s="811" t="s">
        <v>1732</v>
      </c>
      <c r="Q579" s="811" t="s">
        <v>1733</v>
      </c>
    </row>
    <row r="580" spans="1:17" x14ac:dyDescent="0.3">
      <c r="A580" s="811" t="s">
        <v>1724</v>
      </c>
      <c r="B580" s="811" t="s">
        <v>2434</v>
      </c>
      <c r="C580" s="812">
        <v>42400000</v>
      </c>
      <c r="D580" s="811" t="s">
        <v>1611</v>
      </c>
      <c r="E580" s="811" t="s">
        <v>1611</v>
      </c>
      <c r="F580" s="811" t="s">
        <v>1726</v>
      </c>
      <c r="G580" s="811" t="s">
        <v>1727</v>
      </c>
      <c r="H580" s="811" t="s">
        <v>1728</v>
      </c>
      <c r="I580" s="811" t="s">
        <v>1729</v>
      </c>
      <c r="J580" s="813">
        <v>42400000</v>
      </c>
      <c r="K580" s="811" t="s">
        <v>1730</v>
      </c>
      <c r="L580" s="811" t="s">
        <v>1189</v>
      </c>
      <c r="M580" s="811" t="s">
        <v>1710</v>
      </c>
      <c r="N580" s="811" t="s">
        <v>1710</v>
      </c>
      <c r="O580" s="811" t="s">
        <v>1761</v>
      </c>
      <c r="P580" s="811" t="s">
        <v>1732</v>
      </c>
      <c r="Q580" s="811" t="s">
        <v>1733</v>
      </c>
    </row>
    <row r="581" spans="1:17" x14ac:dyDescent="0.3">
      <c r="A581" s="811" t="s">
        <v>1724</v>
      </c>
      <c r="B581" s="811" t="s">
        <v>2435</v>
      </c>
      <c r="C581" s="812">
        <v>36000000</v>
      </c>
      <c r="D581" s="811" t="s">
        <v>1501</v>
      </c>
      <c r="E581" s="811" t="s">
        <v>1501</v>
      </c>
      <c r="F581" s="811" t="s">
        <v>1741</v>
      </c>
      <c r="G581" s="811" t="s">
        <v>1727</v>
      </c>
      <c r="H581" s="811" t="s">
        <v>1728</v>
      </c>
      <c r="I581" s="811" t="s">
        <v>1729</v>
      </c>
      <c r="J581" s="813">
        <v>36000000</v>
      </c>
      <c r="K581" s="811" t="s">
        <v>1730</v>
      </c>
      <c r="L581" s="811" t="s">
        <v>1189</v>
      </c>
      <c r="M581" s="811" t="s">
        <v>1710</v>
      </c>
      <c r="N581" s="811" t="s">
        <v>1710</v>
      </c>
      <c r="O581" s="811" t="s">
        <v>1761</v>
      </c>
      <c r="P581" s="811" t="s">
        <v>1732</v>
      </c>
      <c r="Q581" s="811" t="s">
        <v>1733</v>
      </c>
    </row>
    <row r="582" spans="1:17" x14ac:dyDescent="0.3">
      <c r="A582" s="811" t="s">
        <v>1724</v>
      </c>
      <c r="B582" s="811" t="s">
        <v>2436</v>
      </c>
      <c r="C582" s="812">
        <v>63600000</v>
      </c>
      <c r="D582" s="811" t="s">
        <v>1505</v>
      </c>
      <c r="E582" s="811" t="s">
        <v>1505</v>
      </c>
      <c r="F582" s="811" t="s">
        <v>1764</v>
      </c>
      <c r="G582" s="811" t="s">
        <v>1727</v>
      </c>
      <c r="H582" s="811" t="s">
        <v>1728</v>
      </c>
      <c r="I582" s="811" t="s">
        <v>1729</v>
      </c>
      <c r="J582" s="813">
        <v>63600000</v>
      </c>
      <c r="K582" s="811" t="s">
        <v>1730</v>
      </c>
      <c r="L582" s="811" t="s">
        <v>1189</v>
      </c>
      <c r="M582" s="811" t="s">
        <v>1710</v>
      </c>
      <c r="N582" s="811" t="s">
        <v>1710</v>
      </c>
      <c r="O582" s="811" t="s">
        <v>1761</v>
      </c>
      <c r="P582" s="811" t="s">
        <v>1732</v>
      </c>
      <c r="Q582" s="811" t="s">
        <v>1733</v>
      </c>
    </row>
    <row r="583" spans="1:17" x14ac:dyDescent="0.3">
      <c r="A583" s="811" t="s">
        <v>1724</v>
      </c>
      <c r="B583" s="811" t="s">
        <v>2437</v>
      </c>
      <c r="C583" s="812">
        <v>44000000</v>
      </c>
      <c r="D583" s="811" t="s">
        <v>1611</v>
      </c>
      <c r="E583" s="811" t="s">
        <v>1611</v>
      </c>
      <c r="F583" s="811" t="s">
        <v>1726</v>
      </c>
      <c r="G583" s="811" t="s">
        <v>1727</v>
      </c>
      <c r="H583" s="811" t="s">
        <v>1728</v>
      </c>
      <c r="I583" s="811" t="s">
        <v>1729</v>
      </c>
      <c r="J583" s="813">
        <v>44000000</v>
      </c>
      <c r="K583" s="811" t="s">
        <v>1730</v>
      </c>
      <c r="L583" s="811" t="s">
        <v>1189</v>
      </c>
      <c r="M583" s="811" t="s">
        <v>1710</v>
      </c>
      <c r="N583" s="811" t="s">
        <v>1710</v>
      </c>
      <c r="O583" s="811" t="s">
        <v>1761</v>
      </c>
      <c r="P583" s="811" t="s">
        <v>1732</v>
      </c>
      <c r="Q583" s="811" t="s">
        <v>1733</v>
      </c>
    </row>
    <row r="584" spans="1:17" x14ac:dyDescent="0.3">
      <c r="A584" s="811" t="s">
        <v>1724</v>
      </c>
      <c r="B584" s="811" t="s">
        <v>2438</v>
      </c>
      <c r="C584" s="812">
        <v>43470000</v>
      </c>
      <c r="D584" s="811" t="s">
        <v>1505</v>
      </c>
      <c r="E584" s="811" t="s">
        <v>1505</v>
      </c>
      <c r="F584" s="811" t="s">
        <v>1773</v>
      </c>
      <c r="G584" s="811" t="s">
        <v>1727</v>
      </c>
      <c r="H584" s="811" t="s">
        <v>1728</v>
      </c>
      <c r="I584" s="811" t="s">
        <v>1729</v>
      </c>
      <c r="J584" s="813">
        <v>43470000</v>
      </c>
      <c r="K584" s="811" t="s">
        <v>1730</v>
      </c>
      <c r="L584" s="811" t="s">
        <v>1189</v>
      </c>
      <c r="M584" s="811" t="s">
        <v>1710</v>
      </c>
      <c r="N584" s="811" t="s">
        <v>1710</v>
      </c>
      <c r="O584" s="811" t="s">
        <v>1774</v>
      </c>
      <c r="P584" s="811" t="s">
        <v>1732</v>
      </c>
      <c r="Q584" s="811" t="s">
        <v>1775</v>
      </c>
    </row>
    <row r="585" spans="1:17" x14ac:dyDescent="0.3">
      <c r="A585" s="811" t="s">
        <v>1724</v>
      </c>
      <c r="B585" s="811" t="s">
        <v>2439</v>
      </c>
      <c r="C585" s="812">
        <v>60000000</v>
      </c>
      <c r="D585" s="811" t="s">
        <v>1495</v>
      </c>
      <c r="E585" s="811" t="s">
        <v>1495</v>
      </c>
      <c r="F585" s="811" t="s">
        <v>1760</v>
      </c>
      <c r="G585" s="811" t="s">
        <v>1727</v>
      </c>
      <c r="H585" s="811" t="s">
        <v>1728</v>
      </c>
      <c r="I585" s="811" t="s">
        <v>1729</v>
      </c>
      <c r="J585" s="813">
        <v>60000000</v>
      </c>
      <c r="K585" s="811" t="s">
        <v>1730</v>
      </c>
      <c r="L585" s="811" t="s">
        <v>1189</v>
      </c>
      <c r="M585" s="811" t="s">
        <v>1710</v>
      </c>
      <c r="N585" s="811" t="s">
        <v>1710</v>
      </c>
      <c r="O585" s="811" t="s">
        <v>2194</v>
      </c>
      <c r="P585" s="811" t="s">
        <v>2195</v>
      </c>
      <c r="Q585" s="811" t="s">
        <v>2196</v>
      </c>
    </row>
    <row r="586" spans="1:17" x14ac:dyDescent="0.3">
      <c r="A586" s="811" t="s">
        <v>1724</v>
      </c>
      <c r="B586" s="811" t="s">
        <v>2440</v>
      </c>
      <c r="C586" s="812">
        <v>65000000</v>
      </c>
      <c r="D586" s="811" t="s">
        <v>1505</v>
      </c>
      <c r="E586" s="811" t="s">
        <v>1505</v>
      </c>
      <c r="F586" s="811" t="s">
        <v>1760</v>
      </c>
      <c r="G586" s="811" t="s">
        <v>1727</v>
      </c>
      <c r="H586" s="811" t="s">
        <v>1728</v>
      </c>
      <c r="I586" s="811" t="s">
        <v>1729</v>
      </c>
      <c r="J586" s="813">
        <v>65000000</v>
      </c>
      <c r="K586" s="811" t="s">
        <v>1730</v>
      </c>
      <c r="L586" s="811" t="s">
        <v>1189</v>
      </c>
      <c r="M586" s="811" t="s">
        <v>1710</v>
      </c>
      <c r="N586" s="811" t="s">
        <v>1710</v>
      </c>
      <c r="O586" s="811" t="s">
        <v>2194</v>
      </c>
      <c r="P586" s="811" t="s">
        <v>2195</v>
      </c>
      <c r="Q586" s="811" t="s">
        <v>2196</v>
      </c>
    </row>
    <row r="587" spans="1:17" x14ac:dyDescent="0.3">
      <c r="A587" s="811" t="s">
        <v>1724</v>
      </c>
      <c r="B587" s="811" t="s">
        <v>2441</v>
      </c>
      <c r="C587" s="812">
        <v>37500000</v>
      </c>
      <c r="D587" s="811" t="s">
        <v>1502</v>
      </c>
      <c r="E587" s="811" t="s">
        <v>1502</v>
      </c>
      <c r="F587" s="811" t="s">
        <v>1773</v>
      </c>
      <c r="G587" s="811" t="s">
        <v>1727</v>
      </c>
      <c r="H587" s="811" t="s">
        <v>1728</v>
      </c>
      <c r="I587" s="811" t="s">
        <v>1729</v>
      </c>
      <c r="J587" s="813">
        <v>37500000</v>
      </c>
      <c r="K587" s="811" t="s">
        <v>1730</v>
      </c>
      <c r="L587" s="811" t="s">
        <v>1189</v>
      </c>
      <c r="M587" s="811" t="s">
        <v>1710</v>
      </c>
      <c r="N587" s="811" t="s">
        <v>1710</v>
      </c>
      <c r="O587" s="811" t="s">
        <v>1731</v>
      </c>
      <c r="P587" s="811" t="s">
        <v>1732</v>
      </c>
      <c r="Q587" s="811" t="s">
        <v>1733</v>
      </c>
    </row>
    <row r="588" spans="1:17" x14ac:dyDescent="0.3">
      <c r="A588" s="811" t="s">
        <v>2442</v>
      </c>
      <c r="B588" s="811" t="s">
        <v>2443</v>
      </c>
      <c r="C588" s="812">
        <v>292754108</v>
      </c>
      <c r="D588" s="811" t="s">
        <v>1502</v>
      </c>
      <c r="E588" s="811" t="s">
        <v>1509</v>
      </c>
      <c r="F588" s="811" t="s">
        <v>1747</v>
      </c>
      <c r="G588" s="811" t="s">
        <v>1727</v>
      </c>
      <c r="H588" s="811" t="s">
        <v>1815</v>
      </c>
      <c r="I588" s="811" t="s">
        <v>1729</v>
      </c>
      <c r="J588" s="813">
        <v>292754108</v>
      </c>
      <c r="K588" s="811" t="s">
        <v>1730</v>
      </c>
      <c r="L588" s="811" t="s">
        <v>1189</v>
      </c>
      <c r="M588" s="811" t="s">
        <v>1710</v>
      </c>
      <c r="N588" s="811" t="s">
        <v>1710</v>
      </c>
      <c r="O588" s="811" t="s">
        <v>1774</v>
      </c>
      <c r="P588" s="811" t="s">
        <v>1732</v>
      </c>
      <c r="Q588" s="811" t="s">
        <v>1775</v>
      </c>
    </row>
    <row r="589" spans="1:17" x14ac:dyDescent="0.3">
      <c r="A589" s="811" t="s">
        <v>1724</v>
      </c>
      <c r="B589" s="811" t="s">
        <v>2444</v>
      </c>
      <c r="C589" s="812">
        <v>18600000</v>
      </c>
      <c r="D589" s="811" t="s">
        <v>1502</v>
      </c>
      <c r="E589" s="811" t="s">
        <v>1502</v>
      </c>
      <c r="F589" s="811" t="s">
        <v>1737</v>
      </c>
      <c r="G589" s="811" t="s">
        <v>1727</v>
      </c>
      <c r="H589" s="811" t="s">
        <v>1728</v>
      </c>
      <c r="I589" s="811" t="s">
        <v>1729</v>
      </c>
      <c r="J589" s="813">
        <v>18600000</v>
      </c>
      <c r="K589" s="811" t="s">
        <v>1730</v>
      </c>
      <c r="L589" s="811" t="s">
        <v>1189</v>
      </c>
      <c r="M589" s="811" t="s">
        <v>1710</v>
      </c>
      <c r="N589" s="811" t="s">
        <v>1710</v>
      </c>
      <c r="O589" s="811" t="s">
        <v>1784</v>
      </c>
      <c r="P589" s="811" t="s">
        <v>1732</v>
      </c>
      <c r="Q589" s="811" t="s">
        <v>1785</v>
      </c>
    </row>
    <row r="590" spans="1:17" x14ac:dyDescent="0.3">
      <c r="A590" s="811" t="s">
        <v>2445</v>
      </c>
      <c r="B590" s="811" t="s">
        <v>2446</v>
      </c>
      <c r="C590" s="812">
        <v>10000000</v>
      </c>
      <c r="D590" s="811" t="s">
        <v>1502</v>
      </c>
      <c r="E590" s="811" t="s">
        <v>1502</v>
      </c>
      <c r="F590" s="811" t="s">
        <v>1814</v>
      </c>
      <c r="G590" s="811" t="s">
        <v>1727</v>
      </c>
      <c r="H590" s="811" t="s">
        <v>1650</v>
      </c>
      <c r="I590" s="811" t="s">
        <v>1729</v>
      </c>
      <c r="J590" s="813">
        <v>10000000</v>
      </c>
      <c r="K590" s="811" t="s">
        <v>1730</v>
      </c>
      <c r="L590" s="811" t="s">
        <v>1189</v>
      </c>
      <c r="M590" s="811" t="s">
        <v>1710</v>
      </c>
      <c r="N590" s="811" t="s">
        <v>1710</v>
      </c>
      <c r="O590" s="811" t="s">
        <v>1784</v>
      </c>
      <c r="P590" s="811" t="s">
        <v>1732</v>
      </c>
      <c r="Q590" s="811" t="s">
        <v>1785</v>
      </c>
    </row>
    <row r="591" spans="1:17" x14ac:dyDescent="0.3">
      <c r="A591" s="811" t="s">
        <v>1724</v>
      </c>
      <c r="B591" s="811" t="s">
        <v>2447</v>
      </c>
      <c r="C591" s="812">
        <v>18600000</v>
      </c>
      <c r="D591" s="811" t="s">
        <v>1502</v>
      </c>
      <c r="E591" s="811" t="s">
        <v>1502</v>
      </c>
      <c r="F591" s="811" t="s">
        <v>1737</v>
      </c>
      <c r="G591" s="811" t="s">
        <v>1727</v>
      </c>
      <c r="H591" s="811" t="s">
        <v>1728</v>
      </c>
      <c r="I591" s="811" t="s">
        <v>1729</v>
      </c>
      <c r="J591" s="813">
        <v>18600000</v>
      </c>
      <c r="K591" s="811" t="s">
        <v>1730</v>
      </c>
      <c r="L591" s="811" t="s">
        <v>1189</v>
      </c>
      <c r="M591" s="811" t="s">
        <v>1710</v>
      </c>
      <c r="N591" s="811" t="s">
        <v>1710</v>
      </c>
      <c r="O591" s="811" t="s">
        <v>1784</v>
      </c>
      <c r="P591" s="811" t="s">
        <v>1732</v>
      </c>
      <c r="Q591" s="811" t="s">
        <v>1785</v>
      </c>
    </row>
    <row r="592" spans="1:17" x14ac:dyDescent="0.3">
      <c r="A592" s="811" t="s">
        <v>1724</v>
      </c>
      <c r="B592" s="811" t="s">
        <v>2448</v>
      </c>
      <c r="C592" s="812">
        <v>18600000</v>
      </c>
      <c r="D592" s="811" t="s">
        <v>1502</v>
      </c>
      <c r="E592" s="811" t="s">
        <v>1502</v>
      </c>
      <c r="F592" s="811" t="s">
        <v>1737</v>
      </c>
      <c r="G592" s="811" t="s">
        <v>1727</v>
      </c>
      <c r="H592" s="811" t="s">
        <v>1728</v>
      </c>
      <c r="I592" s="811" t="s">
        <v>1729</v>
      </c>
      <c r="J592" s="813">
        <v>18600000</v>
      </c>
      <c r="K592" s="811" t="s">
        <v>1730</v>
      </c>
      <c r="L592" s="811" t="s">
        <v>1189</v>
      </c>
      <c r="M592" s="811" t="s">
        <v>1710</v>
      </c>
      <c r="N592" s="811" t="s">
        <v>1710</v>
      </c>
      <c r="O592" s="811" t="s">
        <v>1784</v>
      </c>
      <c r="P592" s="811" t="s">
        <v>1732</v>
      </c>
      <c r="Q592" s="811" t="s">
        <v>1785</v>
      </c>
    </row>
    <row r="593" spans="1:17" x14ac:dyDescent="0.3">
      <c r="A593" s="811" t="s">
        <v>1724</v>
      </c>
      <c r="B593" s="811" t="s">
        <v>2449</v>
      </c>
      <c r="C593" s="812">
        <v>18000000</v>
      </c>
      <c r="D593" s="811" t="s">
        <v>1502</v>
      </c>
      <c r="E593" s="811" t="s">
        <v>1502</v>
      </c>
      <c r="F593" s="811" t="s">
        <v>1737</v>
      </c>
      <c r="G593" s="811" t="s">
        <v>1727</v>
      </c>
      <c r="H593" s="811" t="s">
        <v>1728</v>
      </c>
      <c r="I593" s="811" t="s">
        <v>1729</v>
      </c>
      <c r="J593" s="813">
        <v>18000000</v>
      </c>
      <c r="K593" s="811" t="s">
        <v>1730</v>
      </c>
      <c r="L593" s="811" t="s">
        <v>1189</v>
      </c>
      <c r="M593" s="811" t="s">
        <v>1710</v>
      </c>
      <c r="N593" s="811" t="s">
        <v>1710</v>
      </c>
      <c r="O593" s="811" t="s">
        <v>1784</v>
      </c>
      <c r="P593" s="811" t="s">
        <v>1732</v>
      </c>
      <c r="Q593" s="811" t="s">
        <v>1785</v>
      </c>
    </row>
    <row r="594" spans="1:17" x14ac:dyDescent="0.3">
      <c r="A594" s="811" t="s">
        <v>1724</v>
      </c>
      <c r="B594" s="811" t="s">
        <v>2450</v>
      </c>
      <c r="C594" s="812">
        <v>17025000</v>
      </c>
      <c r="D594" s="811" t="s">
        <v>1502</v>
      </c>
      <c r="E594" s="811" t="s">
        <v>1502</v>
      </c>
      <c r="F594" s="811" t="s">
        <v>1726</v>
      </c>
      <c r="G594" s="811" t="s">
        <v>1727</v>
      </c>
      <c r="H594" s="811" t="s">
        <v>1728</v>
      </c>
      <c r="I594" s="811" t="s">
        <v>1729</v>
      </c>
      <c r="J594" s="813">
        <v>17025000</v>
      </c>
      <c r="K594" s="811" t="s">
        <v>1730</v>
      </c>
      <c r="L594" s="811" t="s">
        <v>1189</v>
      </c>
      <c r="M594" s="811" t="s">
        <v>1710</v>
      </c>
      <c r="N594" s="811" t="s">
        <v>1710</v>
      </c>
      <c r="O594" s="811" t="s">
        <v>1742</v>
      </c>
      <c r="P594" s="811" t="s">
        <v>1732</v>
      </c>
      <c r="Q594" s="811" t="s">
        <v>1743</v>
      </c>
    </row>
    <row r="595" spans="1:17" x14ac:dyDescent="0.3">
      <c r="A595" s="811" t="s">
        <v>1724</v>
      </c>
      <c r="B595" s="811" t="s">
        <v>2451</v>
      </c>
      <c r="C595" s="812">
        <v>42075000</v>
      </c>
      <c r="D595" s="811" t="s">
        <v>1502</v>
      </c>
      <c r="E595" s="811" t="s">
        <v>1502</v>
      </c>
      <c r="F595" s="811" t="s">
        <v>1726</v>
      </c>
      <c r="G595" s="811" t="s">
        <v>1727</v>
      </c>
      <c r="H595" s="811" t="s">
        <v>1728</v>
      </c>
      <c r="I595" s="811" t="s">
        <v>1729</v>
      </c>
      <c r="J595" s="813">
        <v>42075000</v>
      </c>
      <c r="K595" s="811" t="s">
        <v>1730</v>
      </c>
      <c r="L595" s="811" t="s">
        <v>1189</v>
      </c>
      <c r="M595" s="811" t="s">
        <v>1710</v>
      </c>
      <c r="N595" s="811" t="s">
        <v>1710</v>
      </c>
      <c r="O595" s="811" t="s">
        <v>1742</v>
      </c>
      <c r="P595" s="811" t="s">
        <v>1732</v>
      </c>
      <c r="Q595" s="811" t="s">
        <v>1743</v>
      </c>
    </row>
    <row r="596" spans="1:17" x14ac:dyDescent="0.3">
      <c r="A596" s="811" t="s">
        <v>1724</v>
      </c>
      <c r="B596" s="811" t="s">
        <v>2452</v>
      </c>
      <c r="C596" s="812">
        <v>35432514</v>
      </c>
      <c r="D596" s="811" t="s">
        <v>1502</v>
      </c>
      <c r="E596" s="811" t="s">
        <v>1502</v>
      </c>
      <c r="F596" s="811" t="s">
        <v>1737</v>
      </c>
      <c r="G596" s="811" t="s">
        <v>1727</v>
      </c>
      <c r="H596" s="811" t="s">
        <v>1728</v>
      </c>
      <c r="I596" s="811" t="s">
        <v>1729</v>
      </c>
      <c r="J596" s="813">
        <v>35432514</v>
      </c>
      <c r="K596" s="811" t="s">
        <v>1730</v>
      </c>
      <c r="L596" s="811" t="s">
        <v>1189</v>
      </c>
      <c r="M596" s="811" t="s">
        <v>1710</v>
      </c>
      <c r="N596" s="811" t="s">
        <v>1710</v>
      </c>
      <c r="O596" s="811" t="s">
        <v>1798</v>
      </c>
      <c r="P596" s="811" t="s">
        <v>1732</v>
      </c>
      <c r="Q596" s="811" t="s">
        <v>1799</v>
      </c>
    </row>
    <row r="597" spans="1:17" x14ac:dyDescent="0.3">
      <c r="A597" s="811" t="s">
        <v>1724</v>
      </c>
      <c r="B597" s="811" t="s">
        <v>2453</v>
      </c>
      <c r="C597" s="812">
        <v>14536416</v>
      </c>
      <c r="D597" s="811" t="s">
        <v>1502</v>
      </c>
      <c r="E597" s="811" t="s">
        <v>1502</v>
      </c>
      <c r="F597" s="811" t="s">
        <v>1793</v>
      </c>
      <c r="G597" s="811" t="s">
        <v>1727</v>
      </c>
      <c r="H597" s="811" t="s">
        <v>1728</v>
      </c>
      <c r="I597" s="811" t="s">
        <v>1729</v>
      </c>
      <c r="J597" s="813">
        <v>14536416</v>
      </c>
      <c r="K597" s="811" t="s">
        <v>1730</v>
      </c>
      <c r="L597" s="811" t="s">
        <v>1189</v>
      </c>
      <c r="M597" s="811" t="s">
        <v>1710</v>
      </c>
      <c r="N597" s="811" t="s">
        <v>1710</v>
      </c>
      <c r="O597" s="811" t="s">
        <v>1798</v>
      </c>
      <c r="P597" s="811" t="s">
        <v>1732</v>
      </c>
      <c r="Q597" s="811" t="s">
        <v>1799</v>
      </c>
    </row>
    <row r="598" spans="1:17" x14ac:dyDescent="0.3">
      <c r="A598" s="811" t="s">
        <v>1724</v>
      </c>
      <c r="B598" s="811" t="s">
        <v>2454</v>
      </c>
      <c r="C598" s="812">
        <v>20441835</v>
      </c>
      <c r="D598" s="811" t="s">
        <v>1611</v>
      </c>
      <c r="E598" s="811" t="s">
        <v>1611</v>
      </c>
      <c r="F598" s="811" t="s">
        <v>1814</v>
      </c>
      <c r="G598" s="811" t="s">
        <v>1727</v>
      </c>
      <c r="H598" s="811" t="s">
        <v>1728</v>
      </c>
      <c r="I598" s="811" t="s">
        <v>1729</v>
      </c>
      <c r="J598" s="813">
        <v>20441835</v>
      </c>
      <c r="K598" s="811" t="s">
        <v>1730</v>
      </c>
      <c r="L598" s="811" t="s">
        <v>1189</v>
      </c>
      <c r="M598" s="811" t="s">
        <v>1710</v>
      </c>
      <c r="N598" s="811" t="s">
        <v>1710</v>
      </c>
      <c r="O598" s="811" t="s">
        <v>1920</v>
      </c>
      <c r="P598" s="811" t="s">
        <v>1732</v>
      </c>
      <c r="Q598" s="811" t="s">
        <v>1785</v>
      </c>
    </row>
    <row r="599" spans="1:17" x14ac:dyDescent="0.3">
      <c r="A599" s="811" t="s">
        <v>1724</v>
      </c>
      <c r="B599" s="811" t="s">
        <v>2455</v>
      </c>
      <c r="C599" s="812">
        <v>44958672</v>
      </c>
      <c r="D599" s="811" t="s">
        <v>1505</v>
      </c>
      <c r="E599" s="811" t="s">
        <v>1505</v>
      </c>
      <c r="F599" s="811" t="s">
        <v>1764</v>
      </c>
      <c r="G599" s="811" t="s">
        <v>1727</v>
      </c>
      <c r="H599" s="811" t="s">
        <v>1728</v>
      </c>
      <c r="I599" s="811" t="s">
        <v>1729</v>
      </c>
      <c r="J599" s="813">
        <v>44958672</v>
      </c>
      <c r="K599" s="811" t="s">
        <v>1730</v>
      </c>
      <c r="L599" s="811" t="s">
        <v>1189</v>
      </c>
      <c r="M599" s="811" t="s">
        <v>1710</v>
      </c>
      <c r="N599" s="811" t="s">
        <v>1710</v>
      </c>
      <c r="O599" s="811" t="s">
        <v>1920</v>
      </c>
      <c r="P599" s="811" t="s">
        <v>1732</v>
      </c>
      <c r="Q599" s="811" t="s">
        <v>1785</v>
      </c>
    </row>
    <row r="600" spans="1:17" x14ac:dyDescent="0.3">
      <c r="A600" s="811" t="s">
        <v>1724</v>
      </c>
      <c r="B600" s="811" t="s">
        <v>2456</v>
      </c>
      <c r="C600" s="812">
        <v>43056000</v>
      </c>
      <c r="D600" s="811" t="s">
        <v>1501</v>
      </c>
      <c r="E600" s="811" t="s">
        <v>1611</v>
      </c>
      <c r="F600" s="811" t="s">
        <v>1726</v>
      </c>
      <c r="G600" s="811" t="s">
        <v>1727</v>
      </c>
      <c r="H600" s="811" t="s">
        <v>1728</v>
      </c>
      <c r="I600" s="811" t="s">
        <v>1729</v>
      </c>
      <c r="J600" s="813">
        <v>43056000</v>
      </c>
      <c r="K600" s="811" t="s">
        <v>1730</v>
      </c>
      <c r="L600" s="811" t="s">
        <v>1189</v>
      </c>
      <c r="M600" s="811" t="s">
        <v>1710</v>
      </c>
      <c r="N600" s="811" t="s">
        <v>1710</v>
      </c>
      <c r="O600" s="811" t="s">
        <v>1774</v>
      </c>
      <c r="P600" s="811" t="s">
        <v>1732</v>
      </c>
      <c r="Q600" s="811" t="s">
        <v>1775</v>
      </c>
    </row>
    <row r="601" spans="1:17" x14ac:dyDescent="0.3">
      <c r="A601" s="811" t="s">
        <v>1724</v>
      </c>
      <c r="B601" s="811" t="s">
        <v>2457</v>
      </c>
      <c r="C601" s="812">
        <v>56000000</v>
      </c>
      <c r="D601" s="811" t="s">
        <v>1501</v>
      </c>
      <c r="E601" s="811" t="s">
        <v>1501</v>
      </c>
      <c r="F601" s="811" t="s">
        <v>1726</v>
      </c>
      <c r="G601" s="811" t="s">
        <v>1727</v>
      </c>
      <c r="H601" s="811" t="s">
        <v>1728</v>
      </c>
      <c r="I601" s="811" t="s">
        <v>1729</v>
      </c>
      <c r="J601" s="813">
        <v>56000000</v>
      </c>
      <c r="K601" s="811" t="s">
        <v>1730</v>
      </c>
      <c r="L601" s="811" t="s">
        <v>1189</v>
      </c>
      <c r="M601" s="811" t="s">
        <v>1710</v>
      </c>
      <c r="N601" s="811" t="s">
        <v>1710</v>
      </c>
      <c r="O601" s="811" t="s">
        <v>1804</v>
      </c>
      <c r="P601" s="811" t="s">
        <v>1732</v>
      </c>
      <c r="Q601" s="811" t="s">
        <v>1739</v>
      </c>
    </row>
    <row r="602" spans="1:17" x14ac:dyDescent="0.3">
      <c r="A602" s="811" t="s">
        <v>1724</v>
      </c>
      <c r="B602" s="811" t="s">
        <v>2458</v>
      </c>
      <c r="C602" s="812">
        <v>13926000</v>
      </c>
      <c r="D602" s="811" t="s">
        <v>1501</v>
      </c>
      <c r="E602" s="811" t="s">
        <v>1501</v>
      </c>
      <c r="F602" s="811" t="s">
        <v>1737</v>
      </c>
      <c r="G602" s="811" t="s">
        <v>1727</v>
      </c>
      <c r="H602" s="811" t="s">
        <v>1728</v>
      </c>
      <c r="I602" s="811" t="s">
        <v>1729</v>
      </c>
      <c r="J602" s="813">
        <v>13926000</v>
      </c>
      <c r="K602" s="811" t="s">
        <v>1730</v>
      </c>
      <c r="L602" s="811" t="s">
        <v>1189</v>
      </c>
      <c r="M602" s="811" t="s">
        <v>1710</v>
      </c>
      <c r="N602" s="811" t="s">
        <v>1710</v>
      </c>
      <c r="O602" s="811" t="s">
        <v>1804</v>
      </c>
      <c r="P602" s="811" t="s">
        <v>1732</v>
      </c>
      <c r="Q602" s="811" t="s">
        <v>1739</v>
      </c>
    </row>
    <row r="603" spans="1:17" x14ac:dyDescent="0.3">
      <c r="A603" s="811" t="s">
        <v>1724</v>
      </c>
      <c r="B603" s="811" t="s">
        <v>2459</v>
      </c>
      <c r="C603" s="812">
        <v>13926000</v>
      </c>
      <c r="D603" s="811" t="s">
        <v>1501</v>
      </c>
      <c r="E603" s="811" t="s">
        <v>1501</v>
      </c>
      <c r="F603" s="811" t="s">
        <v>1737</v>
      </c>
      <c r="G603" s="811" t="s">
        <v>1727</v>
      </c>
      <c r="H603" s="811" t="s">
        <v>1728</v>
      </c>
      <c r="I603" s="811" t="s">
        <v>1729</v>
      </c>
      <c r="J603" s="813">
        <v>13926000</v>
      </c>
      <c r="K603" s="811" t="s">
        <v>1730</v>
      </c>
      <c r="L603" s="811" t="s">
        <v>1189</v>
      </c>
      <c r="M603" s="811" t="s">
        <v>1710</v>
      </c>
      <c r="N603" s="811" t="s">
        <v>1710</v>
      </c>
      <c r="O603" s="811" t="s">
        <v>1804</v>
      </c>
      <c r="P603" s="811" t="s">
        <v>1732</v>
      </c>
      <c r="Q603" s="811" t="s">
        <v>1739</v>
      </c>
    </row>
    <row r="604" spans="1:17" x14ac:dyDescent="0.3">
      <c r="A604" s="811" t="s">
        <v>1724</v>
      </c>
      <c r="B604" s="811" t="s">
        <v>2460</v>
      </c>
      <c r="C604" s="812">
        <v>25200000</v>
      </c>
      <c r="D604" s="811" t="s">
        <v>1501</v>
      </c>
      <c r="E604" s="811" t="s">
        <v>1501</v>
      </c>
      <c r="F604" s="811" t="s">
        <v>1737</v>
      </c>
      <c r="G604" s="811" t="s">
        <v>1727</v>
      </c>
      <c r="H604" s="811" t="s">
        <v>1728</v>
      </c>
      <c r="I604" s="811" t="s">
        <v>1729</v>
      </c>
      <c r="J604" s="813">
        <v>25200000</v>
      </c>
      <c r="K604" s="811" t="s">
        <v>1730</v>
      </c>
      <c r="L604" s="811" t="s">
        <v>1189</v>
      </c>
      <c r="M604" s="811" t="s">
        <v>1710</v>
      </c>
      <c r="N604" s="811" t="s">
        <v>1710</v>
      </c>
      <c r="O604" s="811" t="s">
        <v>1804</v>
      </c>
      <c r="P604" s="811" t="s">
        <v>1732</v>
      </c>
      <c r="Q604" s="811" t="s">
        <v>1739</v>
      </c>
    </row>
    <row r="605" spans="1:17" x14ac:dyDescent="0.3">
      <c r="A605" s="811" t="s">
        <v>1724</v>
      </c>
      <c r="B605" s="811" t="s">
        <v>2461</v>
      </c>
      <c r="C605" s="812">
        <v>45000000</v>
      </c>
      <c r="D605" s="811" t="s">
        <v>1501</v>
      </c>
      <c r="E605" s="811" t="s">
        <v>1501</v>
      </c>
      <c r="F605" s="811" t="s">
        <v>1737</v>
      </c>
      <c r="G605" s="811" t="s">
        <v>1727</v>
      </c>
      <c r="H605" s="811" t="s">
        <v>1728</v>
      </c>
      <c r="I605" s="811" t="s">
        <v>1729</v>
      </c>
      <c r="J605" s="813">
        <v>45000000</v>
      </c>
      <c r="K605" s="811" t="s">
        <v>1730</v>
      </c>
      <c r="L605" s="811" t="s">
        <v>1189</v>
      </c>
      <c r="M605" s="811" t="s">
        <v>1710</v>
      </c>
      <c r="N605" s="811" t="s">
        <v>1710</v>
      </c>
      <c r="O605" s="811" t="s">
        <v>1804</v>
      </c>
      <c r="P605" s="811" t="s">
        <v>1732</v>
      </c>
      <c r="Q605" s="811" t="s">
        <v>1739</v>
      </c>
    </row>
    <row r="606" spans="1:17" x14ac:dyDescent="0.3">
      <c r="A606" s="811" t="s">
        <v>1724</v>
      </c>
      <c r="B606" s="811" t="s">
        <v>2462</v>
      </c>
      <c r="C606" s="812">
        <v>42000000</v>
      </c>
      <c r="D606" s="811" t="s">
        <v>1501</v>
      </c>
      <c r="E606" s="811" t="s">
        <v>1501</v>
      </c>
      <c r="F606" s="811" t="s">
        <v>1737</v>
      </c>
      <c r="G606" s="811" t="s">
        <v>1727</v>
      </c>
      <c r="H606" s="811" t="s">
        <v>1728</v>
      </c>
      <c r="I606" s="811" t="s">
        <v>1729</v>
      </c>
      <c r="J606" s="813">
        <v>42000000</v>
      </c>
      <c r="K606" s="811" t="s">
        <v>1730</v>
      </c>
      <c r="L606" s="811" t="s">
        <v>1189</v>
      </c>
      <c r="M606" s="811" t="s">
        <v>1710</v>
      </c>
      <c r="N606" s="811" t="s">
        <v>1710</v>
      </c>
      <c r="O606" s="811" t="s">
        <v>1804</v>
      </c>
      <c r="P606" s="811" t="s">
        <v>1732</v>
      </c>
      <c r="Q606" s="811" t="s">
        <v>1739</v>
      </c>
    </row>
    <row r="607" spans="1:17" x14ac:dyDescent="0.3">
      <c r="A607" s="811" t="s">
        <v>1724</v>
      </c>
      <c r="B607" s="811" t="s">
        <v>2463</v>
      </c>
      <c r="C607" s="812">
        <v>42000000</v>
      </c>
      <c r="D607" s="811" t="s">
        <v>1501</v>
      </c>
      <c r="E607" s="811" t="s">
        <v>1501</v>
      </c>
      <c r="F607" s="811" t="s">
        <v>1737</v>
      </c>
      <c r="G607" s="811" t="s">
        <v>1727</v>
      </c>
      <c r="H607" s="811" t="s">
        <v>1728</v>
      </c>
      <c r="I607" s="811" t="s">
        <v>1729</v>
      </c>
      <c r="J607" s="813">
        <v>42000000</v>
      </c>
      <c r="K607" s="811" t="s">
        <v>1730</v>
      </c>
      <c r="L607" s="811" t="s">
        <v>1189</v>
      </c>
      <c r="M607" s="811" t="s">
        <v>1710</v>
      </c>
      <c r="N607" s="811" t="s">
        <v>1710</v>
      </c>
      <c r="O607" s="811" t="s">
        <v>1804</v>
      </c>
      <c r="P607" s="811" t="s">
        <v>1732</v>
      </c>
      <c r="Q607" s="811" t="s">
        <v>1739</v>
      </c>
    </row>
    <row r="608" spans="1:17" x14ac:dyDescent="0.3">
      <c r="A608" s="811" t="s">
        <v>1724</v>
      </c>
      <c r="B608" s="811" t="s">
        <v>2464</v>
      </c>
      <c r="C608" s="812">
        <v>24589800</v>
      </c>
      <c r="D608" s="811" t="s">
        <v>1502</v>
      </c>
      <c r="E608" s="811" t="s">
        <v>1509</v>
      </c>
      <c r="F608" s="811" t="s">
        <v>1737</v>
      </c>
      <c r="G608" s="811" t="s">
        <v>1727</v>
      </c>
      <c r="H608" s="811" t="s">
        <v>1728</v>
      </c>
      <c r="I608" s="811" t="s">
        <v>1729</v>
      </c>
      <c r="J608" s="813">
        <v>24589800</v>
      </c>
      <c r="K608" s="811" t="s">
        <v>1730</v>
      </c>
      <c r="L608" s="811" t="s">
        <v>1189</v>
      </c>
      <c r="M608" s="811" t="s">
        <v>1710</v>
      </c>
      <c r="N608" s="811" t="s">
        <v>1710</v>
      </c>
      <c r="O608" s="811" t="s">
        <v>1804</v>
      </c>
      <c r="P608" s="811" t="s">
        <v>1732</v>
      </c>
      <c r="Q608" s="811" t="s">
        <v>1739</v>
      </c>
    </row>
    <row r="609" spans="1:17" x14ac:dyDescent="0.3">
      <c r="A609" s="811" t="s">
        <v>1724</v>
      </c>
      <c r="B609" s="811" t="s">
        <v>2465</v>
      </c>
      <c r="C609" s="812">
        <v>42000000</v>
      </c>
      <c r="D609" s="811" t="s">
        <v>1501</v>
      </c>
      <c r="E609" s="811" t="s">
        <v>1501</v>
      </c>
      <c r="F609" s="811" t="s">
        <v>1737</v>
      </c>
      <c r="G609" s="811" t="s">
        <v>1727</v>
      </c>
      <c r="H609" s="811" t="s">
        <v>1728</v>
      </c>
      <c r="I609" s="811" t="s">
        <v>1729</v>
      </c>
      <c r="J609" s="813">
        <v>42000000</v>
      </c>
      <c r="K609" s="811" t="s">
        <v>1730</v>
      </c>
      <c r="L609" s="811" t="s">
        <v>1189</v>
      </c>
      <c r="M609" s="811" t="s">
        <v>1710</v>
      </c>
      <c r="N609" s="811" t="s">
        <v>1710</v>
      </c>
      <c r="O609" s="811" t="s">
        <v>1804</v>
      </c>
      <c r="P609" s="811" t="s">
        <v>1732</v>
      </c>
      <c r="Q609" s="811" t="s">
        <v>1739</v>
      </c>
    </row>
    <row r="610" spans="1:17" x14ac:dyDescent="0.3">
      <c r="A610" s="811" t="s">
        <v>1724</v>
      </c>
      <c r="B610" s="811" t="s">
        <v>2466</v>
      </c>
      <c r="C610" s="812">
        <v>90000000</v>
      </c>
      <c r="D610" s="811" t="s">
        <v>1501</v>
      </c>
      <c r="E610" s="811" t="s">
        <v>1501</v>
      </c>
      <c r="F610" s="811" t="s">
        <v>1737</v>
      </c>
      <c r="G610" s="811" t="s">
        <v>1727</v>
      </c>
      <c r="H610" s="811" t="s">
        <v>1728</v>
      </c>
      <c r="I610" s="811" t="s">
        <v>1729</v>
      </c>
      <c r="J610" s="813">
        <v>90000000</v>
      </c>
      <c r="K610" s="811" t="s">
        <v>1730</v>
      </c>
      <c r="L610" s="811" t="s">
        <v>1189</v>
      </c>
      <c r="M610" s="811" t="s">
        <v>1710</v>
      </c>
      <c r="N610" s="811" t="s">
        <v>1710</v>
      </c>
      <c r="O610" s="811" t="s">
        <v>1804</v>
      </c>
      <c r="P610" s="811" t="s">
        <v>1732</v>
      </c>
      <c r="Q610" s="811" t="s">
        <v>1739</v>
      </c>
    </row>
    <row r="611" spans="1:17" x14ac:dyDescent="0.3">
      <c r="A611" s="811" t="s">
        <v>1724</v>
      </c>
      <c r="B611" s="811" t="s">
        <v>2467</v>
      </c>
      <c r="C611" s="812">
        <v>90000000</v>
      </c>
      <c r="D611" s="811" t="s">
        <v>1501</v>
      </c>
      <c r="E611" s="811" t="s">
        <v>1501</v>
      </c>
      <c r="F611" s="811" t="s">
        <v>1737</v>
      </c>
      <c r="G611" s="811" t="s">
        <v>1727</v>
      </c>
      <c r="H611" s="811" t="s">
        <v>1728</v>
      </c>
      <c r="I611" s="811" t="s">
        <v>1729</v>
      </c>
      <c r="J611" s="813">
        <v>90000000</v>
      </c>
      <c r="K611" s="811" t="s">
        <v>1730</v>
      </c>
      <c r="L611" s="811" t="s">
        <v>1189</v>
      </c>
      <c r="M611" s="811" t="s">
        <v>1710</v>
      </c>
      <c r="N611" s="811" t="s">
        <v>1710</v>
      </c>
      <c r="O611" s="811" t="s">
        <v>1804</v>
      </c>
      <c r="P611" s="811" t="s">
        <v>1732</v>
      </c>
      <c r="Q611" s="811" t="s">
        <v>1739</v>
      </c>
    </row>
    <row r="612" spans="1:17" x14ac:dyDescent="0.3">
      <c r="A612" s="811" t="s">
        <v>1724</v>
      </c>
      <c r="B612" s="811" t="s">
        <v>2468</v>
      </c>
      <c r="C612" s="812">
        <v>26100000</v>
      </c>
      <c r="D612" s="811" t="s">
        <v>1501</v>
      </c>
      <c r="E612" s="811" t="s">
        <v>1501</v>
      </c>
      <c r="F612" s="811" t="s">
        <v>1741</v>
      </c>
      <c r="G612" s="811" t="s">
        <v>1727</v>
      </c>
      <c r="H612" s="811" t="s">
        <v>1728</v>
      </c>
      <c r="I612" s="811" t="s">
        <v>1729</v>
      </c>
      <c r="J612" s="813">
        <v>26100000</v>
      </c>
      <c r="K612" s="811" t="s">
        <v>1730</v>
      </c>
      <c r="L612" s="811" t="s">
        <v>1189</v>
      </c>
      <c r="M612" s="811" t="s">
        <v>1710</v>
      </c>
      <c r="N612" s="811" t="s">
        <v>1710</v>
      </c>
      <c r="O612" s="811" t="s">
        <v>1756</v>
      </c>
      <c r="P612" s="811" t="s">
        <v>1732</v>
      </c>
      <c r="Q612" s="811" t="s">
        <v>1757</v>
      </c>
    </row>
    <row r="613" spans="1:17" x14ac:dyDescent="0.3">
      <c r="A613" s="811" t="s">
        <v>1724</v>
      </c>
      <c r="B613" s="811" t="s">
        <v>2469</v>
      </c>
      <c r="C613" s="812">
        <v>44972037</v>
      </c>
      <c r="D613" s="811" t="s">
        <v>1501</v>
      </c>
      <c r="E613" s="811" t="s">
        <v>1501</v>
      </c>
      <c r="F613" s="811" t="s">
        <v>1741</v>
      </c>
      <c r="G613" s="811" t="s">
        <v>1727</v>
      </c>
      <c r="H613" s="811" t="s">
        <v>1728</v>
      </c>
      <c r="I613" s="811" t="s">
        <v>1729</v>
      </c>
      <c r="J613" s="813">
        <v>44972037</v>
      </c>
      <c r="K613" s="811" t="s">
        <v>1730</v>
      </c>
      <c r="L613" s="811" t="s">
        <v>1189</v>
      </c>
      <c r="M613" s="811" t="s">
        <v>1710</v>
      </c>
      <c r="N613" s="811" t="s">
        <v>1710</v>
      </c>
      <c r="O613" s="811" t="s">
        <v>1756</v>
      </c>
      <c r="P613" s="811" t="s">
        <v>1732</v>
      </c>
      <c r="Q613" s="811" t="s">
        <v>1757</v>
      </c>
    </row>
    <row r="614" spans="1:17" x14ac:dyDescent="0.3">
      <c r="A614" s="811" t="s">
        <v>1724</v>
      </c>
      <c r="B614" s="811" t="s">
        <v>2470</v>
      </c>
      <c r="C614" s="812">
        <v>50150000</v>
      </c>
      <c r="D614" s="811" t="s">
        <v>1611</v>
      </c>
      <c r="E614" s="811" t="s">
        <v>1611</v>
      </c>
      <c r="F614" s="811" t="s">
        <v>1726</v>
      </c>
      <c r="G614" s="811" t="s">
        <v>1727</v>
      </c>
      <c r="H614" s="811" t="s">
        <v>1728</v>
      </c>
      <c r="I614" s="811" t="s">
        <v>1729</v>
      </c>
      <c r="J614" s="813">
        <v>50150000</v>
      </c>
      <c r="K614" s="811" t="s">
        <v>1730</v>
      </c>
      <c r="L614" s="811" t="s">
        <v>1189</v>
      </c>
      <c r="M614" s="811" t="s">
        <v>1710</v>
      </c>
      <c r="N614" s="811" t="s">
        <v>1710</v>
      </c>
      <c r="O614" s="811" t="s">
        <v>1761</v>
      </c>
      <c r="P614" s="811" t="s">
        <v>1732</v>
      </c>
      <c r="Q614" s="811" t="s">
        <v>1733</v>
      </c>
    </row>
    <row r="615" spans="1:17" x14ac:dyDescent="0.3">
      <c r="A615" s="811" t="s">
        <v>1724</v>
      </c>
      <c r="B615" s="811" t="s">
        <v>2471</v>
      </c>
      <c r="C615" s="812">
        <v>50150000</v>
      </c>
      <c r="D615" s="811" t="s">
        <v>1611</v>
      </c>
      <c r="E615" s="811" t="s">
        <v>1611</v>
      </c>
      <c r="F615" s="811" t="s">
        <v>1726</v>
      </c>
      <c r="G615" s="811" t="s">
        <v>1727</v>
      </c>
      <c r="H615" s="811" t="s">
        <v>1728</v>
      </c>
      <c r="I615" s="811" t="s">
        <v>1729</v>
      </c>
      <c r="J615" s="813">
        <v>50150000</v>
      </c>
      <c r="K615" s="811" t="s">
        <v>1730</v>
      </c>
      <c r="L615" s="811" t="s">
        <v>1189</v>
      </c>
      <c r="M615" s="811" t="s">
        <v>1710</v>
      </c>
      <c r="N615" s="811" t="s">
        <v>1710</v>
      </c>
      <c r="O615" s="811" t="s">
        <v>1761</v>
      </c>
      <c r="P615" s="811" t="s">
        <v>1732</v>
      </c>
      <c r="Q615" s="811" t="s">
        <v>1733</v>
      </c>
    </row>
    <row r="616" spans="1:17" x14ac:dyDescent="0.3">
      <c r="A616" s="811" t="s">
        <v>1724</v>
      </c>
      <c r="B616" s="811" t="s">
        <v>2472</v>
      </c>
      <c r="C616" s="812">
        <v>33000000</v>
      </c>
      <c r="D616" s="811" t="s">
        <v>1611</v>
      </c>
      <c r="E616" s="811" t="s">
        <v>1611</v>
      </c>
      <c r="F616" s="811" t="s">
        <v>1726</v>
      </c>
      <c r="G616" s="811" t="s">
        <v>1727</v>
      </c>
      <c r="H616" s="811" t="s">
        <v>1728</v>
      </c>
      <c r="I616" s="811" t="s">
        <v>1729</v>
      </c>
      <c r="J616" s="813">
        <v>33000000</v>
      </c>
      <c r="K616" s="811" t="s">
        <v>1730</v>
      </c>
      <c r="L616" s="811" t="s">
        <v>1189</v>
      </c>
      <c r="M616" s="811" t="s">
        <v>1710</v>
      </c>
      <c r="N616" s="811" t="s">
        <v>1710</v>
      </c>
      <c r="O616" s="811" t="s">
        <v>1761</v>
      </c>
      <c r="P616" s="811" t="s">
        <v>1732</v>
      </c>
      <c r="Q616" s="811" t="s">
        <v>1733</v>
      </c>
    </row>
    <row r="617" spans="1:17" x14ac:dyDescent="0.3">
      <c r="A617" s="811" t="s">
        <v>1724</v>
      </c>
      <c r="B617" s="811" t="s">
        <v>2473</v>
      </c>
      <c r="C617" s="812">
        <v>33000000</v>
      </c>
      <c r="D617" s="811" t="s">
        <v>1611</v>
      </c>
      <c r="E617" s="811" t="s">
        <v>1611</v>
      </c>
      <c r="F617" s="811" t="s">
        <v>1726</v>
      </c>
      <c r="G617" s="811" t="s">
        <v>1727</v>
      </c>
      <c r="H617" s="811" t="s">
        <v>1728</v>
      </c>
      <c r="I617" s="811" t="s">
        <v>1729</v>
      </c>
      <c r="J617" s="813">
        <v>33000000</v>
      </c>
      <c r="K617" s="811" t="s">
        <v>1730</v>
      </c>
      <c r="L617" s="811" t="s">
        <v>1189</v>
      </c>
      <c r="M617" s="811" t="s">
        <v>1710</v>
      </c>
      <c r="N617" s="811" t="s">
        <v>1710</v>
      </c>
      <c r="O617" s="811" t="s">
        <v>1761</v>
      </c>
      <c r="P617" s="811" t="s">
        <v>1732</v>
      </c>
      <c r="Q617" s="811" t="s">
        <v>1733</v>
      </c>
    </row>
    <row r="618" spans="1:17" x14ac:dyDescent="0.3">
      <c r="A618" s="811" t="s">
        <v>1724</v>
      </c>
      <c r="B618" s="811" t="s">
        <v>2474</v>
      </c>
      <c r="C618" s="812">
        <v>53100000</v>
      </c>
      <c r="D618" s="811" t="s">
        <v>1611</v>
      </c>
      <c r="E618" s="811" t="s">
        <v>1611</v>
      </c>
      <c r="F618" s="811" t="s">
        <v>1726</v>
      </c>
      <c r="G618" s="811" t="s">
        <v>1727</v>
      </c>
      <c r="H618" s="811" t="s">
        <v>1728</v>
      </c>
      <c r="I618" s="811" t="s">
        <v>1729</v>
      </c>
      <c r="J618" s="813">
        <v>53100000</v>
      </c>
      <c r="K618" s="811" t="s">
        <v>1730</v>
      </c>
      <c r="L618" s="811" t="s">
        <v>1189</v>
      </c>
      <c r="M618" s="811" t="s">
        <v>1710</v>
      </c>
      <c r="N618" s="811" t="s">
        <v>1710</v>
      </c>
      <c r="O618" s="811" t="s">
        <v>1761</v>
      </c>
      <c r="P618" s="811" t="s">
        <v>1732</v>
      </c>
      <c r="Q618" s="811" t="s">
        <v>1733</v>
      </c>
    </row>
    <row r="619" spans="1:17" x14ac:dyDescent="0.3">
      <c r="A619" s="811" t="s">
        <v>1724</v>
      </c>
      <c r="B619" s="811" t="s">
        <v>2475</v>
      </c>
      <c r="C619" s="812">
        <v>32400000</v>
      </c>
      <c r="D619" s="811" t="s">
        <v>1611</v>
      </c>
      <c r="E619" s="811" t="s">
        <v>1611</v>
      </c>
      <c r="F619" s="811" t="s">
        <v>1726</v>
      </c>
      <c r="G619" s="811" t="s">
        <v>1727</v>
      </c>
      <c r="H619" s="811" t="s">
        <v>1728</v>
      </c>
      <c r="I619" s="811" t="s">
        <v>1729</v>
      </c>
      <c r="J619" s="813">
        <v>32400000</v>
      </c>
      <c r="K619" s="811" t="s">
        <v>1730</v>
      </c>
      <c r="L619" s="811" t="s">
        <v>1189</v>
      </c>
      <c r="M619" s="811" t="s">
        <v>1710</v>
      </c>
      <c r="N619" s="811" t="s">
        <v>1710</v>
      </c>
      <c r="O619" s="811" t="s">
        <v>1761</v>
      </c>
      <c r="P619" s="811" t="s">
        <v>1732</v>
      </c>
      <c r="Q619" s="811" t="s">
        <v>1733</v>
      </c>
    </row>
    <row r="620" spans="1:17" x14ac:dyDescent="0.3">
      <c r="A620" s="811" t="s">
        <v>1724</v>
      </c>
      <c r="B620" s="811" t="s">
        <v>2476</v>
      </c>
      <c r="C620" s="812">
        <v>36000000</v>
      </c>
      <c r="D620" s="811" t="s">
        <v>1611</v>
      </c>
      <c r="E620" s="811" t="s">
        <v>1611</v>
      </c>
      <c r="F620" s="811" t="s">
        <v>1726</v>
      </c>
      <c r="G620" s="811" t="s">
        <v>1727</v>
      </c>
      <c r="H620" s="811" t="s">
        <v>1728</v>
      </c>
      <c r="I620" s="811" t="s">
        <v>1729</v>
      </c>
      <c r="J620" s="813">
        <v>36000000</v>
      </c>
      <c r="K620" s="811" t="s">
        <v>1730</v>
      </c>
      <c r="L620" s="811" t="s">
        <v>1189</v>
      </c>
      <c r="M620" s="811" t="s">
        <v>1710</v>
      </c>
      <c r="N620" s="811" t="s">
        <v>1710</v>
      </c>
      <c r="O620" s="811" t="s">
        <v>1761</v>
      </c>
      <c r="P620" s="811" t="s">
        <v>1732</v>
      </c>
      <c r="Q620" s="811" t="s">
        <v>1733</v>
      </c>
    </row>
    <row r="621" spans="1:17" x14ac:dyDescent="0.3">
      <c r="A621" s="811" t="s">
        <v>1724</v>
      </c>
      <c r="B621" s="811" t="s">
        <v>2477</v>
      </c>
      <c r="C621" s="812">
        <v>21804624</v>
      </c>
      <c r="D621" s="811" t="s">
        <v>1505</v>
      </c>
      <c r="E621" s="811" t="s">
        <v>1505</v>
      </c>
      <c r="F621" s="811" t="s">
        <v>2074</v>
      </c>
      <c r="G621" s="811" t="s">
        <v>1727</v>
      </c>
      <c r="H621" s="811" t="s">
        <v>1728</v>
      </c>
      <c r="I621" s="811" t="s">
        <v>1729</v>
      </c>
      <c r="J621" s="813">
        <v>21804624</v>
      </c>
      <c r="K621" s="811" t="s">
        <v>1730</v>
      </c>
      <c r="L621" s="811" t="s">
        <v>1189</v>
      </c>
      <c r="M621" s="811" t="s">
        <v>1710</v>
      </c>
      <c r="N621" s="811" t="s">
        <v>1710</v>
      </c>
      <c r="O621" s="811" t="s">
        <v>2209</v>
      </c>
      <c r="P621" s="811" t="s">
        <v>1732</v>
      </c>
      <c r="Q621" s="811" t="s">
        <v>1799</v>
      </c>
    </row>
    <row r="622" spans="1:17" x14ac:dyDescent="0.3">
      <c r="A622" s="811" t="s">
        <v>1724</v>
      </c>
      <c r="B622" s="811" t="s">
        <v>2478</v>
      </c>
      <c r="C622" s="812">
        <v>85250000</v>
      </c>
      <c r="D622" s="811" t="s">
        <v>1495</v>
      </c>
      <c r="E622" s="811" t="s">
        <v>1495</v>
      </c>
      <c r="F622" s="811" t="s">
        <v>1764</v>
      </c>
      <c r="G622" s="811" t="s">
        <v>1727</v>
      </c>
      <c r="H622" s="811" t="s">
        <v>1728</v>
      </c>
      <c r="I622" s="811" t="s">
        <v>1729</v>
      </c>
      <c r="J622" s="813">
        <v>85250000</v>
      </c>
      <c r="K622" s="811" t="s">
        <v>1730</v>
      </c>
      <c r="L622" s="811" t="s">
        <v>1189</v>
      </c>
      <c r="M622" s="811" t="s">
        <v>1710</v>
      </c>
      <c r="N622" s="811" t="s">
        <v>1710</v>
      </c>
      <c r="O622" s="811" t="s">
        <v>1756</v>
      </c>
      <c r="P622" s="811" t="s">
        <v>1732</v>
      </c>
      <c r="Q622" s="811" t="s">
        <v>1757</v>
      </c>
    </row>
    <row r="623" spans="1:17" x14ac:dyDescent="0.3">
      <c r="A623" s="811" t="s">
        <v>1724</v>
      </c>
      <c r="B623" s="811" t="s">
        <v>2479</v>
      </c>
      <c r="C623" s="812">
        <v>58300000</v>
      </c>
      <c r="D623" s="811" t="s">
        <v>1611</v>
      </c>
      <c r="E623" s="811" t="s">
        <v>1611</v>
      </c>
      <c r="F623" s="811" t="s">
        <v>1764</v>
      </c>
      <c r="G623" s="811" t="s">
        <v>1727</v>
      </c>
      <c r="H623" s="811" t="s">
        <v>1728</v>
      </c>
      <c r="I623" s="811" t="s">
        <v>1729</v>
      </c>
      <c r="J623" s="813">
        <v>58300000</v>
      </c>
      <c r="K623" s="811" t="s">
        <v>1730</v>
      </c>
      <c r="L623" s="811" t="s">
        <v>1189</v>
      </c>
      <c r="M623" s="811" t="s">
        <v>1710</v>
      </c>
      <c r="N623" s="811" t="s">
        <v>1710</v>
      </c>
      <c r="O623" s="811" t="s">
        <v>1834</v>
      </c>
      <c r="P623" s="811" t="s">
        <v>1835</v>
      </c>
      <c r="Q623" s="811" t="s">
        <v>1733</v>
      </c>
    </row>
    <row r="624" spans="1:17" x14ac:dyDescent="0.3">
      <c r="A624" s="811" t="s">
        <v>1724</v>
      </c>
      <c r="B624" s="811" t="s">
        <v>2480</v>
      </c>
      <c r="C624" s="812">
        <v>54712000</v>
      </c>
      <c r="D624" s="811" t="s">
        <v>1505</v>
      </c>
      <c r="E624" s="811" t="s">
        <v>1505</v>
      </c>
      <c r="F624" s="811" t="s">
        <v>1764</v>
      </c>
      <c r="G624" s="811" t="s">
        <v>1727</v>
      </c>
      <c r="H624" s="811" t="s">
        <v>1728</v>
      </c>
      <c r="I624" s="811" t="s">
        <v>1729</v>
      </c>
      <c r="J624" s="813">
        <v>54712000</v>
      </c>
      <c r="K624" s="811" t="s">
        <v>1730</v>
      </c>
      <c r="L624" s="811" t="s">
        <v>1189</v>
      </c>
      <c r="M624" s="811" t="s">
        <v>1710</v>
      </c>
      <c r="N624" s="811" t="s">
        <v>1710</v>
      </c>
      <c r="O624" s="811" t="s">
        <v>1834</v>
      </c>
      <c r="P624" s="811" t="s">
        <v>2481</v>
      </c>
      <c r="Q624" s="811" t="s">
        <v>1733</v>
      </c>
    </row>
    <row r="625" spans="1:17" x14ac:dyDescent="0.3">
      <c r="A625" s="811" t="s">
        <v>1724</v>
      </c>
      <c r="B625" s="811" t="s">
        <v>2482</v>
      </c>
      <c r="C625" s="812">
        <v>82133333</v>
      </c>
      <c r="D625" s="811" t="s">
        <v>1505</v>
      </c>
      <c r="E625" s="811" t="s">
        <v>1505</v>
      </c>
      <c r="F625" s="811" t="s">
        <v>1764</v>
      </c>
      <c r="G625" s="811" t="s">
        <v>1727</v>
      </c>
      <c r="H625" s="811" t="s">
        <v>1728</v>
      </c>
      <c r="I625" s="811" t="s">
        <v>1729</v>
      </c>
      <c r="J625" s="813">
        <v>82133333</v>
      </c>
      <c r="K625" s="811" t="s">
        <v>1730</v>
      </c>
      <c r="L625" s="811" t="s">
        <v>1189</v>
      </c>
      <c r="M625" s="811" t="s">
        <v>1710</v>
      </c>
      <c r="N625" s="811" t="s">
        <v>1710</v>
      </c>
      <c r="O625" s="811" t="s">
        <v>1779</v>
      </c>
      <c r="P625" s="811" t="s">
        <v>1732</v>
      </c>
      <c r="Q625" s="811" t="s">
        <v>1780</v>
      </c>
    </row>
    <row r="626" spans="1:17" x14ac:dyDescent="0.3">
      <c r="A626" s="811" t="s">
        <v>1724</v>
      </c>
      <c r="B626" s="811" t="s">
        <v>2483</v>
      </c>
      <c r="C626" s="812">
        <v>82500000</v>
      </c>
      <c r="D626" s="811" t="s">
        <v>1495</v>
      </c>
      <c r="E626" s="811" t="s">
        <v>1495</v>
      </c>
      <c r="F626" s="811" t="s">
        <v>1764</v>
      </c>
      <c r="G626" s="811" t="s">
        <v>1727</v>
      </c>
      <c r="H626" s="811" t="s">
        <v>1728</v>
      </c>
      <c r="I626" s="811" t="s">
        <v>1729</v>
      </c>
      <c r="J626" s="813">
        <v>82500000</v>
      </c>
      <c r="K626" s="811" t="s">
        <v>1730</v>
      </c>
      <c r="L626" s="811" t="s">
        <v>1189</v>
      </c>
      <c r="M626" s="811" t="s">
        <v>1710</v>
      </c>
      <c r="N626" s="811" t="s">
        <v>1710</v>
      </c>
      <c r="O626" s="811" t="s">
        <v>1779</v>
      </c>
      <c r="P626" s="811" t="s">
        <v>1732</v>
      </c>
      <c r="Q626" s="811" t="s">
        <v>1780</v>
      </c>
    </row>
    <row r="627" spans="1:17" x14ac:dyDescent="0.3">
      <c r="A627" s="811" t="s">
        <v>1724</v>
      </c>
      <c r="B627" s="811" t="s">
        <v>2484</v>
      </c>
      <c r="C627" s="812">
        <v>54965093</v>
      </c>
      <c r="D627" s="811" t="s">
        <v>1505</v>
      </c>
      <c r="E627" s="811" t="s">
        <v>1505</v>
      </c>
      <c r="F627" s="811" t="s">
        <v>1760</v>
      </c>
      <c r="G627" s="811" t="s">
        <v>1727</v>
      </c>
      <c r="H627" s="811" t="s">
        <v>1728</v>
      </c>
      <c r="I627" s="811" t="s">
        <v>1729</v>
      </c>
      <c r="J627" s="813">
        <v>54965093</v>
      </c>
      <c r="K627" s="811" t="s">
        <v>1730</v>
      </c>
      <c r="L627" s="811" t="s">
        <v>1189</v>
      </c>
      <c r="M627" s="811" t="s">
        <v>1710</v>
      </c>
      <c r="N627" s="811" t="s">
        <v>1710</v>
      </c>
      <c r="O627" s="811" t="s">
        <v>1779</v>
      </c>
      <c r="P627" s="811" t="s">
        <v>1732</v>
      </c>
      <c r="Q627" s="811" t="s">
        <v>1780</v>
      </c>
    </row>
    <row r="628" spans="1:17" x14ac:dyDescent="0.3">
      <c r="A628" s="811" t="s">
        <v>1724</v>
      </c>
      <c r="B628" s="811" t="s">
        <v>2485</v>
      </c>
      <c r="C628" s="812">
        <v>24000000</v>
      </c>
      <c r="D628" s="811" t="s">
        <v>1505</v>
      </c>
      <c r="E628" s="811" t="s">
        <v>1505</v>
      </c>
      <c r="F628" s="811" t="s">
        <v>1793</v>
      </c>
      <c r="G628" s="811" t="s">
        <v>1727</v>
      </c>
      <c r="H628" s="811" t="s">
        <v>1728</v>
      </c>
      <c r="I628" s="811" t="s">
        <v>1729</v>
      </c>
      <c r="J628" s="813">
        <v>24000000</v>
      </c>
      <c r="K628" s="811" t="s">
        <v>1730</v>
      </c>
      <c r="L628" s="811" t="s">
        <v>1189</v>
      </c>
      <c r="M628" s="811" t="s">
        <v>1710</v>
      </c>
      <c r="N628" s="811" t="s">
        <v>1710</v>
      </c>
      <c r="O628" s="811" t="s">
        <v>1779</v>
      </c>
      <c r="P628" s="811" t="s">
        <v>1732</v>
      </c>
      <c r="Q628" s="811" t="s">
        <v>1780</v>
      </c>
    </row>
    <row r="629" spans="1:17" x14ac:dyDescent="0.3">
      <c r="A629" s="811" t="s">
        <v>1724</v>
      </c>
      <c r="B629" s="811" t="s">
        <v>2486</v>
      </c>
      <c r="C629" s="812">
        <v>12000000</v>
      </c>
      <c r="D629" s="811" t="s">
        <v>1505</v>
      </c>
      <c r="E629" s="811" t="s">
        <v>1505</v>
      </c>
      <c r="F629" s="811" t="s">
        <v>1793</v>
      </c>
      <c r="G629" s="811" t="s">
        <v>1727</v>
      </c>
      <c r="H629" s="811" t="s">
        <v>1728</v>
      </c>
      <c r="I629" s="811" t="s">
        <v>1729</v>
      </c>
      <c r="J629" s="813">
        <v>12000000</v>
      </c>
      <c r="K629" s="811" t="s">
        <v>1730</v>
      </c>
      <c r="L629" s="811" t="s">
        <v>1189</v>
      </c>
      <c r="M629" s="811" t="s">
        <v>1710</v>
      </c>
      <c r="N629" s="811" t="s">
        <v>1710</v>
      </c>
      <c r="O629" s="811" t="s">
        <v>1779</v>
      </c>
      <c r="P629" s="811" t="s">
        <v>1732</v>
      </c>
      <c r="Q629" s="811" t="s">
        <v>1780</v>
      </c>
    </row>
    <row r="630" spans="1:17" x14ac:dyDescent="0.3">
      <c r="A630" s="811" t="s">
        <v>1724</v>
      </c>
      <c r="B630" s="811" t="s">
        <v>2487</v>
      </c>
      <c r="C630" s="812">
        <v>26100000</v>
      </c>
      <c r="D630" s="811" t="s">
        <v>1525</v>
      </c>
      <c r="E630" s="811" t="s">
        <v>1525</v>
      </c>
      <c r="F630" s="811" t="s">
        <v>1814</v>
      </c>
      <c r="G630" s="811" t="s">
        <v>1727</v>
      </c>
      <c r="H630" s="811" t="s">
        <v>1728</v>
      </c>
      <c r="I630" s="811" t="s">
        <v>1729</v>
      </c>
      <c r="J630" s="813">
        <v>26100000</v>
      </c>
      <c r="K630" s="811" t="s">
        <v>1730</v>
      </c>
      <c r="L630" s="811" t="s">
        <v>1189</v>
      </c>
      <c r="M630" s="811" t="s">
        <v>1710</v>
      </c>
      <c r="N630" s="811" t="s">
        <v>1710</v>
      </c>
      <c r="O630" s="811" t="s">
        <v>1742</v>
      </c>
      <c r="P630" s="811" t="s">
        <v>1732</v>
      </c>
      <c r="Q630" s="811" t="s">
        <v>1743</v>
      </c>
    </row>
    <row r="631" spans="1:17" x14ac:dyDescent="0.3">
      <c r="A631" s="811" t="s">
        <v>1724</v>
      </c>
      <c r="B631" s="811" t="s">
        <v>2488</v>
      </c>
      <c r="C631" s="812">
        <v>44962500</v>
      </c>
      <c r="D631" s="811" t="s">
        <v>1510</v>
      </c>
      <c r="E631" s="811" t="s">
        <v>1510</v>
      </c>
      <c r="F631" s="811" t="s">
        <v>1737</v>
      </c>
      <c r="G631" s="811" t="s">
        <v>1727</v>
      </c>
      <c r="H631" s="811" t="s">
        <v>1728</v>
      </c>
      <c r="I631" s="811" t="s">
        <v>1729</v>
      </c>
      <c r="J631" s="813">
        <v>44962500</v>
      </c>
      <c r="K631" s="811" t="s">
        <v>1730</v>
      </c>
      <c r="L631" s="811" t="s">
        <v>1189</v>
      </c>
      <c r="M631" s="811" t="s">
        <v>1710</v>
      </c>
      <c r="N631" s="811" t="s">
        <v>1710</v>
      </c>
      <c r="O631" s="811" t="s">
        <v>1742</v>
      </c>
      <c r="P631" s="811" t="s">
        <v>1732</v>
      </c>
      <c r="Q631" s="811" t="s">
        <v>1743</v>
      </c>
    </row>
    <row r="632" spans="1:17" x14ac:dyDescent="0.3">
      <c r="A632" s="811" t="s">
        <v>1724</v>
      </c>
      <c r="B632" s="811" t="s">
        <v>2489</v>
      </c>
      <c r="C632" s="812">
        <v>21725000</v>
      </c>
      <c r="D632" s="811" t="s">
        <v>1510</v>
      </c>
      <c r="E632" s="811" t="s">
        <v>1510</v>
      </c>
      <c r="F632" s="811" t="s">
        <v>1737</v>
      </c>
      <c r="G632" s="811" t="s">
        <v>1727</v>
      </c>
      <c r="H632" s="811" t="s">
        <v>1728</v>
      </c>
      <c r="I632" s="811" t="s">
        <v>1729</v>
      </c>
      <c r="J632" s="813">
        <v>21725000</v>
      </c>
      <c r="K632" s="811" t="s">
        <v>1730</v>
      </c>
      <c r="L632" s="811" t="s">
        <v>1189</v>
      </c>
      <c r="M632" s="811" t="s">
        <v>1710</v>
      </c>
      <c r="N632" s="811" t="s">
        <v>1710</v>
      </c>
      <c r="O632" s="811" t="s">
        <v>1742</v>
      </c>
      <c r="P632" s="811" t="s">
        <v>1732</v>
      </c>
      <c r="Q632" s="811" t="s">
        <v>1743</v>
      </c>
    </row>
    <row r="633" spans="1:17" x14ac:dyDescent="0.3">
      <c r="A633" s="811" t="s">
        <v>1724</v>
      </c>
      <c r="B633" s="811" t="s">
        <v>2490</v>
      </c>
      <c r="C633" s="812">
        <v>51129000</v>
      </c>
      <c r="D633" s="811" t="s">
        <v>1525</v>
      </c>
      <c r="E633" s="811" t="s">
        <v>1525</v>
      </c>
      <c r="F633" s="811" t="s">
        <v>1814</v>
      </c>
      <c r="G633" s="811" t="s">
        <v>1727</v>
      </c>
      <c r="H633" s="811" t="s">
        <v>1728</v>
      </c>
      <c r="I633" s="811" t="s">
        <v>1729</v>
      </c>
      <c r="J633" s="813">
        <v>51129000</v>
      </c>
      <c r="K633" s="811" t="s">
        <v>1730</v>
      </c>
      <c r="L633" s="811" t="s">
        <v>1189</v>
      </c>
      <c r="M633" s="811" t="s">
        <v>1710</v>
      </c>
      <c r="N633" s="811" t="s">
        <v>1710</v>
      </c>
      <c r="O633" s="811" t="s">
        <v>1742</v>
      </c>
      <c r="P633" s="811" t="s">
        <v>1732</v>
      </c>
      <c r="Q633" s="811" t="s">
        <v>1743</v>
      </c>
    </row>
    <row r="634" spans="1:17" x14ac:dyDescent="0.3">
      <c r="A634" s="811" t="s">
        <v>1724</v>
      </c>
      <c r="B634" s="811" t="s">
        <v>2491</v>
      </c>
      <c r="C634" s="812">
        <v>39270000</v>
      </c>
      <c r="D634" s="811" t="s">
        <v>1510</v>
      </c>
      <c r="E634" s="811" t="s">
        <v>1510</v>
      </c>
      <c r="F634" s="811" t="s">
        <v>1737</v>
      </c>
      <c r="G634" s="811" t="s">
        <v>1727</v>
      </c>
      <c r="H634" s="811" t="s">
        <v>1728</v>
      </c>
      <c r="I634" s="811" t="s">
        <v>1729</v>
      </c>
      <c r="J634" s="813">
        <v>39270000</v>
      </c>
      <c r="K634" s="811" t="s">
        <v>1730</v>
      </c>
      <c r="L634" s="811" t="s">
        <v>1189</v>
      </c>
      <c r="M634" s="811" t="s">
        <v>1710</v>
      </c>
      <c r="N634" s="811" t="s">
        <v>1710</v>
      </c>
      <c r="O634" s="811" t="s">
        <v>1742</v>
      </c>
      <c r="P634" s="811" t="s">
        <v>1732</v>
      </c>
      <c r="Q634" s="811" t="s">
        <v>1743</v>
      </c>
    </row>
    <row r="635" spans="1:17" x14ac:dyDescent="0.3">
      <c r="A635" s="811" t="s">
        <v>1724</v>
      </c>
      <c r="B635" s="811" t="s">
        <v>2492</v>
      </c>
      <c r="C635" s="812">
        <v>12300000</v>
      </c>
      <c r="D635" s="811" t="s">
        <v>2236</v>
      </c>
      <c r="E635" s="811" t="s">
        <v>2236</v>
      </c>
      <c r="F635" s="811" t="s">
        <v>2074</v>
      </c>
      <c r="G635" s="811" t="s">
        <v>1727</v>
      </c>
      <c r="H635" s="811" t="s">
        <v>1728</v>
      </c>
      <c r="I635" s="811" t="s">
        <v>1729</v>
      </c>
      <c r="J635" s="813">
        <v>12300000</v>
      </c>
      <c r="K635" s="811" t="s">
        <v>1730</v>
      </c>
      <c r="L635" s="811" t="s">
        <v>1189</v>
      </c>
      <c r="M635" s="811" t="s">
        <v>1710</v>
      </c>
      <c r="N635" s="811" t="s">
        <v>1710</v>
      </c>
      <c r="O635" s="811" t="s">
        <v>1742</v>
      </c>
      <c r="P635" s="811" t="s">
        <v>1732</v>
      </c>
      <c r="Q635" s="811" t="s">
        <v>1743</v>
      </c>
    </row>
    <row r="636" spans="1:17" x14ac:dyDescent="0.3">
      <c r="A636" s="811" t="s">
        <v>1724</v>
      </c>
      <c r="B636" s="811" t="s">
        <v>2493</v>
      </c>
      <c r="C636" s="812">
        <v>16400000</v>
      </c>
      <c r="D636" s="811" t="s">
        <v>1514</v>
      </c>
      <c r="E636" s="811" t="s">
        <v>1514</v>
      </c>
      <c r="F636" s="811" t="s">
        <v>1793</v>
      </c>
      <c r="G636" s="811" t="s">
        <v>1727</v>
      </c>
      <c r="H636" s="811" t="s">
        <v>1728</v>
      </c>
      <c r="I636" s="811" t="s">
        <v>1729</v>
      </c>
      <c r="J636" s="813">
        <v>16400000</v>
      </c>
      <c r="K636" s="811" t="s">
        <v>1730</v>
      </c>
      <c r="L636" s="811" t="s">
        <v>1189</v>
      </c>
      <c r="M636" s="811" t="s">
        <v>1710</v>
      </c>
      <c r="N636" s="811" t="s">
        <v>1710</v>
      </c>
      <c r="O636" s="811" t="s">
        <v>1742</v>
      </c>
      <c r="P636" s="811" t="s">
        <v>1732</v>
      </c>
      <c r="Q636" s="811" t="s">
        <v>1743</v>
      </c>
    </row>
    <row r="637" spans="1:17" x14ac:dyDescent="0.3">
      <c r="A637" s="811" t="s">
        <v>1724</v>
      </c>
      <c r="B637" s="811" t="s">
        <v>2494</v>
      </c>
      <c r="C637" s="812">
        <v>16400000</v>
      </c>
      <c r="D637" s="811" t="s">
        <v>1514</v>
      </c>
      <c r="E637" s="811" t="s">
        <v>1514</v>
      </c>
      <c r="F637" s="811" t="s">
        <v>1793</v>
      </c>
      <c r="G637" s="811" t="s">
        <v>1727</v>
      </c>
      <c r="H637" s="811" t="s">
        <v>1728</v>
      </c>
      <c r="I637" s="811" t="s">
        <v>1729</v>
      </c>
      <c r="J637" s="813">
        <v>16400000</v>
      </c>
      <c r="K637" s="811" t="s">
        <v>1730</v>
      </c>
      <c r="L637" s="811" t="s">
        <v>1189</v>
      </c>
      <c r="M637" s="811" t="s">
        <v>1710</v>
      </c>
      <c r="N637" s="811" t="s">
        <v>1710</v>
      </c>
      <c r="O637" s="811" t="s">
        <v>1742</v>
      </c>
      <c r="P637" s="811" t="s">
        <v>1732</v>
      </c>
      <c r="Q637" s="811" t="s">
        <v>1743</v>
      </c>
    </row>
    <row r="638" spans="1:17" x14ac:dyDescent="0.3">
      <c r="A638" s="811" t="s">
        <v>1724</v>
      </c>
      <c r="B638" s="811" t="s">
        <v>2495</v>
      </c>
      <c r="C638" s="812">
        <v>12300000</v>
      </c>
      <c r="D638" s="811" t="s">
        <v>2236</v>
      </c>
      <c r="E638" s="811" t="s">
        <v>2236</v>
      </c>
      <c r="F638" s="811" t="s">
        <v>2074</v>
      </c>
      <c r="G638" s="811" t="s">
        <v>1727</v>
      </c>
      <c r="H638" s="811" t="s">
        <v>1728</v>
      </c>
      <c r="I638" s="811" t="s">
        <v>1729</v>
      </c>
      <c r="J638" s="813">
        <v>12300000</v>
      </c>
      <c r="K638" s="811" t="s">
        <v>1730</v>
      </c>
      <c r="L638" s="811" t="s">
        <v>1189</v>
      </c>
      <c r="M638" s="811" t="s">
        <v>1710</v>
      </c>
      <c r="N638" s="811" t="s">
        <v>1710</v>
      </c>
      <c r="O638" s="811" t="s">
        <v>1742</v>
      </c>
      <c r="P638" s="811" t="s">
        <v>1732</v>
      </c>
      <c r="Q638" s="811" t="s">
        <v>1743</v>
      </c>
    </row>
    <row r="639" spans="1:17" x14ac:dyDescent="0.3">
      <c r="A639" s="811" t="s">
        <v>1724</v>
      </c>
      <c r="B639" s="811" t="s">
        <v>2496</v>
      </c>
      <c r="C639" s="812">
        <v>24600000</v>
      </c>
      <c r="D639" s="811" t="s">
        <v>1510</v>
      </c>
      <c r="E639" s="811" t="s">
        <v>1510</v>
      </c>
      <c r="F639" s="811" t="s">
        <v>1737</v>
      </c>
      <c r="G639" s="811" t="s">
        <v>1727</v>
      </c>
      <c r="H639" s="811" t="s">
        <v>1728</v>
      </c>
      <c r="I639" s="811" t="s">
        <v>1729</v>
      </c>
      <c r="J639" s="813">
        <v>24600000</v>
      </c>
      <c r="K639" s="811" t="s">
        <v>1730</v>
      </c>
      <c r="L639" s="811" t="s">
        <v>1189</v>
      </c>
      <c r="M639" s="811" t="s">
        <v>1710</v>
      </c>
      <c r="N639" s="811" t="s">
        <v>1710</v>
      </c>
      <c r="O639" s="811" t="s">
        <v>1742</v>
      </c>
      <c r="P639" s="811" t="s">
        <v>1732</v>
      </c>
      <c r="Q639" s="811" t="s">
        <v>1743</v>
      </c>
    </row>
    <row r="640" spans="1:17" x14ac:dyDescent="0.3">
      <c r="A640" s="811" t="s">
        <v>1724</v>
      </c>
      <c r="B640" s="811" t="s">
        <v>2497</v>
      </c>
      <c r="C640" s="812">
        <v>84766080</v>
      </c>
      <c r="D640" s="811" t="s">
        <v>1495</v>
      </c>
      <c r="E640" s="811" t="s">
        <v>1495</v>
      </c>
      <c r="F640" s="811" t="s">
        <v>1747</v>
      </c>
      <c r="G640" s="811" t="s">
        <v>1727</v>
      </c>
      <c r="H640" s="811" t="s">
        <v>1728</v>
      </c>
      <c r="I640" s="811" t="s">
        <v>1729</v>
      </c>
      <c r="J640" s="813">
        <v>84766080</v>
      </c>
      <c r="K640" s="811" t="s">
        <v>1730</v>
      </c>
      <c r="L640" s="811" t="s">
        <v>1189</v>
      </c>
      <c r="M640" s="811" t="s">
        <v>1710</v>
      </c>
      <c r="N640" s="811" t="s">
        <v>1710</v>
      </c>
      <c r="O640" s="811" t="s">
        <v>1742</v>
      </c>
      <c r="P640" s="811" t="s">
        <v>1732</v>
      </c>
      <c r="Q640" s="811" t="s">
        <v>1743</v>
      </c>
    </row>
    <row r="641" spans="1:17" x14ac:dyDescent="0.3">
      <c r="A641" s="811" t="s">
        <v>1993</v>
      </c>
      <c r="B641" s="811" t="s">
        <v>2498</v>
      </c>
      <c r="C641" s="812">
        <v>64900000</v>
      </c>
      <c r="D641" s="811" t="s">
        <v>1495</v>
      </c>
      <c r="E641" s="811" t="s">
        <v>1495</v>
      </c>
      <c r="F641" s="811" t="s">
        <v>1764</v>
      </c>
      <c r="G641" s="811" t="s">
        <v>1727</v>
      </c>
      <c r="H641" s="811" t="s">
        <v>1728</v>
      </c>
      <c r="I641" s="811" t="s">
        <v>1729</v>
      </c>
      <c r="J641" s="813">
        <v>64900000</v>
      </c>
      <c r="K641" s="811" t="s">
        <v>1730</v>
      </c>
      <c r="L641" s="811" t="s">
        <v>1189</v>
      </c>
      <c r="M641" s="811" t="s">
        <v>1710</v>
      </c>
      <c r="N641" s="811" t="s">
        <v>1710</v>
      </c>
      <c r="O641" s="811" t="s">
        <v>1742</v>
      </c>
      <c r="P641" s="811" t="s">
        <v>1732</v>
      </c>
      <c r="Q641" s="811" t="s">
        <v>1743</v>
      </c>
    </row>
    <row r="642" spans="1:17" x14ac:dyDescent="0.3">
      <c r="A642" s="811" t="s">
        <v>1993</v>
      </c>
      <c r="B642" s="811" t="s">
        <v>2499</v>
      </c>
      <c r="C642" s="812">
        <v>80896200</v>
      </c>
      <c r="D642" s="811" t="s">
        <v>1495</v>
      </c>
      <c r="E642" s="811" t="s">
        <v>1495</v>
      </c>
      <c r="F642" s="811" t="s">
        <v>1764</v>
      </c>
      <c r="G642" s="811" t="s">
        <v>1727</v>
      </c>
      <c r="H642" s="811" t="s">
        <v>1728</v>
      </c>
      <c r="I642" s="811" t="s">
        <v>1729</v>
      </c>
      <c r="J642" s="813">
        <v>80896200</v>
      </c>
      <c r="K642" s="811" t="s">
        <v>1730</v>
      </c>
      <c r="L642" s="811" t="s">
        <v>1189</v>
      </c>
      <c r="M642" s="811" t="s">
        <v>1710</v>
      </c>
      <c r="N642" s="811" t="s">
        <v>1710</v>
      </c>
      <c r="O642" s="811" t="s">
        <v>1742</v>
      </c>
      <c r="P642" s="811" t="s">
        <v>1732</v>
      </c>
      <c r="Q642" s="811" t="s">
        <v>1743</v>
      </c>
    </row>
    <row r="643" spans="1:17" x14ac:dyDescent="0.3">
      <c r="A643" s="811" t="s">
        <v>1993</v>
      </c>
      <c r="B643" s="811" t="s">
        <v>2500</v>
      </c>
      <c r="C643" s="812">
        <v>134074420</v>
      </c>
      <c r="D643" s="811" t="s">
        <v>1495</v>
      </c>
      <c r="E643" s="811" t="s">
        <v>1495</v>
      </c>
      <c r="F643" s="811" t="s">
        <v>1747</v>
      </c>
      <c r="G643" s="811" t="s">
        <v>1727</v>
      </c>
      <c r="H643" s="811" t="s">
        <v>1728</v>
      </c>
      <c r="I643" s="811" t="s">
        <v>1729</v>
      </c>
      <c r="J643" s="813">
        <v>134074420</v>
      </c>
      <c r="K643" s="811" t="s">
        <v>1730</v>
      </c>
      <c r="L643" s="811" t="s">
        <v>1189</v>
      </c>
      <c r="M643" s="811" t="s">
        <v>1710</v>
      </c>
      <c r="N643" s="811" t="s">
        <v>1710</v>
      </c>
      <c r="O643" s="811" t="s">
        <v>1742</v>
      </c>
      <c r="P643" s="811" t="s">
        <v>1732</v>
      </c>
      <c r="Q643" s="811" t="s">
        <v>1743</v>
      </c>
    </row>
    <row r="644" spans="1:17" x14ac:dyDescent="0.3">
      <c r="A644" s="811" t="s">
        <v>1724</v>
      </c>
      <c r="B644" s="811" t="s">
        <v>2501</v>
      </c>
      <c r="C644" s="812">
        <v>127689924</v>
      </c>
      <c r="D644" s="811" t="s">
        <v>1495</v>
      </c>
      <c r="E644" s="811" t="s">
        <v>1495</v>
      </c>
      <c r="F644" s="811" t="s">
        <v>1747</v>
      </c>
      <c r="G644" s="811" t="s">
        <v>1727</v>
      </c>
      <c r="H644" s="811" t="s">
        <v>1728</v>
      </c>
      <c r="I644" s="811" t="s">
        <v>1729</v>
      </c>
      <c r="J644" s="813">
        <v>127689924</v>
      </c>
      <c r="K644" s="811" t="s">
        <v>1730</v>
      </c>
      <c r="L644" s="811" t="s">
        <v>1189</v>
      </c>
      <c r="M644" s="811" t="s">
        <v>1710</v>
      </c>
      <c r="N644" s="811" t="s">
        <v>1710</v>
      </c>
      <c r="O644" s="811" t="s">
        <v>1742</v>
      </c>
      <c r="P644" s="811" t="s">
        <v>1732</v>
      </c>
      <c r="Q644" s="811" t="s">
        <v>1743</v>
      </c>
    </row>
    <row r="645" spans="1:17" x14ac:dyDescent="0.3">
      <c r="A645" s="811" t="s">
        <v>1724</v>
      </c>
      <c r="B645" s="811" t="s">
        <v>2502</v>
      </c>
      <c r="C645" s="812">
        <v>144585266</v>
      </c>
      <c r="D645" s="811" t="s">
        <v>1495</v>
      </c>
      <c r="E645" s="811" t="s">
        <v>1495</v>
      </c>
      <c r="F645" s="811" t="s">
        <v>1747</v>
      </c>
      <c r="G645" s="811" t="s">
        <v>1727</v>
      </c>
      <c r="H645" s="811" t="s">
        <v>1728</v>
      </c>
      <c r="I645" s="811" t="s">
        <v>1729</v>
      </c>
      <c r="J645" s="813">
        <v>144585266</v>
      </c>
      <c r="K645" s="811" t="s">
        <v>1730</v>
      </c>
      <c r="L645" s="811" t="s">
        <v>1189</v>
      </c>
      <c r="M645" s="811" t="s">
        <v>1710</v>
      </c>
      <c r="N645" s="811" t="s">
        <v>1710</v>
      </c>
      <c r="O645" s="811" t="s">
        <v>1742</v>
      </c>
      <c r="P645" s="811" t="s">
        <v>1732</v>
      </c>
      <c r="Q645" s="811" t="s">
        <v>1743</v>
      </c>
    </row>
    <row r="646" spans="1:17" x14ac:dyDescent="0.3">
      <c r="A646" s="811" t="s">
        <v>1724</v>
      </c>
      <c r="B646" s="811" t="s">
        <v>2503</v>
      </c>
      <c r="C646" s="812">
        <v>66198000</v>
      </c>
      <c r="D646" s="811" t="s">
        <v>1495</v>
      </c>
      <c r="E646" s="811" t="s">
        <v>1495</v>
      </c>
      <c r="F646" s="811" t="s">
        <v>1747</v>
      </c>
      <c r="G646" s="811" t="s">
        <v>1727</v>
      </c>
      <c r="H646" s="811" t="s">
        <v>1728</v>
      </c>
      <c r="I646" s="811" t="s">
        <v>1729</v>
      </c>
      <c r="J646" s="813">
        <v>66198000</v>
      </c>
      <c r="K646" s="811" t="s">
        <v>1730</v>
      </c>
      <c r="L646" s="811" t="s">
        <v>1189</v>
      </c>
      <c r="M646" s="811" t="s">
        <v>1710</v>
      </c>
      <c r="N646" s="811" t="s">
        <v>1710</v>
      </c>
      <c r="O646" s="811" t="s">
        <v>1742</v>
      </c>
      <c r="P646" s="811" t="s">
        <v>1732</v>
      </c>
      <c r="Q646" s="811" t="s">
        <v>1743</v>
      </c>
    </row>
    <row r="647" spans="1:17" x14ac:dyDescent="0.3">
      <c r="A647" s="811" t="s">
        <v>1724</v>
      </c>
      <c r="B647" s="811" t="s">
        <v>2504</v>
      </c>
      <c r="C647" s="812">
        <v>66198000</v>
      </c>
      <c r="D647" s="811" t="s">
        <v>1495</v>
      </c>
      <c r="E647" s="811" t="s">
        <v>1495</v>
      </c>
      <c r="F647" s="811" t="s">
        <v>1747</v>
      </c>
      <c r="G647" s="811" t="s">
        <v>1727</v>
      </c>
      <c r="H647" s="811" t="s">
        <v>1728</v>
      </c>
      <c r="I647" s="811" t="s">
        <v>1729</v>
      </c>
      <c r="J647" s="813">
        <v>66198000</v>
      </c>
      <c r="K647" s="811" t="s">
        <v>1730</v>
      </c>
      <c r="L647" s="811" t="s">
        <v>1189</v>
      </c>
      <c r="M647" s="811" t="s">
        <v>1710</v>
      </c>
      <c r="N647" s="811" t="s">
        <v>1710</v>
      </c>
      <c r="O647" s="811" t="s">
        <v>1742</v>
      </c>
      <c r="P647" s="811" t="s">
        <v>1732</v>
      </c>
      <c r="Q647" s="811" t="s">
        <v>1743</v>
      </c>
    </row>
    <row r="648" spans="1:17" x14ac:dyDescent="0.3">
      <c r="A648" s="811" t="s">
        <v>1724</v>
      </c>
      <c r="B648" s="811" t="s">
        <v>2505</v>
      </c>
      <c r="C648" s="812">
        <v>81844800</v>
      </c>
      <c r="D648" s="811" t="s">
        <v>1495</v>
      </c>
      <c r="E648" s="811" t="s">
        <v>1495</v>
      </c>
      <c r="F648" s="811" t="s">
        <v>1747</v>
      </c>
      <c r="G648" s="811" t="s">
        <v>1727</v>
      </c>
      <c r="H648" s="811" t="s">
        <v>1728</v>
      </c>
      <c r="I648" s="811" t="s">
        <v>1729</v>
      </c>
      <c r="J648" s="813">
        <v>81844800</v>
      </c>
      <c r="K648" s="811" t="s">
        <v>1730</v>
      </c>
      <c r="L648" s="811" t="s">
        <v>1189</v>
      </c>
      <c r="M648" s="811" t="s">
        <v>1710</v>
      </c>
      <c r="N648" s="811" t="s">
        <v>1710</v>
      </c>
      <c r="O648" s="811" t="s">
        <v>1742</v>
      </c>
      <c r="P648" s="811" t="s">
        <v>1732</v>
      </c>
      <c r="Q648" s="811" t="s">
        <v>1743</v>
      </c>
    </row>
    <row r="649" spans="1:17" x14ac:dyDescent="0.3">
      <c r="A649" s="811" t="s">
        <v>1724</v>
      </c>
      <c r="B649" s="811" t="s">
        <v>2506</v>
      </c>
      <c r="C649" s="812">
        <v>44319000</v>
      </c>
      <c r="D649" s="811" t="s">
        <v>1495</v>
      </c>
      <c r="E649" s="811" t="s">
        <v>1495</v>
      </c>
      <c r="F649" s="811" t="s">
        <v>1764</v>
      </c>
      <c r="G649" s="811" t="s">
        <v>1727</v>
      </c>
      <c r="H649" s="811" t="s">
        <v>1728</v>
      </c>
      <c r="I649" s="811" t="s">
        <v>1729</v>
      </c>
      <c r="J649" s="813">
        <v>44319000</v>
      </c>
      <c r="K649" s="811" t="s">
        <v>1730</v>
      </c>
      <c r="L649" s="811" t="s">
        <v>1189</v>
      </c>
      <c r="M649" s="811" t="s">
        <v>1710</v>
      </c>
      <c r="N649" s="811" t="s">
        <v>1710</v>
      </c>
      <c r="O649" s="811" t="s">
        <v>1742</v>
      </c>
      <c r="P649" s="811" t="s">
        <v>1732</v>
      </c>
      <c r="Q649" s="811" t="s">
        <v>1743</v>
      </c>
    </row>
    <row r="650" spans="1:17" x14ac:dyDescent="0.3">
      <c r="A650" s="811" t="s">
        <v>1724</v>
      </c>
      <c r="B650" s="811" t="s">
        <v>2507</v>
      </c>
      <c r="C650" s="812">
        <v>96511665</v>
      </c>
      <c r="D650" s="811" t="s">
        <v>1495</v>
      </c>
      <c r="E650" s="811" t="s">
        <v>1495</v>
      </c>
      <c r="F650" s="811" t="s">
        <v>1747</v>
      </c>
      <c r="G650" s="811" t="s">
        <v>1727</v>
      </c>
      <c r="H650" s="811" t="s">
        <v>1728</v>
      </c>
      <c r="I650" s="811" t="s">
        <v>1729</v>
      </c>
      <c r="J650" s="813">
        <v>96511665</v>
      </c>
      <c r="K650" s="811" t="s">
        <v>1730</v>
      </c>
      <c r="L650" s="811" t="s">
        <v>1189</v>
      </c>
      <c r="M650" s="811" t="s">
        <v>1710</v>
      </c>
      <c r="N650" s="811" t="s">
        <v>1710</v>
      </c>
      <c r="O650" s="811" t="s">
        <v>1742</v>
      </c>
      <c r="P650" s="811" t="s">
        <v>1732</v>
      </c>
      <c r="Q650" s="811" t="s">
        <v>1743</v>
      </c>
    </row>
    <row r="651" spans="1:17" x14ac:dyDescent="0.3">
      <c r="A651" s="811" t="s">
        <v>1724</v>
      </c>
      <c r="B651" s="811" t="s">
        <v>2508</v>
      </c>
      <c r="C651" s="812">
        <v>169075413</v>
      </c>
      <c r="D651" s="811" t="s">
        <v>1495</v>
      </c>
      <c r="E651" s="811" t="s">
        <v>1495</v>
      </c>
      <c r="F651" s="811" t="s">
        <v>1747</v>
      </c>
      <c r="G651" s="811" t="s">
        <v>1727</v>
      </c>
      <c r="H651" s="811" t="s">
        <v>1728</v>
      </c>
      <c r="I651" s="811" t="s">
        <v>1729</v>
      </c>
      <c r="J651" s="813">
        <v>169075413</v>
      </c>
      <c r="K651" s="811" t="s">
        <v>1730</v>
      </c>
      <c r="L651" s="811" t="s">
        <v>1189</v>
      </c>
      <c r="M651" s="811" t="s">
        <v>1710</v>
      </c>
      <c r="N651" s="811" t="s">
        <v>1710</v>
      </c>
      <c r="O651" s="811" t="s">
        <v>1742</v>
      </c>
      <c r="P651" s="811" t="s">
        <v>1732</v>
      </c>
      <c r="Q651" s="811" t="s">
        <v>1743</v>
      </c>
    </row>
    <row r="652" spans="1:17" x14ac:dyDescent="0.3">
      <c r="A652" s="811" t="s">
        <v>1724</v>
      </c>
      <c r="B652" s="811" t="s">
        <v>2509</v>
      </c>
      <c r="C652" s="812">
        <v>84838051</v>
      </c>
      <c r="D652" s="811" t="s">
        <v>1495</v>
      </c>
      <c r="E652" s="811" t="s">
        <v>1495</v>
      </c>
      <c r="F652" s="811" t="s">
        <v>1747</v>
      </c>
      <c r="G652" s="811" t="s">
        <v>1727</v>
      </c>
      <c r="H652" s="811" t="s">
        <v>1728</v>
      </c>
      <c r="I652" s="811" t="s">
        <v>1729</v>
      </c>
      <c r="J652" s="813">
        <v>84838051</v>
      </c>
      <c r="K652" s="811" t="s">
        <v>1730</v>
      </c>
      <c r="L652" s="811" t="s">
        <v>1189</v>
      </c>
      <c r="M652" s="811" t="s">
        <v>1710</v>
      </c>
      <c r="N652" s="811" t="s">
        <v>1710</v>
      </c>
      <c r="O652" s="811" t="s">
        <v>1742</v>
      </c>
      <c r="P652" s="811" t="s">
        <v>1732</v>
      </c>
      <c r="Q652" s="811" t="s">
        <v>1743</v>
      </c>
    </row>
    <row r="653" spans="1:17" x14ac:dyDescent="0.3">
      <c r="A653" s="811" t="s">
        <v>1724</v>
      </c>
      <c r="B653" s="811" t="s">
        <v>2510</v>
      </c>
      <c r="C653" s="812">
        <v>39395799</v>
      </c>
      <c r="D653" s="811" t="s">
        <v>1495</v>
      </c>
      <c r="E653" s="811" t="s">
        <v>1495</v>
      </c>
      <c r="F653" s="811" t="s">
        <v>1764</v>
      </c>
      <c r="G653" s="811" t="s">
        <v>1727</v>
      </c>
      <c r="H653" s="811" t="s">
        <v>1728</v>
      </c>
      <c r="I653" s="811" t="s">
        <v>1729</v>
      </c>
      <c r="J653" s="813">
        <v>39395799</v>
      </c>
      <c r="K653" s="811" t="s">
        <v>1730</v>
      </c>
      <c r="L653" s="811" t="s">
        <v>1189</v>
      </c>
      <c r="M653" s="811" t="s">
        <v>1710</v>
      </c>
      <c r="N653" s="811" t="s">
        <v>1710</v>
      </c>
      <c r="O653" s="811" t="s">
        <v>1742</v>
      </c>
      <c r="P653" s="811" t="s">
        <v>1732</v>
      </c>
      <c r="Q653" s="811" t="s">
        <v>1743</v>
      </c>
    </row>
    <row r="654" spans="1:17" x14ac:dyDescent="0.3">
      <c r="A654" s="811" t="s">
        <v>1724</v>
      </c>
      <c r="B654" s="811" t="s">
        <v>2511</v>
      </c>
      <c r="C654" s="812">
        <v>56202000</v>
      </c>
      <c r="D654" s="811" t="s">
        <v>1501</v>
      </c>
      <c r="E654" s="811" t="s">
        <v>1501</v>
      </c>
      <c r="F654" s="811" t="s">
        <v>1760</v>
      </c>
      <c r="G654" s="811" t="s">
        <v>1727</v>
      </c>
      <c r="H654" s="811" t="s">
        <v>1728</v>
      </c>
      <c r="I654" s="811" t="s">
        <v>1729</v>
      </c>
      <c r="J654" s="813">
        <v>56202000</v>
      </c>
      <c r="K654" s="811" t="s">
        <v>1730</v>
      </c>
      <c r="L654" s="811" t="s">
        <v>1189</v>
      </c>
      <c r="M654" s="811" t="s">
        <v>1710</v>
      </c>
      <c r="N654" s="811" t="s">
        <v>1710</v>
      </c>
      <c r="O654" s="811" t="s">
        <v>1742</v>
      </c>
      <c r="P654" s="811" t="s">
        <v>1732</v>
      </c>
      <c r="Q654" s="811" t="s">
        <v>1743</v>
      </c>
    </row>
    <row r="655" spans="1:17" x14ac:dyDescent="0.3">
      <c r="A655" s="811" t="s">
        <v>1724</v>
      </c>
      <c r="B655" s="811" t="s">
        <v>2512</v>
      </c>
      <c r="C655" s="812">
        <v>48478886</v>
      </c>
      <c r="D655" s="811" t="s">
        <v>1495</v>
      </c>
      <c r="E655" s="811" t="s">
        <v>1495</v>
      </c>
      <c r="F655" s="811" t="s">
        <v>1747</v>
      </c>
      <c r="G655" s="811" t="s">
        <v>1727</v>
      </c>
      <c r="H655" s="811" t="s">
        <v>1728</v>
      </c>
      <c r="I655" s="811" t="s">
        <v>1729</v>
      </c>
      <c r="J655" s="813">
        <v>48478886</v>
      </c>
      <c r="K655" s="811" t="s">
        <v>1730</v>
      </c>
      <c r="L655" s="811" t="s">
        <v>1189</v>
      </c>
      <c r="M655" s="811" t="s">
        <v>1710</v>
      </c>
      <c r="N655" s="811" t="s">
        <v>1710</v>
      </c>
      <c r="O655" s="811" t="s">
        <v>1742</v>
      </c>
      <c r="P655" s="811" t="s">
        <v>1732</v>
      </c>
      <c r="Q655" s="811" t="s">
        <v>1743</v>
      </c>
    </row>
    <row r="656" spans="1:17" x14ac:dyDescent="0.3">
      <c r="A656" s="811" t="s">
        <v>1724</v>
      </c>
      <c r="B656" s="811" t="s">
        <v>2513</v>
      </c>
      <c r="C656" s="812">
        <v>33129600</v>
      </c>
      <c r="D656" s="811" t="s">
        <v>1495</v>
      </c>
      <c r="E656" s="811" t="s">
        <v>1495</v>
      </c>
      <c r="F656" s="811" t="s">
        <v>1747</v>
      </c>
      <c r="G656" s="811" t="s">
        <v>1727</v>
      </c>
      <c r="H656" s="811" t="s">
        <v>1728</v>
      </c>
      <c r="I656" s="811" t="s">
        <v>1729</v>
      </c>
      <c r="J656" s="813">
        <v>33129600</v>
      </c>
      <c r="K656" s="811" t="s">
        <v>1730</v>
      </c>
      <c r="L656" s="811" t="s">
        <v>1189</v>
      </c>
      <c r="M656" s="811" t="s">
        <v>1710</v>
      </c>
      <c r="N656" s="811" t="s">
        <v>1710</v>
      </c>
      <c r="O656" s="811" t="s">
        <v>1742</v>
      </c>
      <c r="P656" s="811" t="s">
        <v>1732</v>
      </c>
      <c r="Q656" s="811" t="s">
        <v>1743</v>
      </c>
    </row>
    <row r="657" spans="1:17" x14ac:dyDescent="0.3">
      <c r="A657" s="811" t="s">
        <v>1724</v>
      </c>
      <c r="B657" s="811" t="s">
        <v>2514</v>
      </c>
      <c r="C657" s="812">
        <v>33129600</v>
      </c>
      <c r="D657" s="811" t="s">
        <v>1495</v>
      </c>
      <c r="E657" s="811" t="s">
        <v>1495</v>
      </c>
      <c r="F657" s="811" t="s">
        <v>1747</v>
      </c>
      <c r="G657" s="811" t="s">
        <v>1727</v>
      </c>
      <c r="H657" s="811" t="s">
        <v>1728</v>
      </c>
      <c r="I657" s="811" t="s">
        <v>1729</v>
      </c>
      <c r="J657" s="813">
        <v>33129600</v>
      </c>
      <c r="K657" s="811" t="s">
        <v>1730</v>
      </c>
      <c r="L657" s="811" t="s">
        <v>1189</v>
      </c>
      <c r="M657" s="811" t="s">
        <v>1710</v>
      </c>
      <c r="N657" s="811" t="s">
        <v>1710</v>
      </c>
      <c r="O657" s="811" t="s">
        <v>1742</v>
      </c>
      <c r="P657" s="811" t="s">
        <v>1732</v>
      </c>
      <c r="Q657" s="811" t="s">
        <v>1743</v>
      </c>
    </row>
    <row r="658" spans="1:17" x14ac:dyDescent="0.3">
      <c r="A658" s="811" t="s">
        <v>1724</v>
      </c>
      <c r="B658" s="811" t="s">
        <v>2515</v>
      </c>
      <c r="C658" s="812">
        <v>33129600</v>
      </c>
      <c r="D658" s="811" t="s">
        <v>1495</v>
      </c>
      <c r="E658" s="811" t="s">
        <v>1495</v>
      </c>
      <c r="F658" s="811" t="s">
        <v>1747</v>
      </c>
      <c r="G658" s="811" t="s">
        <v>1727</v>
      </c>
      <c r="H658" s="811" t="s">
        <v>1728</v>
      </c>
      <c r="I658" s="811" t="s">
        <v>1729</v>
      </c>
      <c r="J658" s="813">
        <v>33129600</v>
      </c>
      <c r="K658" s="811" t="s">
        <v>1730</v>
      </c>
      <c r="L658" s="811" t="s">
        <v>1189</v>
      </c>
      <c r="M658" s="811" t="s">
        <v>1710</v>
      </c>
      <c r="N658" s="811" t="s">
        <v>1710</v>
      </c>
      <c r="O658" s="811" t="s">
        <v>1742</v>
      </c>
      <c r="P658" s="811" t="s">
        <v>1732</v>
      </c>
      <c r="Q658" s="811" t="s">
        <v>1743</v>
      </c>
    </row>
    <row r="659" spans="1:17" x14ac:dyDescent="0.3">
      <c r="A659" s="811" t="s">
        <v>1724</v>
      </c>
      <c r="B659" s="811" t="s">
        <v>2516</v>
      </c>
      <c r="C659" s="812">
        <v>42636000</v>
      </c>
      <c r="D659" s="811" t="s">
        <v>1495</v>
      </c>
      <c r="E659" s="811" t="s">
        <v>1495</v>
      </c>
      <c r="F659" s="811" t="s">
        <v>1764</v>
      </c>
      <c r="G659" s="811" t="s">
        <v>1727</v>
      </c>
      <c r="H659" s="811" t="s">
        <v>1728</v>
      </c>
      <c r="I659" s="811" t="s">
        <v>1729</v>
      </c>
      <c r="J659" s="813">
        <v>42636000</v>
      </c>
      <c r="K659" s="811" t="s">
        <v>1730</v>
      </c>
      <c r="L659" s="811" t="s">
        <v>1189</v>
      </c>
      <c r="M659" s="811" t="s">
        <v>1710</v>
      </c>
      <c r="N659" s="811" t="s">
        <v>1710</v>
      </c>
      <c r="O659" s="811" t="s">
        <v>1742</v>
      </c>
      <c r="P659" s="811" t="s">
        <v>1732</v>
      </c>
      <c r="Q659" s="811" t="s">
        <v>1743</v>
      </c>
    </row>
    <row r="660" spans="1:17" x14ac:dyDescent="0.3">
      <c r="A660" s="811" t="s">
        <v>1724</v>
      </c>
      <c r="B660" s="811" t="s">
        <v>2517</v>
      </c>
      <c r="C660" s="812">
        <v>72000000</v>
      </c>
      <c r="D660" s="811" t="s">
        <v>1501</v>
      </c>
      <c r="E660" s="811" t="s">
        <v>1501</v>
      </c>
      <c r="F660" s="811" t="s">
        <v>1726</v>
      </c>
      <c r="G660" s="811" t="s">
        <v>1727</v>
      </c>
      <c r="H660" s="811" t="s">
        <v>1728</v>
      </c>
      <c r="I660" s="811" t="s">
        <v>1729</v>
      </c>
      <c r="J660" s="813">
        <v>72000000</v>
      </c>
      <c r="K660" s="811" t="s">
        <v>1730</v>
      </c>
      <c r="L660" s="811" t="s">
        <v>1189</v>
      </c>
      <c r="M660" s="811" t="s">
        <v>1710</v>
      </c>
      <c r="N660" s="811" t="s">
        <v>1710</v>
      </c>
      <c r="O660" s="811" t="s">
        <v>1804</v>
      </c>
      <c r="P660" s="811" t="s">
        <v>1732</v>
      </c>
      <c r="Q660" s="811" t="s">
        <v>1739</v>
      </c>
    </row>
    <row r="661" spans="1:17" x14ac:dyDescent="0.3">
      <c r="A661" s="811" t="s">
        <v>1724</v>
      </c>
      <c r="B661" s="811" t="s">
        <v>2518</v>
      </c>
      <c r="C661" s="812">
        <v>60000000</v>
      </c>
      <c r="D661" s="811" t="s">
        <v>1501</v>
      </c>
      <c r="E661" s="811" t="s">
        <v>1501</v>
      </c>
      <c r="F661" s="811" t="s">
        <v>1726</v>
      </c>
      <c r="G661" s="811" t="s">
        <v>1727</v>
      </c>
      <c r="H661" s="811" t="s">
        <v>1728</v>
      </c>
      <c r="I661" s="811" t="s">
        <v>1729</v>
      </c>
      <c r="J661" s="813">
        <v>60000000</v>
      </c>
      <c r="K661" s="811" t="s">
        <v>1730</v>
      </c>
      <c r="L661" s="811" t="s">
        <v>1189</v>
      </c>
      <c r="M661" s="811" t="s">
        <v>1710</v>
      </c>
      <c r="N661" s="811" t="s">
        <v>1710</v>
      </c>
      <c r="O661" s="811" t="s">
        <v>1804</v>
      </c>
      <c r="P661" s="811" t="s">
        <v>1732</v>
      </c>
      <c r="Q661" s="811" t="s">
        <v>1739</v>
      </c>
    </row>
    <row r="662" spans="1:17" x14ac:dyDescent="0.3">
      <c r="A662" s="811" t="s">
        <v>1724</v>
      </c>
      <c r="B662" s="811" t="s">
        <v>2519</v>
      </c>
      <c r="C662" s="812">
        <v>96000000</v>
      </c>
      <c r="D662" s="811" t="s">
        <v>1501</v>
      </c>
      <c r="E662" s="811" t="s">
        <v>1501</v>
      </c>
      <c r="F662" s="811" t="s">
        <v>1726</v>
      </c>
      <c r="G662" s="811" t="s">
        <v>1727</v>
      </c>
      <c r="H662" s="811" t="s">
        <v>1728</v>
      </c>
      <c r="I662" s="811" t="s">
        <v>1729</v>
      </c>
      <c r="J662" s="813">
        <v>96000000</v>
      </c>
      <c r="K662" s="811" t="s">
        <v>1730</v>
      </c>
      <c r="L662" s="811" t="s">
        <v>1189</v>
      </c>
      <c r="M662" s="811" t="s">
        <v>1710</v>
      </c>
      <c r="N662" s="811" t="s">
        <v>1710</v>
      </c>
      <c r="O662" s="811" t="s">
        <v>1804</v>
      </c>
      <c r="P662" s="811" t="s">
        <v>1732</v>
      </c>
      <c r="Q662" s="811" t="s">
        <v>1739</v>
      </c>
    </row>
    <row r="663" spans="1:17" x14ac:dyDescent="0.3">
      <c r="A663" s="811" t="s">
        <v>1724</v>
      </c>
      <c r="B663" s="811" t="s">
        <v>2520</v>
      </c>
      <c r="C663" s="812">
        <v>72000000</v>
      </c>
      <c r="D663" s="811" t="s">
        <v>1501</v>
      </c>
      <c r="E663" s="811" t="s">
        <v>1501</v>
      </c>
      <c r="F663" s="811" t="s">
        <v>1726</v>
      </c>
      <c r="G663" s="811" t="s">
        <v>1727</v>
      </c>
      <c r="H663" s="811" t="s">
        <v>1728</v>
      </c>
      <c r="I663" s="811" t="s">
        <v>1729</v>
      </c>
      <c r="J663" s="813">
        <v>72000000</v>
      </c>
      <c r="K663" s="811" t="s">
        <v>1730</v>
      </c>
      <c r="L663" s="811" t="s">
        <v>1189</v>
      </c>
      <c r="M663" s="811" t="s">
        <v>1710</v>
      </c>
      <c r="N663" s="811" t="s">
        <v>1710</v>
      </c>
      <c r="O663" s="811" t="s">
        <v>1804</v>
      </c>
      <c r="P663" s="811" t="s">
        <v>1732</v>
      </c>
      <c r="Q663" s="811" t="s">
        <v>1739</v>
      </c>
    </row>
    <row r="664" spans="1:17" x14ac:dyDescent="0.3">
      <c r="A664" s="811" t="s">
        <v>1724</v>
      </c>
      <c r="B664" s="811" t="s">
        <v>2521</v>
      </c>
      <c r="C664" s="812">
        <v>56000000</v>
      </c>
      <c r="D664" s="811" t="s">
        <v>1501</v>
      </c>
      <c r="E664" s="811" t="s">
        <v>1501</v>
      </c>
      <c r="F664" s="811" t="s">
        <v>1726</v>
      </c>
      <c r="G664" s="811" t="s">
        <v>1727</v>
      </c>
      <c r="H664" s="811" t="s">
        <v>1728</v>
      </c>
      <c r="I664" s="811" t="s">
        <v>1729</v>
      </c>
      <c r="J664" s="813">
        <v>56000000</v>
      </c>
      <c r="K664" s="811" t="s">
        <v>1730</v>
      </c>
      <c r="L664" s="811" t="s">
        <v>1189</v>
      </c>
      <c r="M664" s="811" t="s">
        <v>1710</v>
      </c>
      <c r="N664" s="811" t="s">
        <v>1710</v>
      </c>
      <c r="O664" s="811" t="s">
        <v>1804</v>
      </c>
      <c r="P664" s="811" t="s">
        <v>1732</v>
      </c>
      <c r="Q664" s="811" t="s">
        <v>1739</v>
      </c>
    </row>
    <row r="665" spans="1:17" x14ac:dyDescent="0.3">
      <c r="A665" s="811" t="s">
        <v>1724</v>
      </c>
      <c r="B665" s="811" t="s">
        <v>2522</v>
      </c>
      <c r="C665" s="812">
        <v>63000000</v>
      </c>
      <c r="D665" s="811" t="s">
        <v>1501</v>
      </c>
      <c r="E665" s="811" t="s">
        <v>1501</v>
      </c>
      <c r="F665" s="811" t="s">
        <v>1741</v>
      </c>
      <c r="G665" s="811" t="s">
        <v>1727</v>
      </c>
      <c r="H665" s="811" t="s">
        <v>1728</v>
      </c>
      <c r="I665" s="811" t="s">
        <v>1729</v>
      </c>
      <c r="J665" s="813">
        <v>63000000</v>
      </c>
      <c r="K665" s="811" t="s">
        <v>1730</v>
      </c>
      <c r="L665" s="811" t="s">
        <v>1189</v>
      </c>
      <c r="M665" s="811" t="s">
        <v>1710</v>
      </c>
      <c r="N665" s="811" t="s">
        <v>1710</v>
      </c>
      <c r="O665" s="811" t="s">
        <v>1804</v>
      </c>
      <c r="P665" s="811" t="s">
        <v>1732</v>
      </c>
      <c r="Q665" s="811" t="s">
        <v>1739</v>
      </c>
    </row>
    <row r="666" spans="1:17" x14ac:dyDescent="0.3">
      <c r="A666" s="811" t="s">
        <v>1724</v>
      </c>
      <c r="B666" s="811" t="s">
        <v>2523</v>
      </c>
      <c r="C666" s="812">
        <v>61600000</v>
      </c>
      <c r="D666" s="811" t="s">
        <v>1501</v>
      </c>
      <c r="E666" s="811" t="s">
        <v>1501</v>
      </c>
      <c r="F666" s="811" t="s">
        <v>1726</v>
      </c>
      <c r="G666" s="811" t="s">
        <v>1727</v>
      </c>
      <c r="H666" s="811" t="s">
        <v>1728</v>
      </c>
      <c r="I666" s="811" t="s">
        <v>1729</v>
      </c>
      <c r="J666" s="813">
        <v>61600000</v>
      </c>
      <c r="K666" s="811" t="s">
        <v>1730</v>
      </c>
      <c r="L666" s="811" t="s">
        <v>1189</v>
      </c>
      <c r="M666" s="811" t="s">
        <v>1710</v>
      </c>
      <c r="N666" s="811" t="s">
        <v>1710</v>
      </c>
      <c r="O666" s="811" t="s">
        <v>1804</v>
      </c>
      <c r="P666" s="811" t="s">
        <v>1732</v>
      </c>
      <c r="Q666" s="811" t="s">
        <v>1739</v>
      </c>
    </row>
    <row r="667" spans="1:17" x14ac:dyDescent="0.3">
      <c r="A667" s="811" t="s">
        <v>1724</v>
      </c>
      <c r="B667" s="811" t="s">
        <v>2524</v>
      </c>
      <c r="C667" s="812">
        <v>39975144</v>
      </c>
      <c r="D667" s="811" t="s">
        <v>1501</v>
      </c>
      <c r="E667" s="811" t="s">
        <v>1501</v>
      </c>
      <c r="F667" s="811" t="s">
        <v>1726</v>
      </c>
      <c r="G667" s="811" t="s">
        <v>1727</v>
      </c>
      <c r="H667" s="811" t="s">
        <v>1728</v>
      </c>
      <c r="I667" s="811" t="s">
        <v>1729</v>
      </c>
      <c r="J667" s="813">
        <v>39975144</v>
      </c>
      <c r="K667" s="811" t="s">
        <v>1730</v>
      </c>
      <c r="L667" s="811" t="s">
        <v>1189</v>
      </c>
      <c r="M667" s="811" t="s">
        <v>1710</v>
      </c>
      <c r="N667" s="811" t="s">
        <v>1710</v>
      </c>
      <c r="O667" s="811" t="s">
        <v>1804</v>
      </c>
      <c r="P667" s="811" t="s">
        <v>1732</v>
      </c>
      <c r="Q667" s="811" t="s">
        <v>1739</v>
      </c>
    </row>
    <row r="668" spans="1:17" x14ac:dyDescent="0.3">
      <c r="A668" s="811" t="s">
        <v>1724</v>
      </c>
      <c r="B668" s="811" t="s">
        <v>2525</v>
      </c>
      <c r="C668" s="812">
        <v>90000000</v>
      </c>
      <c r="D668" s="811" t="s">
        <v>1501</v>
      </c>
      <c r="E668" s="811" t="s">
        <v>1501</v>
      </c>
      <c r="F668" s="811" t="s">
        <v>1741</v>
      </c>
      <c r="G668" s="811" t="s">
        <v>1727</v>
      </c>
      <c r="H668" s="811" t="s">
        <v>1728</v>
      </c>
      <c r="I668" s="811" t="s">
        <v>1729</v>
      </c>
      <c r="J668" s="813">
        <v>90000000</v>
      </c>
      <c r="K668" s="811" t="s">
        <v>1730</v>
      </c>
      <c r="L668" s="811" t="s">
        <v>1189</v>
      </c>
      <c r="M668" s="811" t="s">
        <v>1710</v>
      </c>
      <c r="N668" s="811" t="s">
        <v>1710</v>
      </c>
      <c r="O668" s="811" t="s">
        <v>1756</v>
      </c>
      <c r="P668" s="811" t="s">
        <v>1732</v>
      </c>
      <c r="Q668" s="811" t="s">
        <v>1757</v>
      </c>
    </row>
    <row r="669" spans="1:17" x14ac:dyDescent="0.3">
      <c r="A669" s="811" t="s">
        <v>1724</v>
      </c>
      <c r="B669" s="811" t="s">
        <v>2526</v>
      </c>
      <c r="C669" s="812">
        <v>36794250</v>
      </c>
      <c r="D669" s="811" t="s">
        <v>1501</v>
      </c>
      <c r="E669" s="811" t="s">
        <v>1501</v>
      </c>
      <c r="F669" s="811" t="s">
        <v>1741</v>
      </c>
      <c r="G669" s="811" t="s">
        <v>1727</v>
      </c>
      <c r="H669" s="811" t="s">
        <v>1728</v>
      </c>
      <c r="I669" s="811" t="s">
        <v>1729</v>
      </c>
      <c r="J669" s="813">
        <v>36794250</v>
      </c>
      <c r="K669" s="811" t="s">
        <v>1730</v>
      </c>
      <c r="L669" s="811" t="s">
        <v>1189</v>
      </c>
      <c r="M669" s="811" t="s">
        <v>1710</v>
      </c>
      <c r="N669" s="811" t="s">
        <v>1710</v>
      </c>
      <c r="O669" s="811" t="s">
        <v>1756</v>
      </c>
      <c r="P669" s="811" t="s">
        <v>1732</v>
      </c>
      <c r="Q669" s="811" t="s">
        <v>1757</v>
      </c>
    </row>
    <row r="670" spans="1:17" x14ac:dyDescent="0.3">
      <c r="A670" s="811" t="s">
        <v>1724</v>
      </c>
      <c r="B670" s="811" t="s">
        <v>2053</v>
      </c>
      <c r="C670" s="812">
        <v>64900000</v>
      </c>
      <c r="D670" s="811" t="s">
        <v>1505</v>
      </c>
      <c r="E670" s="811" t="s">
        <v>1505</v>
      </c>
      <c r="F670" s="811" t="s">
        <v>1764</v>
      </c>
      <c r="G670" s="811" t="s">
        <v>1727</v>
      </c>
      <c r="H670" s="811" t="s">
        <v>1728</v>
      </c>
      <c r="I670" s="811" t="s">
        <v>1729</v>
      </c>
      <c r="J670" s="813">
        <v>64900000</v>
      </c>
      <c r="K670" s="811" t="s">
        <v>1730</v>
      </c>
      <c r="L670" s="811" t="s">
        <v>1189</v>
      </c>
      <c r="M670" s="811" t="s">
        <v>1710</v>
      </c>
      <c r="N670" s="811" t="s">
        <v>1710</v>
      </c>
      <c r="O670" s="811" t="s">
        <v>1761</v>
      </c>
      <c r="P670" s="811" t="s">
        <v>1732</v>
      </c>
      <c r="Q670" s="811" t="s">
        <v>1733</v>
      </c>
    </row>
    <row r="671" spans="1:17" x14ac:dyDescent="0.3">
      <c r="A671" s="811" t="s">
        <v>1724</v>
      </c>
      <c r="B671" s="811" t="s">
        <v>2053</v>
      </c>
      <c r="C671" s="812">
        <v>64900000</v>
      </c>
      <c r="D671" s="811" t="s">
        <v>1505</v>
      </c>
      <c r="E671" s="811" t="s">
        <v>1505</v>
      </c>
      <c r="F671" s="811" t="s">
        <v>1764</v>
      </c>
      <c r="G671" s="811" t="s">
        <v>1727</v>
      </c>
      <c r="H671" s="811" t="s">
        <v>1728</v>
      </c>
      <c r="I671" s="811" t="s">
        <v>1729</v>
      </c>
      <c r="J671" s="813">
        <v>64900000</v>
      </c>
      <c r="K671" s="811" t="s">
        <v>1730</v>
      </c>
      <c r="L671" s="811" t="s">
        <v>1189</v>
      </c>
      <c r="M671" s="811" t="s">
        <v>1710</v>
      </c>
      <c r="N671" s="811" t="s">
        <v>1710</v>
      </c>
      <c r="O671" s="811" t="s">
        <v>1761</v>
      </c>
      <c r="P671" s="811" t="s">
        <v>1732</v>
      </c>
      <c r="Q671" s="811" t="s">
        <v>1733</v>
      </c>
    </row>
    <row r="672" spans="1:17" x14ac:dyDescent="0.3">
      <c r="A672" s="811" t="s">
        <v>1724</v>
      </c>
      <c r="B672" s="811" t="s">
        <v>2053</v>
      </c>
      <c r="C672" s="812">
        <v>64900000</v>
      </c>
      <c r="D672" s="811" t="s">
        <v>1505</v>
      </c>
      <c r="E672" s="811" t="s">
        <v>1505</v>
      </c>
      <c r="F672" s="811" t="s">
        <v>1747</v>
      </c>
      <c r="G672" s="811" t="s">
        <v>1727</v>
      </c>
      <c r="H672" s="811" t="s">
        <v>1728</v>
      </c>
      <c r="I672" s="811" t="s">
        <v>1729</v>
      </c>
      <c r="J672" s="813">
        <v>64900000</v>
      </c>
      <c r="K672" s="811" t="s">
        <v>1730</v>
      </c>
      <c r="L672" s="811" t="s">
        <v>1189</v>
      </c>
      <c r="M672" s="811" t="s">
        <v>1710</v>
      </c>
      <c r="N672" s="811" t="s">
        <v>1710</v>
      </c>
      <c r="O672" s="811" t="s">
        <v>1761</v>
      </c>
      <c r="P672" s="811" t="s">
        <v>1732</v>
      </c>
      <c r="Q672" s="811" t="s">
        <v>1733</v>
      </c>
    </row>
    <row r="673" spans="1:17" x14ac:dyDescent="0.3">
      <c r="A673" s="811" t="s">
        <v>1724</v>
      </c>
      <c r="B673" s="811" t="s">
        <v>2053</v>
      </c>
      <c r="C673" s="812">
        <v>64900000</v>
      </c>
      <c r="D673" s="811" t="s">
        <v>1505</v>
      </c>
      <c r="E673" s="811" t="s">
        <v>1505</v>
      </c>
      <c r="F673" s="811" t="s">
        <v>1747</v>
      </c>
      <c r="G673" s="811" t="s">
        <v>1727</v>
      </c>
      <c r="H673" s="811" t="s">
        <v>1728</v>
      </c>
      <c r="I673" s="811" t="s">
        <v>1729</v>
      </c>
      <c r="J673" s="813">
        <v>64900000</v>
      </c>
      <c r="K673" s="811" t="s">
        <v>1730</v>
      </c>
      <c r="L673" s="811" t="s">
        <v>1189</v>
      </c>
      <c r="M673" s="811" t="s">
        <v>1710</v>
      </c>
      <c r="N673" s="811" t="s">
        <v>1710</v>
      </c>
      <c r="O673" s="811" t="s">
        <v>1761</v>
      </c>
      <c r="P673" s="811" t="s">
        <v>1732</v>
      </c>
      <c r="Q673" s="811" t="s">
        <v>1733</v>
      </c>
    </row>
    <row r="674" spans="1:17" x14ac:dyDescent="0.3">
      <c r="A674" s="811" t="s">
        <v>1724</v>
      </c>
      <c r="B674" s="811" t="s">
        <v>2053</v>
      </c>
      <c r="C674" s="812">
        <v>64900000</v>
      </c>
      <c r="D674" s="811" t="s">
        <v>1505</v>
      </c>
      <c r="E674" s="811" t="s">
        <v>1505</v>
      </c>
      <c r="F674" s="811" t="s">
        <v>1747</v>
      </c>
      <c r="G674" s="811" t="s">
        <v>1727</v>
      </c>
      <c r="H674" s="811" t="s">
        <v>1728</v>
      </c>
      <c r="I674" s="811" t="s">
        <v>1729</v>
      </c>
      <c r="J674" s="813">
        <v>64900000</v>
      </c>
      <c r="K674" s="811" t="s">
        <v>1730</v>
      </c>
      <c r="L674" s="811" t="s">
        <v>1189</v>
      </c>
      <c r="M674" s="811" t="s">
        <v>1710</v>
      </c>
      <c r="N674" s="811" t="s">
        <v>1710</v>
      </c>
      <c r="O674" s="811" t="s">
        <v>1761</v>
      </c>
      <c r="P674" s="811" t="s">
        <v>1732</v>
      </c>
      <c r="Q674" s="811" t="s">
        <v>1733</v>
      </c>
    </row>
    <row r="675" spans="1:17" x14ac:dyDescent="0.3">
      <c r="A675" s="811" t="s">
        <v>1724</v>
      </c>
      <c r="B675" s="811" t="s">
        <v>2053</v>
      </c>
      <c r="C675" s="812">
        <v>64900000</v>
      </c>
      <c r="D675" s="811" t="s">
        <v>1505</v>
      </c>
      <c r="E675" s="811" t="s">
        <v>1505</v>
      </c>
      <c r="F675" s="811" t="s">
        <v>1747</v>
      </c>
      <c r="G675" s="811" t="s">
        <v>1727</v>
      </c>
      <c r="H675" s="811" t="s">
        <v>1728</v>
      </c>
      <c r="I675" s="811" t="s">
        <v>1729</v>
      </c>
      <c r="J675" s="813">
        <v>64900000</v>
      </c>
      <c r="K675" s="811" t="s">
        <v>1730</v>
      </c>
      <c r="L675" s="811" t="s">
        <v>1189</v>
      </c>
      <c r="M675" s="811" t="s">
        <v>1710</v>
      </c>
      <c r="N675" s="811" t="s">
        <v>1710</v>
      </c>
      <c r="O675" s="811" t="s">
        <v>1761</v>
      </c>
      <c r="P675" s="811" t="s">
        <v>1732</v>
      </c>
      <c r="Q675" s="811" t="s">
        <v>1733</v>
      </c>
    </row>
    <row r="676" spans="1:17" x14ac:dyDescent="0.3">
      <c r="A676" s="811" t="s">
        <v>1724</v>
      </c>
      <c r="B676" s="811" t="s">
        <v>2527</v>
      </c>
      <c r="C676" s="812">
        <v>58900000</v>
      </c>
      <c r="D676" s="811" t="s">
        <v>1505</v>
      </c>
      <c r="E676" s="811" t="s">
        <v>1505</v>
      </c>
      <c r="F676" s="811" t="s">
        <v>1760</v>
      </c>
      <c r="G676" s="811" t="s">
        <v>1727</v>
      </c>
      <c r="H676" s="811" t="s">
        <v>1728</v>
      </c>
      <c r="I676" s="811" t="s">
        <v>1729</v>
      </c>
      <c r="J676" s="813">
        <v>58900000</v>
      </c>
      <c r="K676" s="811" t="s">
        <v>1730</v>
      </c>
      <c r="L676" s="811" t="s">
        <v>1189</v>
      </c>
      <c r="M676" s="811" t="s">
        <v>1710</v>
      </c>
      <c r="N676" s="811" t="s">
        <v>1710</v>
      </c>
      <c r="O676" s="811" t="s">
        <v>1844</v>
      </c>
      <c r="P676" s="811" t="s">
        <v>1732</v>
      </c>
      <c r="Q676" s="811" t="s">
        <v>1780</v>
      </c>
    </row>
    <row r="677" spans="1:17" x14ac:dyDescent="0.3">
      <c r="A677" s="811" t="s">
        <v>1724</v>
      </c>
      <c r="B677" s="811" t="s">
        <v>2528</v>
      </c>
      <c r="C677" s="812">
        <v>54000000</v>
      </c>
      <c r="D677" s="811" t="s">
        <v>1505</v>
      </c>
      <c r="E677" s="811" t="s">
        <v>1505</v>
      </c>
      <c r="F677" s="811" t="s">
        <v>1760</v>
      </c>
      <c r="G677" s="811" t="s">
        <v>1727</v>
      </c>
      <c r="H677" s="811" t="s">
        <v>1728</v>
      </c>
      <c r="I677" s="811" t="s">
        <v>1729</v>
      </c>
      <c r="J677" s="813">
        <v>54000000</v>
      </c>
      <c r="K677" s="811" t="s">
        <v>1730</v>
      </c>
      <c r="L677" s="811" t="s">
        <v>1189</v>
      </c>
      <c r="M677" s="811" t="s">
        <v>1710</v>
      </c>
      <c r="N677" s="811" t="s">
        <v>1710</v>
      </c>
      <c r="O677" s="811" t="s">
        <v>1844</v>
      </c>
      <c r="P677" s="811" t="s">
        <v>1732</v>
      </c>
      <c r="Q677" s="811" t="s">
        <v>1780</v>
      </c>
    </row>
    <row r="678" spans="1:17" x14ac:dyDescent="0.3">
      <c r="A678" s="811" t="s">
        <v>1724</v>
      </c>
      <c r="B678" s="811" t="s">
        <v>2529</v>
      </c>
      <c r="C678" s="812">
        <v>136056666</v>
      </c>
      <c r="D678" s="811" t="s">
        <v>1495</v>
      </c>
      <c r="E678" s="811" t="s">
        <v>1495</v>
      </c>
      <c r="F678" s="811" t="s">
        <v>1747</v>
      </c>
      <c r="G678" s="811" t="s">
        <v>1727</v>
      </c>
      <c r="H678" s="811" t="s">
        <v>1728</v>
      </c>
      <c r="I678" s="811" t="s">
        <v>1729</v>
      </c>
      <c r="J678" s="813">
        <v>136056666</v>
      </c>
      <c r="K678" s="811" t="s">
        <v>1730</v>
      </c>
      <c r="L678" s="811" t="s">
        <v>1189</v>
      </c>
      <c r="M678" s="811" t="s">
        <v>1710</v>
      </c>
      <c r="N678" s="811" t="s">
        <v>1710</v>
      </c>
      <c r="O678" s="811" t="s">
        <v>1844</v>
      </c>
      <c r="P678" s="811" t="s">
        <v>1732</v>
      </c>
      <c r="Q678" s="811" t="s">
        <v>1780</v>
      </c>
    </row>
    <row r="679" spans="1:17" x14ac:dyDescent="0.3">
      <c r="A679" s="811" t="s">
        <v>1724</v>
      </c>
      <c r="B679" s="811" t="s">
        <v>2530</v>
      </c>
      <c r="C679" s="812">
        <v>80000000</v>
      </c>
      <c r="D679" s="811" t="s">
        <v>1505</v>
      </c>
      <c r="E679" s="811" t="s">
        <v>1505</v>
      </c>
      <c r="F679" s="811" t="s">
        <v>1760</v>
      </c>
      <c r="G679" s="811" t="s">
        <v>1727</v>
      </c>
      <c r="H679" s="811" t="s">
        <v>1728</v>
      </c>
      <c r="I679" s="811" t="s">
        <v>1729</v>
      </c>
      <c r="J679" s="813">
        <v>80000000</v>
      </c>
      <c r="K679" s="811" t="s">
        <v>1730</v>
      </c>
      <c r="L679" s="811" t="s">
        <v>1189</v>
      </c>
      <c r="M679" s="811" t="s">
        <v>1710</v>
      </c>
      <c r="N679" s="811" t="s">
        <v>1710</v>
      </c>
      <c r="O679" s="811" t="s">
        <v>1844</v>
      </c>
      <c r="P679" s="811" t="s">
        <v>1732</v>
      </c>
      <c r="Q679" s="811" t="s">
        <v>1780</v>
      </c>
    </row>
    <row r="680" spans="1:17" x14ac:dyDescent="0.3">
      <c r="A680" s="811" t="s">
        <v>1724</v>
      </c>
      <c r="B680" s="811" t="s">
        <v>2531</v>
      </c>
      <c r="C680" s="812">
        <v>24000000</v>
      </c>
      <c r="D680" s="811" t="s">
        <v>1501</v>
      </c>
      <c r="E680" s="811" t="s">
        <v>1501</v>
      </c>
      <c r="F680" s="811" t="s">
        <v>1793</v>
      </c>
      <c r="G680" s="811" t="s">
        <v>1727</v>
      </c>
      <c r="H680" s="811" t="s">
        <v>1728</v>
      </c>
      <c r="I680" s="811" t="s">
        <v>1729</v>
      </c>
      <c r="J680" s="813">
        <v>24000000</v>
      </c>
      <c r="K680" s="811" t="s">
        <v>1730</v>
      </c>
      <c r="L680" s="811" t="s">
        <v>1189</v>
      </c>
      <c r="M680" s="811" t="s">
        <v>1710</v>
      </c>
      <c r="N680" s="811" t="s">
        <v>1710</v>
      </c>
      <c r="O680" s="811" t="s">
        <v>1844</v>
      </c>
      <c r="P680" s="811" t="s">
        <v>1732</v>
      </c>
      <c r="Q680" s="811" t="s">
        <v>1780</v>
      </c>
    </row>
    <row r="681" spans="1:17" x14ac:dyDescent="0.3">
      <c r="A681" s="811" t="s">
        <v>1724</v>
      </c>
      <c r="B681" s="811" t="s">
        <v>2532</v>
      </c>
      <c r="C681" s="812">
        <v>18000000</v>
      </c>
      <c r="D681" s="811" t="s">
        <v>1505</v>
      </c>
      <c r="E681" s="811" t="s">
        <v>1505</v>
      </c>
      <c r="F681" s="811" t="s">
        <v>1793</v>
      </c>
      <c r="G681" s="811" t="s">
        <v>1727</v>
      </c>
      <c r="H681" s="811" t="s">
        <v>1728</v>
      </c>
      <c r="I681" s="811" t="s">
        <v>1729</v>
      </c>
      <c r="J681" s="813">
        <v>18000000</v>
      </c>
      <c r="K681" s="811" t="s">
        <v>1730</v>
      </c>
      <c r="L681" s="811" t="s">
        <v>1189</v>
      </c>
      <c r="M681" s="811" t="s">
        <v>1710</v>
      </c>
      <c r="N681" s="811" t="s">
        <v>1710</v>
      </c>
      <c r="O681" s="811" t="s">
        <v>1844</v>
      </c>
      <c r="P681" s="811" t="s">
        <v>1732</v>
      </c>
      <c r="Q681" s="811" t="s">
        <v>1780</v>
      </c>
    </row>
    <row r="682" spans="1:17" x14ac:dyDescent="0.3">
      <c r="A682" s="811" t="s">
        <v>1724</v>
      </c>
      <c r="B682" s="811" t="s">
        <v>2533</v>
      </c>
      <c r="C682" s="812">
        <v>55000000</v>
      </c>
      <c r="D682" s="811" t="s">
        <v>1505</v>
      </c>
      <c r="E682" s="811" t="s">
        <v>1505</v>
      </c>
      <c r="F682" s="811" t="s">
        <v>1760</v>
      </c>
      <c r="G682" s="811" t="s">
        <v>1727</v>
      </c>
      <c r="H682" s="811" t="s">
        <v>1728</v>
      </c>
      <c r="I682" s="811" t="s">
        <v>1729</v>
      </c>
      <c r="J682" s="813">
        <v>55000000</v>
      </c>
      <c r="K682" s="811" t="s">
        <v>1730</v>
      </c>
      <c r="L682" s="811" t="s">
        <v>1189</v>
      </c>
      <c r="M682" s="811" t="s">
        <v>1710</v>
      </c>
      <c r="N682" s="811" t="s">
        <v>1710</v>
      </c>
      <c r="O682" s="811" t="s">
        <v>1844</v>
      </c>
      <c r="P682" s="811" t="s">
        <v>1732</v>
      </c>
      <c r="Q682" s="811" t="s">
        <v>1780</v>
      </c>
    </row>
    <row r="683" spans="1:17" x14ac:dyDescent="0.3">
      <c r="A683" s="811" t="s">
        <v>1724</v>
      </c>
      <c r="B683" s="811" t="s">
        <v>2534</v>
      </c>
      <c r="C683" s="812">
        <v>52833333</v>
      </c>
      <c r="D683" s="811" t="s">
        <v>1505</v>
      </c>
      <c r="E683" s="811" t="s">
        <v>1505</v>
      </c>
      <c r="F683" s="811" t="s">
        <v>1764</v>
      </c>
      <c r="G683" s="811" t="s">
        <v>1727</v>
      </c>
      <c r="H683" s="811" t="s">
        <v>1728</v>
      </c>
      <c r="I683" s="811" t="s">
        <v>1729</v>
      </c>
      <c r="J683" s="813">
        <v>52833333</v>
      </c>
      <c r="K683" s="811" t="s">
        <v>1730</v>
      </c>
      <c r="L683" s="811" t="s">
        <v>1189</v>
      </c>
      <c r="M683" s="811" t="s">
        <v>1710</v>
      </c>
      <c r="N683" s="811" t="s">
        <v>1710</v>
      </c>
      <c r="O683" s="811" t="s">
        <v>1844</v>
      </c>
      <c r="P683" s="811" t="s">
        <v>1732</v>
      </c>
      <c r="Q683" s="811" t="s">
        <v>1780</v>
      </c>
    </row>
    <row r="684" spans="1:17" x14ac:dyDescent="0.3">
      <c r="A684" s="811" t="s">
        <v>1724</v>
      </c>
      <c r="B684" s="811" t="s">
        <v>2535</v>
      </c>
      <c r="C684" s="812">
        <v>60282833</v>
      </c>
      <c r="D684" s="811" t="s">
        <v>1505</v>
      </c>
      <c r="E684" s="811" t="s">
        <v>1505</v>
      </c>
      <c r="F684" s="811" t="s">
        <v>1764</v>
      </c>
      <c r="G684" s="811" t="s">
        <v>1727</v>
      </c>
      <c r="H684" s="811" t="s">
        <v>1728</v>
      </c>
      <c r="I684" s="811" t="s">
        <v>1729</v>
      </c>
      <c r="J684" s="813">
        <v>60282833</v>
      </c>
      <c r="K684" s="811" t="s">
        <v>1730</v>
      </c>
      <c r="L684" s="811" t="s">
        <v>1189</v>
      </c>
      <c r="M684" s="811" t="s">
        <v>1710</v>
      </c>
      <c r="N684" s="811" t="s">
        <v>1710</v>
      </c>
      <c r="O684" s="811" t="s">
        <v>1844</v>
      </c>
      <c r="P684" s="811" t="s">
        <v>1732</v>
      </c>
      <c r="Q684" s="811" t="s">
        <v>1780</v>
      </c>
    </row>
    <row r="685" spans="1:17" x14ac:dyDescent="0.3">
      <c r="A685" s="811" t="s">
        <v>1724</v>
      </c>
      <c r="B685" s="811" t="s">
        <v>2132</v>
      </c>
      <c r="C685" s="812">
        <v>54661018</v>
      </c>
      <c r="D685" s="811" t="s">
        <v>1495</v>
      </c>
      <c r="E685" s="811" t="s">
        <v>1495</v>
      </c>
      <c r="F685" s="811" t="s">
        <v>1747</v>
      </c>
      <c r="G685" s="811" t="s">
        <v>1727</v>
      </c>
      <c r="H685" s="811" t="s">
        <v>1728</v>
      </c>
      <c r="I685" s="811" t="s">
        <v>1729</v>
      </c>
      <c r="J685" s="813">
        <v>54661018</v>
      </c>
      <c r="K685" s="811" t="s">
        <v>1730</v>
      </c>
      <c r="L685" s="811" t="s">
        <v>1189</v>
      </c>
      <c r="M685" s="811" t="s">
        <v>1710</v>
      </c>
      <c r="N685" s="811" t="s">
        <v>1710</v>
      </c>
      <c r="O685" s="811" t="s">
        <v>1844</v>
      </c>
      <c r="P685" s="811" t="s">
        <v>1732</v>
      </c>
      <c r="Q685" s="811" t="s">
        <v>1780</v>
      </c>
    </row>
    <row r="686" spans="1:17" x14ac:dyDescent="0.3">
      <c r="A686" s="811" t="s">
        <v>1724</v>
      </c>
      <c r="B686" s="811" t="s">
        <v>2536</v>
      </c>
      <c r="C686" s="812">
        <v>72000000</v>
      </c>
      <c r="D686" s="811" t="s">
        <v>1505</v>
      </c>
      <c r="E686" s="811" t="s">
        <v>1505</v>
      </c>
      <c r="F686" s="811" t="s">
        <v>1760</v>
      </c>
      <c r="G686" s="811" t="s">
        <v>1727</v>
      </c>
      <c r="H686" s="811" t="s">
        <v>1728</v>
      </c>
      <c r="I686" s="811" t="s">
        <v>1729</v>
      </c>
      <c r="J686" s="813">
        <v>72000000</v>
      </c>
      <c r="K686" s="811" t="s">
        <v>1730</v>
      </c>
      <c r="L686" s="811" t="s">
        <v>1189</v>
      </c>
      <c r="M686" s="811" t="s">
        <v>1710</v>
      </c>
      <c r="N686" s="811" t="s">
        <v>1710</v>
      </c>
      <c r="O686" s="811" t="s">
        <v>1844</v>
      </c>
      <c r="P686" s="811" t="s">
        <v>1732</v>
      </c>
      <c r="Q686" s="811" t="s">
        <v>1780</v>
      </c>
    </row>
    <row r="687" spans="1:17" x14ac:dyDescent="0.3">
      <c r="A687" s="811" t="s">
        <v>1724</v>
      </c>
      <c r="B687" s="811" t="s">
        <v>2537</v>
      </c>
      <c r="C687" s="812">
        <v>77500000</v>
      </c>
      <c r="D687" s="811" t="s">
        <v>1505</v>
      </c>
      <c r="E687" s="811" t="s">
        <v>1505</v>
      </c>
      <c r="F687" s="811" t="s">
        <v>1764</v>
      </c>
      <c r="G687" s="811" t="s">
        <v>1727</v>
      </c>
      <c r="H687" s="811" t="s">
        <v>1728</v>
      </c>
      <c r="I687" s="811" t="s">
        <v>1729</v>
      </c>
      <c r="J687" s="813">
        <v>77500000</v>
      </c>
      <c r="K687" s="811" t="s">
        <v>1730</v>
      </c>
      <c r="L687" s="811" t="s">
        <v>1189</v>
      </c>
      <c r="M687" s="811" t="s">
        <v>1710</v>
      </c>
      <c r="N687" s="811" t="s">
        <v>1710</v>
      </c>
      <c r="O687" s="811" t="s">
        <v>1844</v>
      </c>
      <c r="P687" s="811" t="s">
        <v>1732</v>
      </c>
      <c r="Q687" s="811" t="s">
        <v>1780</v>
      </c>
    </row>
    <row r="688" spans="1:17" x14ac:dyDescent="0.3">
      <c r="A688" s="811" t="s">
        <v>2042</v>
      </c>
      <c r="B688" s="811" t="s">
        <v>2538</v>
      </c>
      <c r="C688" s="812">
        <v>5580000000</v>
      </c>
      <c r="D688" s="811" t="s">
        <v>1502</v>
      </c>
      <c r="E688" s="811" t="s">
        <v>1509</v>
      </c>
      <c r="F688" s="811" t="s">
        <v>1793</v>
      </c>
      <c r="G688" s="811" t="s">
        <v>1727</v>
      </c>
      <c r="H688" s="811" t="s">
        <v>1859</v>
      </c>
      <c r="I688" s="811" t="s">
        <v>1729</v>
      </c>
      <c r="J688" s="813">
        <v>5580000000</v>
      </c>
      <c r="K688" s="811" t="s">
        <v>1730</v>
      </c>
      <c r="L688" s="811" t="s">
        <v>1189</v>
      </c>
      <c r="M688" s="811" t="s">
        <v>1710</v>
      </c>
      <c r="N688" s="811" t="s">
        <v>1710</v>
      </c>
      <c r="O688" s="811" t="s">
        <v>1761</v>
      </c>
      <c r="P688" s="811" t="s">
        <v>1732</v>
      </c>
      <c r="Q688" s="811" t="s">
        <v>1733</v>
      </c>
    </row>
    <row r="689" spans="1:17" x14ac:dyDescent="0.3">
      <c r="A689" s="811" t="s">
        <v>2539</v>
      </c>
      <c r="B689" s="811" t="s">
        <v>2540</v>
      </c>
      <c r="C689" s="812">
        <v>3720000000</v>
      </c>
      <c r="D689" s="811" t="s">
        <v>2236</v>
      </c>
      <c r="E689" s="811" t="s">
        <v>2236</v>
      </c>
      <c r="F689" s="811" t="s">
        <v>1737</v>
      </c>
      <c r="G689" s="811" t="s">
        <v>1727</v>
      </c>
      <c r="H689" s="811" t="s">
        <v>1728</v>
      </c>
      <c r="I689" s="811" t="s">
        <v>1729</v>
      </c>
      <c r="J689" s="813">
        <v>3720000000</v>
      </c>
      <c r="K689" s="811" t="s">
        <v>1730</v>
      </c>
      <c r="L689" s="811" t="s">
        <v>1189</v>
      </c>
      <c r="M689" s="811" t="s">
        <v>1710</v>
      </c>
      <c r="N689" s="811" t="s">
        <v>1710</v>
      </c>
      <c r="O689" s="811" t="s">
        <v>1761</v>
      </c>
      <c r="P689" s="811" t="s">
        <v>1732</v>
      </c>
      <c r="Q689" s="811" t="s">
        <v>1733</v>
      </c>
    </row>
    <row r="690" spans="1:17" x14ac:dyDescent="0.3">
      <c r="A690" s="811" t="s">
        <v>1724</v>
      </c>
      <c r="B690" s="811" t="s">
        <v>2541</v>
      </c>
      <c r="C690" s="812">
        <v>90000000</v>
      </c>
      <c r="D690" s="811" t="s">
        <v>1501</v>
      </c>
      <c r="E690" s="811" t="s">
        <v>1501</v>
      </c>
      <c r="F690" s="811" t="s">
        <v>1737</v>
      </c>
      <c r="G690" s="811" t="s">
        <v>1727</v>
      </c>
      <c r="H690" s="811" t="s">
        <v>1728</v>
      </c>
      <c r="I690" s="811" t="s">
        <v>1729</v>
      </c>
      <c r="J690" s="813">
        <v>90000000</v>
      </c>
      <c r="K690" s="811" t="s">
        <v>1730</v>
      </c>
      <c r="L690" s="811" t="s">
        <v>1189</v>
      </c>
      <c r="M690" s="811" t="s">
        <v>1710</v>
      </c>
      <c r="N690" s="811" t="s">
        <v>1710</v>
      </c>
      <c r="O690" s="811" t="s">
        <v>1804</v>
      </c>
      <c r="P690" s="811" t="s">
        <v>1732</v>
      </c>
      <c r="Q690" s="811" t="s">
        <v>1739</v>
      </c>
    </row>
    <row r="691" spans="1:17" x14ac:dyDescent="0.3">
      <c r="A691" s="811" t="s">
        <v>1724</v>
      </c>
      <c r="B691" s="811" t="s">
        <v>2542</v>
      </c>
      <c r="C691" s="812">
        <v>90000000</v>
      </c>
      <c r="D691" s="811" t="s">
        <v>1501</v>
      </c>
      <c r="E691" s="811" t="s">
        <v>1501</v>
      </c>
      <c r="F691" s="811" t="s">
        <v>1737</v>
      </c>
      <c r="G691" s="811" t="s">
        <v>1727</v>
      </c>
      <c r="H691" s="811" t="s">
        <v>1728</v>
      </c>
      <c r="I691" s="811" t="s">
        <v>1729</v>
      </c>
      <c r="J691" s="813">
        <v>90000000</v>
      </c>
      <c r="K691" s="811" t="s">
        <v>1730</v>
      </c>
      <c r="L691" s="811" t="s">
        <v>1189</v>
      </c>
      <c r="M691" s="811" t="s">
        <v>1710</v>
      </c>
      <c r="N691" s="811" t="s">
        <v>1710</v>
      </c>
      <c r="O691" s="811" t="s">
        <v>1804</v>
      </c>
      <c r="P691" s="811" t="s">
        <v>1732</v>
      </c>
      <c r="Q691" s="811" t="s">
        <v>1739</v>
      </c>
    </row>
    <row r="692" spans="1:17" x14ac:dyDescent="0.3">
      <c r="A692" s="811" t="s">
        <v>1724</v>
      </c>
      <c r="B692" s="811" t="s">
        <v>2543</v>
      </c>
      <c r="C692" s="812">
        <v>72000000</v>
      </c>
      <c r="D692" s="811" t="s">
        <v>1501</v>
      </c>
      <c r="E692" s="811" t="s">
        <v>1501</v>
      </c>
      <c r="F692" s="811" t="s">
        <v>1737</v>
      </c>
      <c r="G692" s="811" t="s">
        <v>1727</v>
      </c>
      <c r="H692" s="811" t="s">
        <v>1728</v>
      </c>
      <c r="I692" s="811" t="s">
        <v>1729</v>
      </c>
      <c r="J692" s="813">
        <v>72000000</v>
      </c>
      <c r="K692" s="811" t="s">
        <v>1730</v>
      </c>
      <c r="L692" s="811" t="s">
        <v>1189</v>
      </c>
      <c r="M692" s="811" t="s">
        <v>1710</v>
      </c>
      <c r="N692" s="811" t="s">
        <v>1710</v>
      </c>
      <c r="O692" s="811" t="s">
        <v>1804</v>
      </c>
      <c r="P692" s="811" t="s">
        <v>1732</v>
      </c>
      <c r="Q692" s="811" t="s">
        <v>1739</v>
      </c>
    </row>
    <row r="693" spans="1:17" x14ac:dyDescent="0.3">
      <c r="A693" s="811" t="s">
        <v>1724</v>
      </c>
      <c r="B693" s="811" t="s">
        <v>2544</v>
      </c>
      <c r="C693" s="812">
        <v>72000000</v>
      </c>
      <c r="D693" s="811" t="s">
        <v>1501</v>
      </c>
      <c r="E693" s="811" t="s">
        <v>1501</v>
      </c>
      <c r="F693" s="811" t="s">
        <v>1737</v>
      </c>
      <c r="G693" s="811" t="s">
        <v>1727</v>
      </c>
      <c r="H693" s="811" t="s">
        <v>1728</v>
      </c>
      <c r="I693" s="811" t="s">
        <v>1729</v>
      </c>
      <c r="J693" s="813">
        <v>72000000</v>
      </c>
      <c r="K693" s="811" t="s">
        <v>1730</v>
      </c>
      <c r="L693" s="811" t="s">
        <v>1189</v>
      </c>
      <c r="M693" s="811" t="s">
        <v>1710</v>
      </c>
      <c r="N693" s="811" t="s">
        <v>1710</v>
      </c>
      <c r="O693" s="811" t="s">
        <v>1804</v>
      </c>
      <c r="P693" s="811" t="s">
        <v>1732</v>
      </c>
      <c r="Q693" s="811" t="s">
        <v>1739</v>
      </c>
    </row>
    <row r="694" spans="1:17" x14ac:dyDescent="0.3">
      <c r="A694" s="811" t="s">
        <v>1724</v>
      </c>
      <c r="B694" s="811" t="s">
        <v>2545</v>
      </c>
      <c r="C694" s="812">
        <v>48000000</v>
      </c>
      <c r="D694" s="811" t="s">
        <v>1501</v>
      </c>
      <c r="E694" s="811" t="s">
        <v>1501</v>
      </c>
      <c r="F694" s="811" t="s">
        <v>1737</v>
      </c>
      <c r="G694" s="811" t="s">
        <v>1727</v>
      </c>
      <c r="H694" s="811" t="s">
        <v>1728</v>
      </c>
      <c r="I694" s="811" t="s">
        <v>1729</v>
      </c>
      <c r="J694" s="813">
        <v>48000000</v>
      </c>
      <c r="K694" s="811" t="s">
        <v>1730</v>
      </c>
      <c r="L694" s="811" t="s">
        <v>1189</v>
      </c>
      <c r="M694" s="811" t="s">
        <v>1710</v>
      </c>
      <c r="N694" s="811" t="s">
        <v>1710</v>
      </c>
      <c r="O694" s="811" t="s">
        <v>1804</v>
      </c>
      <c r="P694" s="811" t="s">
        <v>1732</v>
      </c>
      <c r="Q694" s="811" t="s">
        <v>1739</v>
      </c>
    </row>
    <row r="695" spans="1:17" x14ac:dyDescent="0.3">
      <c r="A695" s="811" t="s">
        <v>1724</v>
      </c>
      <c r="B695" s="811" t="s">
        <v>2546</v>
      </c>
      <c r="C695" s="812">
        <v>48000000</v>
      </c>
      <c r="D695" s="811" t="s">
        <v>1501</v>
      </c>
      <c r="E695" s="811" t="s">
        <v>1501</v>
      </c>
      <c r="F695" s="811" t="s">
        <v>1737</v>
      </c>
      <c r="G695" s="811" t="s">
        <v>1727</v>
      </c>
      <c r="H695" s="811" t="s">
        <v>1728</v>
      </c>
      <c r="I695" s="811" t="s">
        <v>1729</v>
      </c>
      <c r="J695" s="813">
        <v>48000000</v>
      </c>
      <c r="K695" s="811" t="s">
        <v>1730</v>
      </c>
      <c r="L695" s="811" t="s">
        <v>1189</v>
      </c>
      <c r="M695" s="811" t="s">
        <v>1710</v>
      </c>
      <c r="N695" s="811" t="s">
        <v>1710</v>
      </c>
      <c r="O695" s="811" t="s">
        <v>1804</v>
      </c>
      <c r="P695" s="811" t="s">
        <v>1732</v>
      </c>
      <c r="Q695" s="811" t="s">
        <v>1739</v>
      </c>
    </row>
    <row r="696" spans="1:17" x14ac:dyDescent="0.3">
      <c r="A696" s="811" t="s">
        <v>1724</v>
      </c>
      <c r="B696" s="811" t="s">
        <v>2547</v>
      </c>
      <c r="C696" s="812">
        <v>48000000</v>
      </c>
      <c r="D696" s="811" t="s">
        <v>1501</v>
      </c>
      <c r="E696" s="811" t="s">
        <v>1501</v>
      </c>
      <c r="F696" s="811" t="s">
        <v>1737</v>
      </c>
      <c r="G696" s="811" t="s">
        <v>1727</v>
      </c>
      <c r="H696" s="811" t="s">
        <v>1728</v>
      </c>
      <c r="I696" s="811" t="s">
        <v>1729</v>
      </c>
      <c r="J696" s="813">
        <v>48000000</v>
      </c>
      <c r="K696" s="811" t="s">
        <v>1730</v>
      </c>
      <c r="L696" s="811" t="s">
        <v>1189</v>
      </c>
      <c r="M696" s="811" t="s">
        <v>1710</v>
      </c>
      <c r="N696" s="811" t="s">
        <v>1710</v>
      </c>
      <c r="O696" s="811" t="s">
        <v>1804</v>
      </c>
      <c r="P696" s="811" t="s">
        <v>1732</v>
      </c>
      <c r="Q696" s="811" t="s">
        <v>1739</v>
      </c>
    </row>
    <row r="697" spans="1:17" x14ac:dyDescent="0.3">
      <c r="A697" s="811" t="s">
        <v>1724</v>
      </c>
      <c r="B697" s="811" t="s">
        <v>2548</v>
      </c>
      <c r="C697" s="812">
        <v>48000000</v>
      </c>
      <c r="D697" s="811" t="s">
        <v>1501</v>
      </c>
      <c r="E697" s="811" t="s">
        <v>1501</v>
      </c>
      <c r="F697" s="811" t="s">
        <v>1737</v>
      </c>
      <c r="G697" s="811" t="s">
        <v>1727</v>
      </c>
      <c r="H697" s="811" t="s">
        <v>1728</v>
      </c>
      <c r="I697" s="811" t="s">
        <v>1729</v>
      </c>
      <c r="J697" s="813">
        <v>48000000</v>
      </c>
      <c r="K697" s="811" t="s">
        <v>1730</v>
      </c>
      <c r="L697" s="811" t="s">
        <v>1189</v>
      </c>
      <c r="M697" s="811" t="s">
        <v>1710</v>
      </c>
      <c r="N697" s="811" t="s">
        <v>1710</v>
      </c>
      <c r="O697" s="811" t="s">
        <v>1804</v>
      </c>
      <c r="P697" s="811" t="s">
        <v>1732</v>
      </c>
      <c r="Q697" s="811" t="s">
        <v>1739</v>
      </c>
    </row>
    <row r="698" spans="1:17" x14ac:dyDescent="0.3">
      <c r="A698" s="811" t="s">
        <v>1724</v>
      </c>
      <c r="B698" s="811" t="s">
        <v>2549</v>
      </c>
      <c r="C698" s="812">
        <v>13625000</v>
      </c>
      <c r="D698" s="811" t="s">
        <v>1525</v>
      </c>
      <c r="E698" s="811" t="s">
        <v>1525</v>
      </c>
      <c r="F698" s="811" t="s">
        <v>1814</v>
      </c>
      <c r="G698" s="811" t="s">
        <v>1727</v>
      </c>
      <c r="H698" s="811" t="s">
        <v>1728</v>
      </c>
      <c r="I698" s="811" t="s">
        <v>1729</v>
      </c>
      <c r="J698" s="813">
        <v>13625000</v>
      </c>
      <c r="K698" s="811" t="s">
        <v>1730</v>
      </c>
      <c r="L698" s="811" t="s">
        <v>1189</v>
      </c>
      <c r="M698" s="811" t="s">
        <v>1710</v>
      </c>
      <c r="N698" s="811" t="s">
        <v>1710</v>
      </c>
      <c r="O698" s="811" t="s">
        <v>1742</v>
      </c>
      <c r="P698" s="811" t="s">
        <v>1732</v>
      </c>
      <c r="Q698" s="811" t="s">
        <v>1743</v>
      </c>
    </row>
    <row r="699" spans="1:17" x14ac:dyDescent="0.3">
      <c r="A699" s="811" t="s">
        <v>1724</v>
      </c>
      <c r="B699" s="811" t="s">
        <v>2550</v>
      </c>
      <c r="C699" s="812">
        <v>13625000</v>
      </c>
      <c r="D699" s="811" t="s">
        <v>1525</v>
      </c>
      <c r="E699" s="811" t="s">
        <v>1525</v>
      </c>
      <c r="F699" s="811" t="s">
        <v>1814</v>
      </c>
      <c r="G699" s="811" t="s">
        <v>1727</v>
      </c>
      <c r="H699" s="811" t="s">
        <v>1728</v>
      </c>
      <c r="I699" s="811" t="s">
        <v>1729</v>
      </c>
      <c r="J699" s="813">
        <v>13625000</v>
      </c>
      <c r="K699" s="811" t="s">
        <v>1730</v>
      </c>
      <c r="L699" s="811" t="s">
        <v>1189</v>
      </c>
      <c r="M699" s="811" t="s">
        <v>1710</v>
      </c>
      <c r="N699" s="811" t="s">
        <v>1710</v>
      </c>
      <c r="O699" s="811" t="s">
        <v>1742</v>
      </c>
      <c r="P699" s="811" t="s">
        <v>1732</v>
      </c>
      <c r="Q699" s="811" t="s">
        <v>1743</v>
      </c>
    </row>
    <row r="700" spans="1:17" x14ac:dyDescent="0.3">
      <c r="A700" s="811" t="s">
        <v>1724</v>
      </c>
      <c r="B700" s="811" t="s">
        <v>2551</v>
      </c>
      <c r="C700" s="812">
        <v>13625000</v>
      </c>
      <c r="D700" s="811" t="s">
        <v>1525</v>
      </c>
      <c r="E700" s="811" t="s">
        <v>1525</v>
      </c>
      <c r="F700" s="811" t="s">
        <v>1814</v>
      </c>
      <c r="G700" s="811" t="s">
        <v>1727</v>
      </c>
      <c r="H700" s="811" t="s">
        <v>1728</v>
      </c>
      <c r="I700" s="811" t="s">
        <v>1729</v>
      </c>
      <c r="J700" s="813">
        <v>13625000</v>
      </c>
      <c r="K700" s="811" t="s">
        <v>1730</v>
      </c>
      <c r="L700" s="811" t="s">
        <v>1189</v>
      </c>
      <c r="M700" s="811" t="s">
        <v>1710</v>
      </c>
      <c r="N700" s="811" t="s">
        <v>1710</v>
      </c>
      <c r="O700" s="811" t="s">
        <v>1742</v>
      </c>
      <c r="P700" s="811" t="s">
        <v>1732</v>
      </c>
      <c r="Q700" s="811" t="s">
        <v>1743</v>
      </c>
    </row>
    <row r="701" spans="1:17" x14ac:dyDescent="0.3">
      <c r="A701" s="811" t="s">
        <v>1724</v>
      </c>
      <c r="B701" s="811" t="s">
        <v>2552</v>
      </c>
      <c r="C701" s="812">
        <v>13625000</v>
      </c>
      <c r="D701" s="811" t="s">
        <v>1525</v>
      </c>
      <c r="E701" s="811" t="s">
        <v>1525</v>
      </c>
      <c r="F701" s="811" t="s">
        <v>1814</v>
      </c>
      <c r="G701" s="811" t="s">
        <v>1727</v>
      </c>
      <c r="H701" s="811" t="s">
        <v>1728</v>
      </c>
      <c r="I701" s="811" t="s">
        <v>1729</v>
      </c>
      <c r="J701" s="813">
        <v>13625000</v>
      </c>
      <c r="K701" s="811" t="s">
        <v>1730</v>
      </c>
      <c r="L701" s="811" t="s">
        <v>1189</v>
      </c>
      <c r="M701" s="811" t="s">
        <v>1710</v>
      </c>
      <c r="N701" s="811" t="s">
        <v>1710</v>
      </c>
      <c r="O701" s="811" t="s">
        <v>1742</v>
      </c>
      <c r="P701" s="811" t="s">
        <v>1732</v>
      </c>
      <c r="Q701" s="811" t="s">
        <v>1743</v>
      </c>
    </row>
    <row r="702" spans="1:17" x14ac:dyDescent="0.3">
      <c r="A702" s="811" t="s">
        <v>1724</v>
      </c>
      <c r="B702" s="811" t="s">
        <v>2553</v>
      </c>
      <c r="C702" s="812">
        <v>13625000</v>
      </c>
      <c r="D702" s="811" t="s">
        <v>1525</v>
      </c>
      <c r="E702" s="811" t="s">
        <v>1525</v>
      </c>
      <c r="F702" s="811" t="s">
        <v>1814</v>
      </c>
      <c r="G702" s="811" t="s">
        <v>1727</v>
      </c>
      <c r="H702" s="811" t="s">
        <v>1728</v>
      </c>
      <c r="I702" s="811" t="s">
        <v>1729</v>
      </c>
      <c r="J702" s="813">
        <v>13625000</v>
      </c>
      <c r="K702" s="811" t="s">
        <v>1730</v>
      </c>
      <c r="L702" s="811" t="s">
        <v>1189</v>
      </c>
      <c r="M702" s="811" t="s">
        <v>1710</v>
      </c>
      <c r="N702" s="811" t="s">
        <v>1710</v>
      </c>
      <c r="O702" s="811" t="s">
        <v>1742</v>
      </c>
      <c r="P702" s="811" t="s">
        <v>1732</v>
      </c>
      <c r="Q702" s="811" t="s">
        <v>1743</v>
      </c>
    </row>
    <row r="703" spans="1:17" x14ac:dyDescent="0.3">
      <c r="A703" s="811" t="s">
        <v>1724</v>
      </c>
      <c r="B703" s="811" t="s">
        <v>2554</v>
      </c>
      <c r="C703" s="812">
        <v>13625000</v>
      </c>
      <c r="D703" s="811" t="s">
        <v>1525</v>
      </c>
      <c r="E703" s="811" t="s">
        <v>1525</v>
      </c>
      <c r="F703" s="811" t="s">
        <v>1814</v>
      </c>
      <c r="G703" s="811" t="s">
        <v>1727</v>
      </c>
      <c r="H703" s="811" t="s">
        <v>1728</v>
      </c>
      <c r="I703" s="811" t="s">
        <v>1729</v>
      </c>
      <c r="J703" s="813">
        <v>13625000</v>
      </c>
      <c r="K703" s="811" t="s">
        <v>1730</v>
      </c>
      <c r="L703" s="811" t="s">
        <v>1189</v>
      </c>
      <c r="M703" s="811" t="s">
        <v>1710</v>
      </c>
      <c r="N703" s="811" t="s">
        <v>1710</v>
      </c>
      <c r="O703" s="811" t="s">
        <v>1742</v>
      </c>
      <c r="P703" s="811" t="s">
        <v>1732</v>
      </c>
      <c r="Q703" s="811" t="s">
        <v>1743</v>
      </c>
    </row>
    <row r="704" spans="1:17" x14ac:dyDescent="0.3">
      <c r="A704" s="811" t="s">
        <v>1724</v>
      </c>
      <c r="B704" s="811" t="s">
        <v>2555</v>
      </c>
      <c r="C704" s="812">
        <v>13625000</v>
      </c>
      <c r="D704" s="811" t="s">
        <v>1525</v>
      </c>
      <c r="E704" s="811" t="s">
        <v>1525</v>
      </c>
      <c r="F704" s="811" t="s">
        <v>1814</v>
      </c>
      <c r="G704" s="811" t="s">
        <v>1727</v>
      </c>
      <c r="H704" s="811" t="s">
        <v>1728</v>
      </c>
      <c r="I704" s="811" t="s">
        <v>1729</v>
      </c>
      <c r="J704" s="813">
        <v>13625000</v>
      </c>
      <c r="K704" s="811" t="s">
        <v>1730</v>
      </c>
      <c r="L704" s="811" t="s">
        <v>1189</v>
      </c>
      <c r="M704" s="811" t="s">
        <v>1710</v>
      </c>
      <c r="N704" s="811" t="s">
        <v>1710</v>
      </c>
      <c r="O704" s="811" t="s">
        <v>1742</v>
      </c>
      <c r="P704" s="811" t="s">
        <v>1732</v>
      </c>
      <c r="Q704" s="811" t="s">
        <v>1743</v>
      </c>
    </row>
    <row r="705" spans="1:17" x14ac:dyDescent="0.3">
      <c r="A705" s="811" t="s">
        <v>1724</v>
      </c>
      <c r="B705" s="811" t="s">
        <v>2556</v>
      </c>
      <c r="C705" s="812">
        <v>13625000</v>
      </c>
      <c r="D705" s="811" t="s">
        <v>1525</v>
      </c>
      <c r="E705" s="811" t="s">
        <v>1525</v>
      </c>
      <c r="F705" s="811" t="s">
        <v>1814</v>
      </c>
      <c r="G705" s="811" t="s">
        <v>1727</v>
      </c>
      <c r="H705" s="811" t="s">
        <v>1728</v>
      </c>
      <c r="I705" s="811" t="s">
        <v>1729</v>
      </c>
      <c r="J705" s="813">
        <v>13625000</v>
      </c>
      <c r="K705" s="811" t="s">
        <v>1730</v>
      </c>
      <c r="L705" s="811" t="s">
        <v>1189</v>
      </c>
      <c r="M705" s="811" t="s">
        <v>1710</v>
      </c>
      <c r="N705" s="811" t="s">
        <v>1710</v>
      </c>
      <c r="O705" s="811" t="s">
        <v>1742</v>
      </c>
      <c r="P705" s="811" t="s">
        <v>1732</v>
      </c>
      <c r="Q705" s="811" t="s">
        <v>1743</v>
      </c>
    </row>
    <row r="706" spans="1:17" x14ac:dyDescent="0.3">
      <c r="A706" s="811" t="s">
        <v>1724</v>
      </c>
      <c r="B706" s="811" t="s">
        <v>2557</v>
      </c>
      <c r="C706" s="812">
        <v>13625000</v>
      </c>
      <c r="D706" s="811" t="s">
        <v>1525</v>
      </c>
      <c r="E706" s="811" t="s">
        <v>1525</v>
      </c>
      <c r="F706" s="811" t="s">
        <v>1814</v>
      </c>
      <c r="G706" s="811" t="s">
        <v>1727</v>
      </c>
      <c r="H706" s="811" t="s">
        <v>1728</v>
      </c>
      <c r="I706" s="811" t="s">
        <v>1729</v>
      </c>
      <c r="J706" s="813">
        <v>13625000</v>
      </c>
      <c r="K706" s="811" t="s">
        <v>1730</v>
      </c>
      <c r="L706" s="811" t="s">
        <v>1189</v>
      </c>
      <c r="M706" s="811" t="s">
        <v>1710</v>
      </c>
      <c r="N706" s="811" t="s">
        <v>1710</v>
      </c>
      <c r="O706" s="811" t="s">
        <v>1742</v>
      </c>
      <c r="P706" s="811" t="s">
        <v>1732</v>
      </c>
      <c r="Q706" s="811" t="s">
        <v>1743</v>
      </c>
    </row>
    <row r="707" spans="1:17" x14ac:dyDescent="0.3">
      <c r="A707" s="811" t="s">
        <v>1724</v>
      </c>
      <c r="B707" s="811" t="s">
        <v>2558</v>
      </c>
      <c r="C707" s="812">
        <v>13625000</v>
      </c>
      <c r="D707" s="811" t="s">
        <v>1525</v>
      </c>
      <c r="E707" s="811" t="s">
        <v>1525</v>
      </c>
      <c r="F707" s="811" t="s">
        <v>1814</v>
      </c>
      <c r="G707" s="811" t="s">
        <v>1727</v>
      </c>
      <c r="H707" s="811" t="s">
        <v>1728</v>
      </c>
      <c r="I707" s="811" t="s">
        <v>1729</v>
      </c>
      <c r="J707" s="813">
        <v>13625000</v>
      </c>
      <c r="K707" s="811" t="s">
        <v>1730</v>
      </c>
      <c r="L707" s="811" t="s">
        <v>1189</v>
      </c>
      <c r="M707" s="811" t="s">
        <v>1710</v>
      </c>
      <c r="N707" s="811" t="s">
        <v>1710</v>
      </c>
      <c r="O707" s="811" t="s">
        <v>1742</v>
      </c>
      <c r="P707" s="811" t="s">
        <v>1732</v>
      </c>
      <c r="Q707" s="811" t="s">
        <v>1743</v>
      </c>
    </row>
    <row r="708" spans="1:17" x14ac:dyDescent="0.3">
      <c r="A708" s="811" t="s">
        <v>1724</v>
      </c>
      <c r="B708" s="811" t="s">
        <v>2559</v>
      </c>
      <c r="C708" s="812">
        <v>13625000</v>
      </c>
      <c r="D708" s="811" t="s">
        <v>1525</v>
      </c>
      <c r="E708" s="811" t="s">
        <v>1525</v>
      </c>
      <c r="F708" s="811" t="s">
        <v>1814</v>
      </c>
      <c r="G708" s="811" t="s">
        <v>1727</v>
      </c>
      <c r="H708" s="811" t="s">
        <v>1728</v>
      </c>
      <c r="I708" s="811" t="s">
        <v>1729</v>
      </c>
      <c r="J708" s="813">
        <v>13625000</v>
      </c>
      <c r="K708" s="811" t="s">
        <v>1730</v>
      </c>
      <c r="L708" s="811" t="s">
        <v>1189</v>
      </c>
      <c r="M708" s="811" t="s">
        <v>1710</v>
      </c>
      <c r="N708" s="811" t="s">
        <v>1710</v>
      </c>
      <c r="O708" s="811" t="s">
        <v>1742</v>
      </c>
      <c r="P708" s="811" t="s">
        <v>1732</v>
      </c>
      <c r="Q708" s="811" t="s">
        <v>1743</v>
      </c>
    </row>
    <row r="709" spans="1:17" x14ac:dyDescent="0.3">
      <c r="A709" s="811" t="s">
        <v>1724</v>
      </c>
      <c r="B709" s="811" t="s">
        <v>2560</v>
      </c>
      <c r="C709" s="812">
        <v>13625000</v>
      </c>
      <c r="D709" s="811" t="s">
        <v>1525</v>
      </c>
      <c r="E709" s="811" t="s">
        <v>1525</v>
      </c>
      <c r="F709" s="811" t="s">
        <v>1814</v>
      </c>
      <c r="G709" s="811" t="s">
        <v>1727</v>
      </c>
      <c r="H709" s="811" t="s">
        <v>1728</v>
      </c>
      <c r="I709" s="811" t="s">
        <v>1729</v>
      </c>
      <c r="J709" s="813">
        <v>13625000</v>
      </c>
      <c r="K709" s="811" t="s">
        <v>1730</v>
      </c>
      <c r="L709" s="811" t="s">
        <v>1189</v>
      </c>
      <c r="M709" s="811" t="s">
        <v>1710</v>
      </c>
      <c r="N709" s="811" t="s">
        <v>1710</v>
      </c>
      <c r="O709" s="811" t="s">
        <v>1742</v>
      </c>
      <c r="P709" s="811" t="s">
        <v>1732</v>
      </c>
      <c r="Q709" s="811" t="s">
        <v>1743</v>
      </c>
    </row>
    <row r="710" spans="1:17" x14ac:dyDescent="0.3">
      <c r="A710" s="811" t="s">
        <v>1724</v>
      </c>
      <c r="B710" s="811" t="s">
        <v>2561</v>
      </c>
      <c r="C710" s="812">
        <v>13625000</v>
      </c>
      <c r="D710" s="811" t="s">
        <v>1525</v>
      </c>
      <c r="E710" s="811" t="s">
        <v>1525</v>
      </c>
      <c r="F710" s="811" t="s">
        <v>1814</v>
      </c>
      <c r="G710" s="811" t="s">
        <v>1727</v>
      </c>
      <c r="H710" s="811" t="s">
        <v>1728</v>
      </c>
      <c r="I710" s="811" t="s">
        <v>1729</v>
      </c>
      <c r="J710" s="813">
        <v>13625000</v>
      </c>
      <c r="K710" s="811" t="s">
        <v>1730</v>
      </c>
      <c r="L710" s="811" t="s">
        <v>1189</v>
      </c>
      <c r="M710" s="811" t="s">
        <v>1710</v>
      </c>
      <c r="N710" s="811" t="s">
        <v>1710</v>
      </c>
      <c r="O710" s="811" t="s">
        <v>1742</v>
      </c>
      <c r="P710" s="811" t="s">
        <v>1732</v>
      </c>
      <c r="Q710" s="811" t="s">
        <v>1743</v>
      </c>
    </row>
    <row r="711" spans="1:17" x14ac:dyDescent="0.3">
      <c r="A711" s="811" t="s">
        <v>1724</v>
      </c>
      <c r="B711" s="811" t="s">
        <v>2562</v>
      </c>
      <c r="C711" s="812">
        <v>13625000</v>
      </c>
      <c r="D711" s="811" t="s">
        <v>1525</v>
      </c>
      <c r="E711" s="811" t="s">
        <v>1525</v>
      </c>
      <c r="F711" s="811" t="s">
        <v>1814</v>
      </c>
      <c r="G711" s="811" t="s">
        <v>1727</v>
      </c>
      <c r="H711" s="811" t="s">
        <v>1728</v>
      </c>
      <c r="I711" s="811" t="s">
        <v>1729</v>
      </c>
      <c r="J711" s="813">
        <v>13625000</v>
      </c>
      <c r="K711" s="811" t="s">
        <v>1730</v>
      </c>
      <c r="L711" s="811" t="s">
        <v>1189</v>
      </c>
      <c r="M711" s="811" t="s">
        <v>1710</v>
      </c>
      <c r="N711" s="811" t="s">
        <v>1710</v>
      </c>
      <c r="O711" s="811" t="s">
        <v>1742</v>
      </c>
      <c r="P711" s="811" t="s">
        <v>1732</v>
      </c>
      <c r="Q711" s="811" t="s">
        <v>1743</v>
      </c>
    </row>
    <row r="712" spans="1:17" x14ac:dyDescent="0.3">
      <c r="A712" s="811" t="s">
        <v>1724</v>
      </c>
      <c r="B712" s="811" t="s">
        <v>2563</v>
      </c>
      <c r="C712" s="812">
        <v>13625000</v>
      </c>
      <c r="D712" s="811" t="s">
        <v>1525</v>
      </c>
      <c r="E712" s="811" t="s">
        <v>1525</v>
      </c>
      <c r="F712" s="811" t="s">
        <v>1814</v>
      </c>
      <c r="G712" s="811" t="s">
        <v>1727</v>
      </c>
      <c r="H712" s="811" t="s">
        <v>1728</v>
      </c>
      <c r="I712" s="811" t="s">
        <v>1729</v>
      </c>
      <c r="J712" s="813">
        <v>13625000</v>
      </c>
      <c r="K712" s="811" t="s">
        <v>1730</v>
      </c>
      <c r="L712" s="811" t="s">
        <v>1189</v>
      </c>
      <c r="M712" s="811" t="s">
        <v>1710</v>
      </c>
      <c r="N712" s="811" t="s">
        <v>1710</v>
      </c>
      <c r="O712" s="811" t="s">
        <v>1742</v>
      </c>
      <c r="P712" s="811" t="s">
        <v>1732</v>
      </c>
      <c r="Q712" s="811" t="s">
        <v>1743</v>
      </c>
    </row>
    <row r="713" spans="1:17" x14ac:dyDescent="0.3">
      <c r="A713" s="811" t="s">
        <v>1724</v>
      </c>
      <c r="B713" s="811" t="s">
        <v>2564</v>
      </c>
      <c r="C713" s="812">
        <v>24950000</v>
      </c>
      <c r="D713" s="811" t="s">
        <v>1510</v>
      </c>
      <c r="E713" s="811" t="s">
        <v>1510</v>
      </c>
      <c r="F713" s="811" t="s">
        <v>1814</v>
      </c>
      <c r="G713" s="811" t="s">
        <v>1727</v>
      </c>
      <c r="H713" s="811" t="s">
        <v>1728</v>
      </c>
      <c r="I713" s="811" t="s">
        <v>1729</v>
      </c>
      <c r="J713" s="813">
        <v>24950000</v>
      </c>
      <c r="K713" s="811" t="s">
        <v>1730</v>
      </c>
      <c r="L713" s="811" t="s">
        <v>1189</v>
      </c>
      <c r="M713" s="811" t="s">
        <v>1710</v>
      </c>
      <c r="N713" s="811" t="s">
        <v>1710</v>
      </c>
      <c r="O713" s="811" t="s">
        <v>1771</v>
      </c>
      <c r="P713" s="811" t="s">
        <v>1732</v>
      </c>
      <c r="Q713" s="811" t="s">
        <v>1757</v>
      </c>
    </row>
    <row r="714" spans="1:17" x14ac:dyDescent="0.3">
      <c r="A714" s="811" t="s">
        <v>1724</v>
      </c>
      <c r="B714" s="811" t="s">
        <v>2565</v>
      </c>
      <c r="C714" s="812">
        <v>24000000</v>
      </c>
      <c r="D714" s="811" t="s">
        <v>1510</v>
      </c>
      <c r="E714" s="811" t="s">
        <v>1510</v>
      </c>
      <c r="F714" s="811" t="s">
        <v>1814</v>
      </c>
      <c r="G714" s="811" t="s">
        <v>1727</v>
      </c>
      <c r="H714" s="811" t="s">
        <v>1728</v>
      </c>
      <c r="I714" s="811" t="s">
        <v>1729</v>
      </c>
      <c r="J714" s="813">
        <v>24000000</v>
      </c>
      <c r="K714" s="811" t="s">
        <v>1730</v>
      </c>
      <c r="L714" s="811" t="s">
        <v>1189</v>
      </c>
      <c r="M714" s="811" t="s">
        <v>1710</v>
      </c>
      <c r="N714" s="811" t="s">
        <v>1710</v>
      </c>
      <c r="O714" s="811" t="s">
        <v>1771</v>
      </c>
      <c r="P714" s="811" t="s">
        <v>1732</v>
      </c>
      <c r="Q714" s="811" t="s">
        <v>1757</v>
      </c>
    </row>
    <row r="715" spans="1:17" x14ac:dyDescent="0.3">
      <c r="A715" s="811" t="s">
        <v>1724</v>
      </c>
      <c r="B715" s="811" t="s">
        <v>2566</v>
      </c>
      <c r="C715" s="812">
        <v>54000000</v>
      </c>
      <c r="D715" s="811" t="s">
        <v>1510</v>
      </c>
      <c r="E715" s="811" t="s">
        <v>1510</v>
      </c>
      <c r="F715" s="811" t="s">
        <v>1814</v>
      </c>
      <c r="G715" s="811" t="s">
        <v>1727</v>
      </c>
      <c r="H715" s="811" t="s">
        <v>1728</v>
      </c>
      <c r="I715" s="811" t="s">
        <v>1729</v>
      </c>
      <c r="J715" s="813">
        <v>54000000</v>
      </c>
      <c r="K715" s="811" t="s">
        <v>1730</v>
      </c>
      <c r="L715" s="811" t="s">
        <v>1189</v>
      </c>
      <c r="M715" s="811" t="s">
        <v>1710</v>
      </c>
      <c r="N715" s="811" t="s">
        <v>1710</v>
      </c>
      <c r="O715" s="811" t="s">
        <v>1771</v>
      </c>
      <c r="P715" s="811" t="s">
        <v>1732</v>
      </c>
      <c r="Q715" s="811" t="s">
        <v>1757</v>
      </c>
    </row>
    <row r="716" spans="1:17" x14ac:dyDescent="0.3">
      <c r="A716" s="811" t="s">
        <v>1724</v>
      </c>
      <c r="B716" s="811" t="s">
        <v>2567</v>
      </c>
      <c r="C716" s="812">
        <v>15900000</v>
      </c>
      <c r="D716" s="811" t="s">
        <v>1525</v>
      </c>
      <c r="E716" s="811" t="s">
        <v>1525</v>
      </c>
      <c r="F716" s="811" t="s">
        <v>1814</v>
      </c>
      <c r="G716" s="811" t="s">
        <v>1727</v>
      </c>
      <c r="H716" s="811" t="s">
        <v>1728</v>
      </c>
      <c r="I716" s="811" t="s">
        <v>1729</v>
      </c>
      <c r="J716" s="813">
        <v>15900000</v>
      </c>
      <c r="K716" s="811" t="s">
        <v>1730</v>
      </c>
      <c r="L716" s="811" t="s">
        <v>1189</v>
      </c>
      <c r="M716" s="811" t="s">
        <v>1710</v>
      </c>
      <c r="N716" s="811" t="s">
        <v>1710</v>
      </c>
      <c r="O716" s="811" t="s">
        <v>1868</v>
      </c>
      <c r="P716" s="811" t="s">
        <v>1732</v>
      </c>
      <c r="Q716" s="811" t="s">
        <v>1785</v>
      </c>
    </row>
    <row r="717" spans="1:17" x14ac:dyDescent="0.3">
      <c r="A717" s="811" t="s">
        <v>1724</v>
      </c>
      <c r="B717" s="811" t="s">
        <v>2568</v>
      </c>
      <c r="C717" s="812">
        <v>15900000</v>
      </c>
      <c r="D717" s="811" t="s">
        <v>1525</v>
      </c>
      <c r="E717" s="811" t="s">
        <v>1525</v>
      </c>
      <c r="F717" s="811" t="s">
        <v>1814</v>
      </c>
      <c r="G717" s="811" t="s">
        <v>1727</v>
      </c>
      <c r="H717" s="811" t="s">
        <v>1728</v>
      </c>
      <c r="I717" s="811" t="s">
        <v>1729</v>
      </c>
      <c r="J717" s="813">
        <v>15900000</v>
      </c>
      <c r="K717" s="811" t="s">
        <v>1730</v>
      </c>
      <c r="L717" s="811" t="s">
        <v>1189</v>
      </c>
      <c r="M717" s="811" t="s">
        <v>1710</v>
      </c>
      <c r="N717" s="811" t="s">
        <v>1710</v>
      </c>
      <c r="O717" s="811" t="s">
        <v>1868</v>
      </c>
      <c r="P717" s="811" t="s">
        <v>1732</v>
      </c>
      <c r="Q717" s="811" t="s">
        <v>1785</v>
      </c>
    </row>
    <row r="718" spans="1:17" x14ac:dyDescent="0.3">
      <c r="A718" s="811" t="s">
        <v>1724</v>
      </c>
      <c r="B718" s="811" t="s">
        <v>2569</v>
      </c>
      <c r="C718" s="812">
        <v>15900000</v>
      </c>
      <c r="D718" s="811" t="s">
        <v>1525</v>
      </c>
      <c r="E718" s="811" t="s">
        <v>1525</v>
      </c>
      <c r="F718" s="811" t="s">
        <v>1814</v>
      </c>
      <c r="G718" s="811" t="s">
        <v>1727</v>
      </c>
      <c r="H718" s="811" t="s">
        <v>1728</v>
      </c>
      <c r="I718" s="811" t="s">
        <v>1729</v>
      </c>
      <c r="J718" s="813">
        <v>15900000</v>
      </c>
      <c r="K718" s="811" t="s">
        <v>1730</v>
      </c>
      <c r="L718" s="811" t="s">
        <v>1189</v>
      </c>
      <c r="M718" s="811" t="s">
        <v>1710</v>
      </c>
      <c r="N718" s="811" t="s">
        <v>1710</v>
      </c>
      <c r="O718" s="811" t="s">
        <v>1868</v>
      </c>
      <c r="P718" s="811" t="s">
        <v>1732</v>
      </c>
      <c r="Q718" s="811" t="s">
        <v>1785</v>
      </c>
    </row>
    <row r="719" spans="1:17" x14ac:dyDescent="0.3">
      <c r="A719" s="811" t="s">
        <v>1724</v>
      </c>
      <c r="B719" s="811" t="s">
        <v>2570</v>
      </c>
      <c r="C719" s="812">
        <v>16000000</v>
      </c>
      <c r="D719" s="811" t="s">
        <v>1525</v>
      </c>
      <c r="E719" s="811" t="s">
        <v>1525</v>
      </c>
      <c r="F719" s="811" t="s">
        <v>1814</v>
      </c>
      <c r="G719" s="811" t="s">
        <v>1727</v>
      </c>
      <c r="H719" s="811" t="s">
        <v>1728</v>
      </c>
      <c r="I719" s="811" t="s">
        <v>1729</v>
      </c>
      <c r="J719" s="813">
        <v>16000000</v>
      </c>
      <c r="K719" s="811" t="s">
        <v>1730</v>
      </c>
      <c r="L719" s="811" t="s">
        <v>1189</v>
      </c>
      <c r="M719" s="811" t="s">
        <v>1710</v>
      </c>
      <c r="N719" s="811" t="s">
        <v>1710</v>
      </c>
      <c r="O719" s="811" t="s">
        <v>1868</v>
      </c>
      <c r="P719" s="811" t="s">
        <v>1732</v>
      </c>
      <c r="Q719" s="811" t="s">
        <v>1785</v>
      </c>
    </row>
    <row r="720" spans="1:17" x14ac:dyDescent="0.3">
      <c r="A720" s="811" t="s">
        <v>1724</v>
      </c>
      <c r="B720" s="811" t="s">
        <v>2571</v>
      </c>
      <c r="C720" s="812">
        <v>25000000</v>
      </c>
      <c r="D720" s="811" t="s">
        <v>1525</v>
      </c>
      <c r="E720" s="811" t="s">
        <v>1525</v>
      </c>
      <c r="F720" s="811" t="s">
        <v>1814</v>
      </c>
      <c r="G720" s="811" t="s">
        <v>1727</v>
      </c>
      <c r="H720" s="811" t="s">
        <v>1728</v>
      </c>
      <c r="I720" s="811" t="s">
        <v>1729</v>
      </c>
      <c r="J720" s="813">
        <v>25000000</v>
      </c>
      <c r="K720" s="811" t="s">
        <v>1730</v>
      </c>
      <c r="L720" s="811" t="s">
        <v>1189</v>
      </c>
      <c r="M720" s="811" t="s">
        <v>1710</v>
      </c>
      <c r="N720" s="811" t="s">
        <v>1710</v>
      </c>
      <c r="O720" s="811" t="s">
        <v>1868</v>
      </c>
      <c r="P720" s="811" t="s">
        <v>1732</v>
      </c>
      <c r="Q720" s="811" t="s">
        <v>1785</v>
      </c>
    </row>
    <row r="721" spans="1:17" x14ac:dyDescent="0.3">
      <c r="A721" s="811" t="s">
        <v>1724</v>
      </c>
      <c r="B721" s="811" t="s">
        <v>2572</v>
      </c>
      <c r="C721" s="812">
        <v>24500000</v>
      </c>
      <c r="D721" s="811" t="s">
        <v>1525</v>
      </c>
      <c r="E721" s="811" t="s">
        <v>1525</v>
      </c>
      <c r="F721" s="811" t="s">
        <v>1814</v>
      </c>
      <c r="G721" s="811" t="s">
        <v>1727</v>
      </c>
      <c r="H721" s="811" t="s">
        <v>1728</v>
      </c>
      <c r="I721" s="811" t="s">
        <v>1729</v>
      </c>
      <c r="J721" s="813">
        <v>24500000</v>
      </c>
      <c r="K721" s="811" t="s">
        <v>1730</v>
      </c>
      <c r="L721" s="811" t="s">
        <v>1189</v>
      </c>
      <c r="M721" s="811" t="s">
        <v>1710</v>
      </c>
      <c r="N721" s="811" t="s">
        <v>1710</v>
      </c>
      <c r="O721" s="811" t="s">
        <v>1868</v>
      </c>
      <c r="P721" s="811" t="s">
        <v>1732</v>
      </c>
      <c r="Q721" s="811" t="s">
        <v>1785</v>
      </c>
    </row>
    <row r="722" spans="1:17" x14ac:dyDescent="0.3">
      <c r="A722" s="811" t="s">
        <v>1724</v>
      </c>
      <c r="B722" s="811" t="s">
        <v>2573</v>
      </c>
      <c r="C722" s="812">
        <v>15900000</v>
      </c>
      <c r="D722" s="811" t="s">
        <v>1525</v>
      </c>
      <c r="E722" s="811" t="s">
        <v>1525</v>
      </c>
      <c r="F722" s="811" t="s">
        <v>1814</v>
      </c>
      <c r="G722" s="811" t="s">
        <v>1727</v>
      </c>
      <c r="H722" s="811" t="s">
        <v>1728</v>
      </c>
      <c r="I722" s="811" t="s">
        <v>1729</v>
      </c>
      <c r="J722" s="813">
        <v>15900000</v>
      </c>
      <c r="K722" s="811" t="s">
        <v>1730</v>
      </c>
      <c r="L722" s="811" t="s">
        <v>1189</v>
      </c>
      <c r="M722" s="811" t="s">
        <v>1710</v>
      </c>
      <c r="N722" s="811" t="s">
        <v>1710</v>
      </c>
      <c r="O722" s="811" t="s">
        <v>1868</v>
      </c>
      <c r="P722" s="811" t="s">
        <v>1732</v>
      </c>
      <c r="Q722" s="811" t="s">
        <v>1785</v>
      </c>
    </row>
    <row r="723" spans="1:17" x14ac:dyDescent="0.3">
      <c r="A723" s="811" t="s">
        <v>1724</v>
      </c>
      <c r="B723" s="811" t="s">
        <v>2574</v>
      </c>
      <c r="C723" s="812">
        <v>36345000</v>
      </c>
      <c r="D723" s="811" t="s">
        <v>1525</v>
      </c>
      <c r="E723" s="811" t="s">
        <v>1525</v>
      </c>
      <c r="F723" s="811" t="s">
        <v>1814</v>
      </c>
      <c r="G723" s="811" t="s">
        <v>1727</v>
      </c>
      <c r="H723" s="811" t="s">
        <v>1728</v>
      </c>
      <c r="I723" s="811" t="s">
        <v>1729</v>
      </c>
      <c r="J723" s="813">
        <v>36345000</v>
      </c>
      <c r="K723" s="811" t="s">
        <v>1730</v>
      </c>
      <c r="L723" s="811" t="s">
        <v>1189</v>
      </c>
      <c r="M723" s="811" t="s">
        <v>1710</v>
      </c>
      <c r="N723" s="811" t="s">
        <v>1710</v>
      </c>
      <c r="O723" s="811" t="s">
        <v>1868</v>
      </c>
      <c r="P723" s="811" t="s">
        <v>1732</v>
      </c>
      <c r="Q723" s="811" t="s">
        <v>1785</v>
      </c>
    </row>
    <row r="724" spans="1:17" x14ac:dyDescent="0.3">
      <c r="A724" s="811" t="s">
        <v>1724</v>
      </c>
      <c r="B724" s="811" t="s">
        <v>2575</v>
      </c>
      <c r="C724" s="812">
        <v>49608000</v>
      </c>
      <c r="D724" s="811" t="s">
        <v>1505</v>
      </c>
      <c r="E724" s="811" t="s">
        <v>1505</v>
      </c>
      <c r="F724" s="811" t="s">
        <v>1764</v>
      </c>
      <c r="G724" s="811" t="s">
        <v>1727</v>
      </c>
      <c r="H724" s="811" t="s">
        <v>1728</v>
      </c>
      <c r="I724" s="811" t="s">
        <v>1729</v>
      </c>
      <c r="J724" s="813">
        <v>49608000</v>
      </c>
      <c r="K724" s="811" t="s">
        <v>1730</v>
      </c>
      <c r="L724" s="811" t="s">
        <v>1189</v>
      </c>
      <c r="M724" s="811" t="s">
        <v>1710</v>
      </c>
      <c r="N724" s="811" t="s">
        <v>1710</v>
      </c>
      <c r="O724" s="811" t="s">
        <v>1761</v>
      </c>
      <c r="P724" s="811" t="s">
        <v>1732</v>
      </c>
      <c r="Q724" s="811" t="s">
        <v>1733</v>
      </c>
    </row>
    <row r="725" spans="1:17" x14ac:dyDescent="0.3">
      <c r="A725" s="811" t="s">
        <v>1724</v>
      </c>
      <c r="B725" s="811" t="s">
        <v>2576</v>
      </c>
      <c r="C725" s="812">
        <v>67500000</v>
      </c>
      <c r="D725" s="811" t="s">
        <v>1501</v>
      </c>
      <c r="E725" s="811" t="s">
        <v>1501</v>
      </c>
      <c r="F725" s="811" t="s">
        <v>1741</v>
      </c>
      <c r="G725" s="811" t="s">
        <v>1727</v>
      </c>
      <c r="H725" s="811" t="s">
        <v>1728</v>
      </c>
      <c r="I725" s="811" t="s">
        <v>1729</v>
      </c>
      <c r="J725" s="813">
        <v>67500000</v>
      </c>
      <c r="K725" s="811" t="s">
        <v>1730</v>
      </c>
      <c r="L725" s="811" t="s">
        <v>1189</v>
      </c>
      <c r="M725" s="811" t="s">
        <v>1710</v>
      </c>
      <c r="N725" s="811" t="s">
        <v>1710</v>
      </c>
      <c r="O725" s="811" t="s">
        <v>1779</v>
      </c>
      <c r="P725" s="811" t="s">
        <v>1732</v>
      </c>
      <c r="Q725" s="811" t="s">
        <v>1780</v>
      </c>
    </row>
    <row r="726" spans="1:17" x14ac:dyDescent="0.3">
      <c r="A726" s="811" t="s">
        <v>1724</v>
      </c>
      <c r="B726" s="811" t="s">
        <v>2577</v>
      </c>
      <c r="C726" s="812">
        <v>35550000</v>
      </c>
      <c r="D726" s="811" t="s">
        <v>1611</v>
      </c>
      <c r="E726" s="811" t="s">
        <v>1611</v>
      </c>
      <c r="F726" s="811" t="s">
        <v>1741</v>
      </c>
      <c r="G726" s="811" t="s">
        <v>1727</v>
      </c>
      <c r="H726" s="811" t="s">
        <v>1728</v>
      </c>
      <c r="I726" s="811" t="s">
        <v>1729</v>
      </c>
      <c r="J726" s="813">
        <v>35550000</v>
      </c>
      <c r="K726" s="811" t="s">
        <v>1730</v>
      </c>
      <c r="L726" s="811" t="s">
        <v>1189</v>
      </c>
      <c r="M726" s="811" t="s">
        <v>1710</v>
      </c>
      <c r="N726" s="811" t="s">
        <v>1710</v>
      </c>
      <c r="O726" s="811" t="s">
        <v>1779</v>
      </c>
      <c r="P726" s="811" t="s">
        <v>1732</v>
      </c>
      <c r="Q726" s="811" t="s">
        <v>1780</v>
      </c>
    </row>
    <row r="727" spans="1:17" x14ac:dyDescent="0.3">
      <c r="A727" s="811" t="s">
        <v>1724</v>
      </c>
      <c r="B727" s="811" t="s">
        <v>2578</v>
      </c>
      <c r="C727" s="812">
        <v>18800000</v>
      </c>
      <c r="D727" s="811" t="s">
        <v>1505</v>
      </c>
      <c r="E727" s="811" t="s">
        <v>1505</v>
      </c>
      <c r="F727" s="811" t="s">
        <v>1793</v>
      </c>
      <c r="G727" s="811" t="s">
        <v>1727</v>
      </c>
      <c r="H727" s="811" t="s">
        <v>1728</v>
      </c>
      <c r="I727" s="811" t="s">
        <v>1729</v>
      </c>
      <c r="J727" s="813">
        <v>18800000</v>
      </c>
      <c r="K727" s="811" t="s">
        <v>1730</v>
      </c>
      <c r="L727" s="811" t="s">
        <v>1189</v>
      </c>
      <c r="M727" s="811" t="s">
        <v>1710</v>
      </c>
      <c r="N727" s="811" t="s">
        <v>1710</v>
      </c>
      <c r="O727" s="811" t="s">
        <v>1779</v>
      </c>
      <c r="P727" s="811" t="s">
        <v>1732</v>
      </c>
      <c r="Q727" s="811" t="s">
        <v>1780</v>
      </c>
    </row>
    <row r="728" spans="1:17" x14ac:dyDescent="0.3">
      <c r="A728" s="811" t="s">
        <v>1724</v>
      </c>
      <c r="B728" s="811" t="s">
        <v>2579</v>
      </c>
      <c r="C728" s="812">
        <v>48000000</v>
      </c>
      <c r="D728" s="811" t="s">
        <v>1502</v>
      </c>
      <c r="E728" s="811" t="s">
        <v>1502</v>
      </c>
      <c r="F728" s="811" t="s">
        <v>1726</v>
      </c>
      <c r="G728" s="811" t="s">
        <v>1727</v>
      </c>
      <c r="H728" s="811" t="s">
        <v>1728</v>
      </c>
      <c r="I728" s="811" t="s">
        <v>1729</v>
      </c>
      <c r="J728" s="813">
        <v>48000000</v>
      </c>
      <c r="K728" s="811" t="s">
        <v>1730</v>
      </c>
      <c r="L728" s="811" t="s">
        <v>1189</v>
      </c>
      <c r="M728" s="811" t="s">
        <v>1710</v>
      </c>
      <c r="N728" s="811" t="s">
        <v>1710</v>
      </c>
      <c r="O728" s="811" t="s">
        <v>1779</v>
      </c>
      <c r="P728" s="811" t="s">
        <v>1732</v>
      </c>
      <c r="Q728" s="811" t="s">
        <v>1780</v>
      </c>
    </row>
    <row r="729" spans="1:17" x14ac:dyDescent="0.3">
      <c r="A729" s="811" t="s">
        <v>1724</v>
      </c>
      <c r="B729" s="811" t="s">
        <v>2580</v>
      </c>
      <c r="C729" s="812">
        <v>20000000</v>
      </c>
      <c r="D729" s="811" t="s">
        <v>1505</v>
      </c>
      <c r="E729" s="811" t="s">
        <v>1505</v>
      </c>
      <c r="F729" s="811" t="s">
        <v>1793</v>
      </c>
      <c r="G729" s="811" t="s">
        <v>1727</v>
      </c>
      <c r="H729" s="811" t="s">
        <v>1728</v>
      </c>
      <c r="I729" s="811" t="s">
        <v>1729</v>
      </c>
      <c r="J729" s="813">
        <v>20000000</v>
      </c>
      <c r="K729" s="811" t="s">
        <v>1730</v>
      </c>
      <c r="L729" s="811" t="s">
        <v>1189</v>
      </c>
      <c r="M729" s="811" t="s">
        <v>1710</v>
      </c>
      <c r="N729" s="811" t="s">
        <v>1710</v>
      </c>
      <c r="O729" s="811" t="s">
        <v>1779</v>
      </c>
      <c r="P729" s="811" t="s">
        <v>1732</v>
      </c>
      <c r="Q729" s="811" t="s">
        <v>1780</v>
      </c>
    </row>
    <row r="730" spans="1:17" x14ac:dyDescent="0.3">
      <c r="A730" s="811" t="s">
        <v>1724</v>
      </c>
      <c r="B730" s="811" t="s">
        <v>2581</v>
      </c>
      <c r="C730" s="812">
        <v>52500000</v>
      </c>
      <c r="D730" s="811" t="s">
        <v>1502</v>
      </c>
      <c r="E730" s="811" t="s">
        <v>1502</v>
      </c>
      <c r="F730" s="811" t="s">
        <v>1773</v>
      </c>
      <c r="G730" s="811" t="s">
        <v>1727</v>
      </c>
      <c r="H730" s="811" t="s">
        <v>1728</v>
      </c>
      <c r="I730" s="811" t="s">
        <v>1729</v>
      </c>
      <c r="J730" s="813">
        <v>52500000</v>
      </c>
      <c r="K730" s="811" t="s">
        <v>1730</v>
      </c>
      <c r="L730" s="811" t="s">
        <v>1189</v>
      </c>
      <c r="M730" s="811" t="s">
        <v>1710</v>
      </c>
      <c r="N730" s="811" t="s">
        <v>1710</v>
      </c>
      <c r="O730" s="811" t="s">
        <v>1779</v>
      </c>
      <c r="P730" s="811" t="s">
        <v>1732</v>
      </c>
      <c r="Q730" s="811" t="s">
        <v>1780</v>
      </c>
    </row>
    <row r="731" spans="1:17" x14ac:dyDescent="0.3">
      <c r="A731" s="811" t="s">
        <v>1724</v>
      </c>
      <c r="B731" s="811" t="s">
        <v>2582</v>
      </c>
      <c r="C731" s="812">
        <v>27000000</v>
      </c>
      <c r="D731" s="811" t="s">
        <v>1501</v>
      </c>
      <c r="E731" s="811" t="s">
        <v>1501</v>
      </c>
      <c r="F731" s="811" t="s">
        <v>1741</v>
      </c>
      <c r="G731" s="811" t="s">
        <v>1727</v>
      </c>
      <c r="H731" s="811" t="s">
        <v>1728</v>
      </c>
      <c r="I731" s="811" t="s">
        <v>1729</v>
      </c>
      <c r="J731" s="813">
        <v>27000000</v>
      </c>
      <c r="K731" s="811" t="s">
        <v>1730</v>
      </c>
      <c r="L731" s="811" t="s">
        <v>1189</v>
      </c>
      <c r="M731" s="811" t="s">
        <v>1710</v>
      </c>
      <c r="N731" s="811" t="s">
        <v>1710</v>
      </c>
      <c r="O731" s="811" t="s">
        <v>1779</v>
      </c>
      <c r="P731" s="811" t="s">
        <v>1732</v>
      </c>
      <c r="Q731" s="811" t="s">
        <v>1780</v>
      </c>
    </row>
    <row r="732" spans="1:17" x14ac:dyDescent="0.3">
      <c r="A732" s="811" t="s">
        <v>1724</v>
      </c>
      <c r="B732" s="811" t="s">
        <v>2583</v>
      </c>
      <c r="C732" s="812">
        <v>33900000</v>
      </c>
      <c r="D732" s="811" t="s">
        <v>1495</v>
      </c>
      <c r="E732" s="811" t="s">
        <v>1495</v>
      </c>
      <c r="F732" s="811" t="s">
        <v>1747</v>
      </c>
      <c r="G732" s="811" t="s">
        <v>1727</v>
      </c>
      <c r="H732" s="811" t="s">
        <v>1728</v>
      </c>
      <c r="I732" s="811" t="s">
        <v>1729</v>
      </c>
      <c r="J732" s="813">
        <v>33900000</v>
      </c>
      <c r="K732" s="811" t="s">
        <v>1730</v>
      </c>
      <c r="L732" s="811" t="s">
        <v>1189</v>
      </c>
      <c r="M732" s="811" t="s">
        <v>1710</v>
      </c>
      <c r="N732" s="811" t="s">
        <v>1710</v>
      </c>
      <c r="O732" s="811" t="s">
        <v>1779</v>
      </c>
      <c r="P732" s="811" t="s">
        <v>1732</v>
      </c>
      <c r="Q732" s="811" t="s">
        <v>1780</v>
      </c>
    </row>
    <row r="733" spans="1:17" x14ac:dyDescent="0.3">
      <c r="A733" s="811" t="s">
        <v>1724</v>
      </c>
      <c r="B733" s="811" t="s">
        <v>2584</v>
      </c>
      <c r="C733" s="812">
        <v>72000000</v>
      </c>
      <c r="D733" s="811" t="s">
        <v>1501</v>
      </c>
      <c r="E733" s="811" t="s">
        <v>1501</v>
      </c>
      <c r="F733" s="811" t="s">
        <v>1741</v>
      </c>
      <c r="G733" s="811" t="s">
        <v>1727</v>
      </c>
      <c r="H733" s="811" t="s">
        <v>1728</v>
      </c>
      <c r="I733" s="811" t="s">
        <v>1729</v>
      </c>
      <c r="J733" s="813">
        <v>72000000</v>
      </c>
      <c r="K733" s="811" t="s">
        <v>1730</v>
      </c>
      <c r="L733" s="811" t="s">
        <v>1189</v>
      </c>
      <c r="M733" s="811" t="s">
        <v>1710</v>
      </c>
      <c r="N733" s="811" t="s">
        <v>1710</v>
      </c>
      <c r="O733" s="811" t="s">
        <v>1779</v>
      </c>
      <c r="P733" s="811" t="s">
        <v>1732</v>
      </c>
      <c r="Q733" s="811" t="s">
        <v>1780</v>
      </c>
    </row>
    <row r="734" spans="1:17" x14ac:dyDescent="0.3">
      <c r="A734" s="811" t="s">
        <v>1724</v>
      </c>
      <c r="B734" s="811" t="s">
        <v>2585</v>
      </c>
      <c r="C734" s="812">
        <v>52000000</v>
      </c>
      <c r="D734" s="811" t="s">
        <v>1501</v>
      </c>
      <c r="E734" s="811" t="s">
        <v>1501</v>
      </c>
      <c r="F734" s="811" t="s">
        <v>1726</v>
      </c>
      <c r="G734" s="811" t="s">
        <v>1727</v>
      </c>
      <c r="H734" s="811" t="s">
        <v>1728</v>
      </c>
      <c r="I734" s="811" t="s">
        <v>1729</v>
      </c>
      <c r="J734" s="813">
        <v>52000000</v>
      </c>
      <c r="K734" s="811" t="s">
        <v>1730</v>
      </c>
      <c r="L734" s="811" t="s">
        <v>1189</v>
      </c>
      <c r="M734" s="811" t="s">
        <v>1710</v>
      </c>
      <c r="N734" s="811" t="s">
        <v>1710</v>
      </c>
      <c r="O734" s="811" t="s">
        <v>1804</v>
      </c>
      <c r="P734" s="811" t="s">
        <v>1732</v>
      </c>
      <c r="Q734" s="811" t="s">
        <v>1739</v>
      </c>
    </row>
    <row r="735" spans="1:17" x14ac:dyDescent="0.3">
      <c r="A735" s="811" t="s">
        <v>1724</v>
      </c>
      <c r="B735" s="811" t="s">
        <v>2586</v>
      </c>
      <c r="C735" s="812">
        <v>22400000</v>
      </c>
      <c r="D735" s="811" t="s">
        <v>1501</v>
      </c>
      <c r="E735" s="811" t="s">
        <v>1501</v>
      </c>
      <c r="F735" s="811" t="s">
        <v>1726</v>
      </c>
      <c r="G735" s="811" t="s">
        <v>1727</v>
      </c>
      <c r="H735" s="811" t="s">
        <v>1728</v>
      </c>
      <c r="I735" s="811" t="s">
        <v>1729</v>
      </c>
      <c r="J735" s="813">
        <v>22400000</v>
      </c>
      <c r="K735" s="811" t="s">
        <v>1730</v>
      </c>
      <c r="L735" s="811" t="s">
        <v>1189</v>
      </c>
      <c r="M735" s="811" t="s">
        <v>1710</v>
      </c>
      <c r="N735" s="811" t="s">
        <v>1710</v>
      </c>
      <c r="O735" s="811" t="s">
        <v>1804</v>
      </c>
      <c r="P735" s="811" t="s">
        <v>1732</v>
      </c>
      <c r="Q735" s="811" t="s">
        <v>1739</v>
      </c>
    </row>
    <row r="736" spans="1:17" x14ac:dyDescent="0.3">
      <c r="A736" s="811" t="s">
        <v>1724</v>
      </c>
      <c r="B736" s="811" t="s">
        <v>2587</v>
      </c>
      <c r="C736" s="812">
        <v>90000000</v>
      </c>
      <c r="D736" s="811" t="s">
        <v>1501</v>
      </c>
      <c r="E736" s="811" t="s">
        <v>1501</v>
      </c>
      <c r="F736" s="811" t="s">
        <v>1760</v>
      </c>
      <c r="G736" s="811" t="s">
        <v>1727</v>
      </c>
      <c r="H736" s="811" t="s">
        <v>1728</v>
      </c>
      <c r="I736" s="811" t="s">
        <v>1729</v>
      </c>
      <c r="J736" s="813">
        <v>90000000</v>
      </c>
      <c r="K736" s="811" t="s">
        <v>1730</v>
      </c>
      <c r="L736" s="811" t="s">
        <v>1189</v>
      </c>
      <c r="M736" s="811" t="s">
        <v>1710</v>
      </c>
      <c r="N736" s="811" t="s">
        <v>1710</v>
      </c>
      <c r="O736" s="811" t="s">
        <v>1804</v>
      </c>
      <c r="P736" s="811" t="s">
        <v>1732</v>
      </c>
      <c r="Q736" s="811" t="s">
        <v>1739</v>
      </c>
    </row>
    <row r="737" spans="1:17" x14ac:dyDescent="0.3">
      <c r="A737" s="811" t="s">
        <v>1724</v>
      </c>
      <c r="B737" s="811" t="s">
        <v>2588</v>
      </c>
      <c r="C737" s="812">
        <v>21804000</v>
      </c>
      <c r="D737" s="811" t="s">
        <v>1510</v>
      </c>
      <c r="E737" s="811" t="s">
        <v>1510</v>
      </c>
      <c r="F737" s="811" t="s">
        <v>1737</v>
      </c>
      <c r="G737" s="811" t="s">
        <v>1727</v>
      </c>
      <c r="H737" s="811" t="s">
        <v>1728</v>
      </c>
      <c r="I737" s="811" t="s">
        <v>1729</v>
      </c>
      <c r="J737" s="813">
        <v>21804000</v>
      </c>
      <c r="K737" s="811" t="s">
        <v>1730</v>
      </c>
      <c r="L737" s="811" t="s">
        <v>1189</v>
      </c>
      <c r="M737" s="811" t="s">
        <v>1710</v>
      </c>
      <c r="N737" s="811" t="s">
        <v>1710</v>
      </c>
      <c r="O737" s="811" t="s">
        <v>1844</v>
      </c>
      <c r="P737" s="811" t="s">
        <v>1732</v>
      </c>
      <c r="Q737" s="811" t="s">
        <v>1780</v>
      </c>
    </row>
    <row r="738" spans="1:17" x14ac:dyDescent="0.3">
      <c r="A738" s="811" t="s">
        <v>1724</v>
      </c>
      <c r="B738" s="811" t="s">
        <v>2589</v>
      </c>
      <c r="C738" s="812">
        <v>21000000</v>
      </c>
      <c r="D738" s="811" t="s">
        <v>1509</v>
      </c>
      <c r="E738" s="811" t="s">
        <v>1509</v>
      </c>
      <c r="F738" s="811" t="s">
        <v>1773</v>
      </c>
      <c r="G738" s="811" t="s">
        <v>1727</v>
      </c>
      <c r="H738" s="811" t="s">
        <v>1728</v>
      </c>
      <c r="I738" s="811" t="s">
        <v>1729</v>
      </c>
      <c r="J738" s="813">
        <v>21000000</v>
      </c>
      <c r="K738" s="811" t="s">
        <v>1730</v>
      </c>
      <c r="L738" s="811" t="s">
        <v>1189</v>
      </c>
      <c r="M738" s="811" t="s">
        <v>1710</v>
      </c>
      <c r="N738" s="811" t="s">
        <v>1710</v>
      </c>
      <c r="O738" s="811" t="s">
        <v>1844</v>
      </c>
      <c r="P738" s="811" t="s">
        <v>1732</v>
      </c>
      <c r="Q738" s="811" t="s">
        <v>1780</v>
      </c>
    </row>
    <row r="740" spans="1:17" x14ac:dyDescent="0.3">
      <c r="C740" s="815">
        <f>SUBTOTAL(9,C6:C739)</f>
        <v>156031739796</v>
      </c>
    </row>
  </sheetData>
  <autoFilter ref="A2:R2"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4140625" defaultRowHeight="14.4" x14ac:dyDescent="0.3"/>
  <cols>
    <col min="1" max="1" width="15.88671875" style="476" customWidth="1"/>
    <col min="2" max="2" width="17" style="477" customWidth="1"/>
    <col min="3" max="3" width="13" style="212" customWidth="1"/>
    <col min="4" max="4" width="11.44140625" style="478" customWidth="1"/>
    <col min="5" max="5" width="16.44140625" style="478" customWidth="1"/>
    <col min="6" max="6" width="11.44140625" style="479" customWidth="1"/>
    <col min="7" max="7" width="23.109375" style="478" customWidth="1"/>
    <col min="8" max="8" width="11.44140625" style="212" customWidth="1"/>
    <col min="9" max="9" width="27.5546875" style="212" customWidth="1"/>
    <col min="10" max="10" width="16.6640625" style="475" customWidth="1"/>
    <col min="11" max="11" width="14.109375" style="212" customWidth="1"/>
    <col min="12" max="12" width="14.88671875" style="212" customWidth="1"/>
    <col min="13" max="17" width="11.44140625" style="212" customWidth="1"/>
    <col min="18" max="18" width="9.109375" style="212" customWidth="1"/>
    <col min="19" max="19" width="11.44140625" style="479" customWidth="1"/>
    <col min="20" max="20" width="13.5546875" style="212" customWidth="1"/>
    <col min="21" max="21" width="18.88671875" style="475" customWidth="1"/>
    <col min="22" max="22" width="17.33203125" style="405" customWidth="1"/>
    <col min="23" max="23" width="16.5546875" style="307" customWidth="1"/>
    <col min="24" max="24" width="11.44140625" style="308" customWidth="1"/>
    <col min="25" max="25" width="11.44140625" style="472" customWidth="1"/>
    <col min="26" max="26" width="15.109375" style="472" customWidth="1"/>
    <col min="27" max="27" width="11.44140625" style="472" customWidth="1"/>
    <col min="28" max="28" width="11.44140625" style="2" customWidth="1"/>
    <col min="29" max="29" width="15.88671875" style="211" customWidth="1"/>
    <col min="30" max="30" width="12" style="2" customWidth="1"/>
    <col min="31" max="31" width="20.44140625" style="212" customWidth="1"/>
    <col min="32" max="32" width="16.6640625" style="473" customWidth="1"/>
    <col min="33" max="33" width="16.44140625" style="212" customWidth="1"/>
    <col min="34" max="34" width="14.88671875" style="475" customWidth="1"/>
    <col min="35" max="35" width="16.44140625" style="475" customWidth="1"/>
    <col min="36" max="38" width="15.5546875" style="475" customWidth="1"/>
    <col min="39" max="39" width="17.88671875" style="306" customWidth="1"/>
    <col min="40" max="16384" width="11.44140625" style="212"/>
  </cols>
  <sheetData>
    <row r="1" spans="1:50" s="389" customFormat="1" x14ac:dyDescent="0.3">
      <c r="A1" s="689" t="s">
        <v>2590</v>
      </c>
      <c r="B1" s="416" t="s">
        <v>2591</v>
      </c>
      <c r="C1" s="367" t="s">
        <v>2592</v>
      </c>
      <c r="D1" s="368" t="s">
        <v>2593</v>
      </c>
      <c r="E1" s="368" t="s">
        <v>2594</v>
      </c>
      <c r="F1" s="369" t="s">
        <v>2595</v>
      </c>
      <c r="G1" s="368" t="s">
        <v>2596</v>
      </c>
      <c r="H1" s="367" t="s">
        <v>2597</v>
      </c>
      <c r="I1" s="367" t="s">
        <v>2598</v>
      </c>
      <c r="J1" s="423" t="s">
        <v>2599</v>
      </c>
      <c r="K1" s="367" t="s">
        <v>12</v>
      </c>
      <c r="L1" s="367" t="s">
        <v>2600</v>
      </c>
      <c r="M1" s="367" t="s">
        <v>2601</v>
      </c>
      <c r="N1" s="367" t="s">
        <v>2602</v>
      </c>
      <c r="O1" s="367" t="s">
        <v>2603</v>
      </c>
      <c r="P1" s="367" t="s">
        <v>2604</v>
      </c>
      <c r="Q1" s="367" t="s">
        <v>2605</v>
      </c>
      <c r="R1" s="370" t="s">
        <v>2606</v>
      </c>
      <c r="S1" s="371" t="s">
        <v>2607</v>
      </c>
      <c r="T1" s="370" t="s">
        <v>2590</v>
      </c>
      <c r="U1" s="412" t="s">
        <v>2608</v>
      </c>
      <c r="V1" s="413" t="s">
        <v>2609</v>
      </c>
      <c r="W1" s="372" t="s">
        <v>2610</v>
      </c>
      <c r="X1" s="373" t="s">
        <v>2611</v>
      </c>
      <c r="Y1" s="374" t="s">
        <v>2612</v>
      </c>
      <c r="Z1" s="374" t="s">
        <v>2613</v>
      </c>
      <c r="AA1" s="374" t="s">
        <v>2614</v>
      </c>
      <c r="AB1" s="375" t="s">
        <v>2615</v>
      </c>
      <c r="AC1" s="462" t="s">
        <v>2616</v>
      </c>
      <c r="AD1" s="375" t="s">
        <v>2617</v>
      </c>
      <c r="AE1" s="376" t="s">
        <v>2618</v>
      </c>
      <c r="AF1" s="409" t="s">
        <v>2619</v>
      </c>
      <c r="AG1" s="376" t="s">
        <v>2620</v>
      </c>
      <c r="AH1" s="403" t="s">
        <v>2621</v>
      </c>
      <c r="AI1" s="404" t="s">
        <v>2622</v>
      </c>
      <c r="AJ1" s="404" t="s">
        <v>2623</v>
      </c>
      <c r="AK1" s="404" t="s">
        <v>2624</v>
      </c>
      <c r="AL1" s="404" t="s">
        <v>2625</v>
      </c>
      <c r="AM1" s="702" t="s">
        <v>2626</v>
      </c>
      <c r="AN1" s="389" t="s">
        <v>2627</v>
      </c>
      <c r="AO1" s="389" t="s">
        <v>2628</v>
      </c>
      <c r="AP1" s="389" t="s">
        <v>2629</v>
      </c>
      <c r="AQ1" s="389" t="s">
        <v>2630</v>
      </c>
      <c r="AR1" s="389" t="s">
        <v>2631</v>
      </c>
      <c r="AS1" s="389" t="s">
        <v>2632</v>
      </c>
      <c r="AT1" s="389" t="s">
        <v>2633</v>
      </c>
      <c r="AU1" s="389" t="s">
        <v>2634</v>
      </c>
      <c r="AV1" s="389" t="s">
        <v>2635</v>
      </c>
      <c r="AW1" s="389" t="s">
        <v>2636</v>
      </c>
      <c r="AX1" s="389" t="s">
        <v>2637</v>
      </c>
    </row>
    <row r="2" spans="1:50" ht="15" hidden="1" customHeight="1" x14ac:dyDescent="0.3">
      <c r="A2" s="466" t="s">
        <v>2638</v>
      </c>
      <c r="B2" s="467" t="s">
        <v>97</v>
      </c>
      <c r="C2" s="468" t="s">
        <v>2639</v>
      </c>
      <c r="D2" s="468">
        <v>1</v>
      </c>
      <c r="E2" s="469">
        <v>20213000000153</v>
      </c>
      <c r="F2" s="470">
        <v>44202</v>
      </c>
      <c r="G2" s="469" t="s">
        <v>2640</v>
      </c>
      <c r="H2" s="468" t="s">
        <v>2641</v>
      </c>
      <c r="I2" s="468" t="s">
        <v>432</v>
      </c>
      <c r="J2" s="471">
        <v>2000000</v>
      </c>
      <c r="K2" s="212" t="s">
        <v>342</v>
      </c>
      <c r="L2" s="468" t="s">
        <v>351</v>
      </c>
      <c r="M2" s="468" t="s">
        <v>149</v>
      </c>
      <c r="N2" s="468" t="s">
        <v>150</v>
      </c>
      <c r="O2" s="468" t="s">
        <v>251</v>
      </c>
      <c r="P2" s="468" t="s">
        <v>674</v>
      </c>
      <c r="Q2" s="468"/>
      <c r="R2" s="468">
        <v>1</v>
      </c>
      <c r="S2" s="470">
        <v>44202</v>
      </c>
      <c r="T2" s="468" t="s">
        <v>2642</v>
      </c>
      <c r="U2" s="471">
        <v>2000000</v>
      </c>
      <c r="V2" s="414"/>
      <c r="W2" s="379"/>
      <c r="X2" s="211">
        <v>1</v>
      </c>
      <c r="Y2" s="472">
        <v>44204</v>
      </c>
      <c r="Z2" s="472">
        <v>44204</v>
      </c>
      <c r="AA2" s="472">
        <v>44227</v>
      </c>
      <c r="AB2" s="2" t="s">
        <v>2643</v>
      </c>
      <c r="AC2" s="211">
        <v>6198641399</v>
      </c>
      <c r="AD2" s="2">
        <v>830037248</v>
      </c>
      <c r="AE2" s="212" t="s">
        <v>2644</v>
      </c>
      <c r="AF2" s="473">
        <f>108350+16900+35446</f>
        <v>160696</v>
      </c>
      <c r="AG2" s="474">
        <f t="shared" ref="AG2:AG65" si="0">+U2-AF2</f>
        <v>1839304</v>
      </c>
      <c r="AH2" s="475">
        <v>108350</v>
      </c>
      <c r="AI2" s="471">
        <v>16900</v>
      </c>
      <c r="AJ2" s="471"/>
      <c r="AK2" s="471"/>
      <c r="AL2" s="471">
        <f>70892-35446</f>
        <v>35446</v>
      </c>
      <c r="AM2" s="212"/>
    </row>
    <row r="3" spans="1:50" ht="15" hidden="1" customHeight="1" x14ac:dyDescent="0.3">
      <c r="A3" s="476" t="s">
        <v>2638</v>
      </c>
      <c r="B3" s="477" t="s">
        <v>2645</v>
      </c>
      <c r="C3" s="212" t="s">
        <v>2646</v>
      </c>
      <c r="D3" s="212">
        <v>2</v>
      </c>
      <c r="E3" s="478">
        <v>20217000000203</v>
      </c>
      <c r="F3" s="479">
        <v>44200</v>
      </c>
      <c r="G3" s="478" t="s">
        <v>2647</v>
      </c>
      <c r="H3" s="212" t="s">
        <v>2648</v>
      </c>
      <c r="I3" s="212" t="s">
        <v>164</v>
      </c>
      <c r="J3" s="475">
        <v>19662787</v>
      </c>
      <c r="K3" s="212" t="s">
        <v>138</v>
      </c>
      <c r="L3" s="212" t="s">
        <v>139</v>
      </c>
      <c r="M3" s="212" t="s">
        <v>44</v>
      </c>
      <c r="N3" s="212" t="s">
        <v>45</v>
      </c>
      <c r="O3" s="212" t="s">
        <v>142</v>
      </c>
      <c r="P3" s="212" t="s">
        <v>43</v>
      </c>
      <c r="R3" s="212">
        <v>2</v>
      </c>
      <c r="S3" s="479">
        <v>44204</v>
      </c>
      <c r="T3" s="212" t="s">
        <v>2649</v>
      </c>
      <c r="U3" s="475">
        <v>19662787</v>
      </c>
      <c r="V3" s="406"/>
      <c r="W3" s="362"/>
      <c r="X3" s="211">
        <v>2</v>
      </c>
      <c r="Y3" s="472">
        <v>44204</v>
      </c>
      <c r="Z3" s="472">
        <v>44204</v>
      </c>
      <c r="AA3" s="472">
        <v>44287</v>
      </c>
      <c r="AB3" s="2" t="s">
        <v>2650</v>
      </c>
      <c r="AC3" s="211">
        <v>311</v>
      </c>
      <c r="AD3" s="2">
        <v>1020743056</v>
      </c>
      <c r="AE3" s="212" t="s">
        <v>2651</v>
      </c>
      <c r="AF3" s="473">
        <v>19662787</v>
      </c>
      <c r="AG3" s="474">
        <f t="shared" si="0"/>
        <v>0</v>
      </c>
      <c r="AI3" s="480">
        <v>7022424</v>
      </c>
      <c r="AJ3" s="475">
        <v>7022424</v>
      </c>
      <c r="AK3" s="475">
        <v>5383859</v>
      </c>
      <c r="AM3" s="212"/>
    </row>
    <row r="4" spans="1:50" s="312" customFormat="1" ht="15" hidden="1" customHeight="1" x14ac:dyDescent="0.3">
      <c r="A4" s="361" t="s">
        <v>1912</v>
      </c>
      <c r="B4" s="417">
        <v>29700000</v>
      </c>
      <c r="C4" s="312" t="s">
        <v>2646</v>
      </c>
      <c r="D4" s="312">
        <v>3</v>
      </c>
      <c r="E4" s="325">
        <v>20211400000233</v>
      </c>
      <c r="F4" s="315">
        <v>44204</v>
      </c>
      <c r="G4" s="325" t="s">
        <v>2647</v>
      </c>
      <c r="H4" s="312" t="s">
        <v>2648</v>
      </c>
      <c r="I4" s="312" t="s">
        <v>184</v>
      </c>
      <c r="J4" s="405">
        <v>22500000</v>
      </c>
      <c r="K4" s="312" t="s">
        <v>138</v>
      </c>
      <c r="L4" s="312" t="s">
        <v>2652</v>
      </c>
      <c r="M4" s="312" t="s">
        <v>44</v>
      </c>
      <c r="N4" s="312" t="s">
        <v>45</v>
      </c>
      <c r="O4" s="312" t="s">
        <v>142</v>
      </c>
      <c r="P4" s="312" t="s">
        <v>43</v>
      </c>
      <c r="R4" s="312">
        <v>9</v>
      </c>
      <c r="S4" s="315">
        <v>44204</v>
      </c>
      <c r="T4" s="312" t="s">
        <v>2653</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3">
      <c r="A5" s="476" t="s">
        <v>1913</v>
      </c>
      <c r="B5" s="477">
        <v>68000000</v>
      </c>
      <c r="C5" s="212" t="s">
        <v>2646</v>
      </c>
      <c r="D5" s="212">
        <v>4</v>
      </c>
      <c r="E5" s="478">
        <v>20211400000243</v>
      </c>
      <c r="F5" s="479">
        <v>44204</v>
      </c>
      <c r="G5" s="478" t="s">
        <v>2647</v>
      </c>
      <c r="H5" s="212" t="s">
        <v>2648</v>
      </c>
      <c r="I5" s="212" t="s">
        <v>184</v>
      </c>
      <c r="J5" s="475">
        <v>68000000</v>
      </c>
      <c r="K5" s="212" t="s">
        <v>138</v>
      </c>
      <c r="L5" s="212" t="s">
        <v>2652</v>
      </c>
      <c r="M5" s="212" t="s">
        <v>44</v>
      </c>
      <c r="N5" s="212" t="s">
        <v>45</v>
      </c>
      <c r="O5" s="212" t="s">
        <v>142</v>
      </c>
      <c r="P5" s="212" t="s">
        <v>43</v>
      </c>
      <c r="R5" s="212">
        <v>10</v>
      </c>
      <c r="S5" s="479">
        <v>44204</v>
      </c>
      <c r="T5" s="212" t="s">
        <v>2654</v>
      </c>
      <c r="U5" s="475">
        <f>68000000-8500000</f>
        <v>59500000</v>
      </c>
      <c r="V5" s="406">
        <v>8500000</v>
      </c>
      <c r="W5" s="362"/>
      <c r="X5" s="211">
        <v>32</v>
      </c>
      <c r="Y5" s="472">
        <v>44222</v>
      </c>
      <c r="Z5" s="472">
        <v>44222</v>
      </c>
      <c r="AA5" s="472">
        <v>44434</v>
      </c>
      <c r="AB5" s="2" t="s">
        <v>2650</v>
      </c>
      <c r="AC5" s="211">
        <v>13</v>
      </c>
      <c r="AD5" s="2">
        <v>79755928</v>
      </c>
      <c r="AE5" s="212" t="s">
        <v>2655</v>
      </c>
      <c r="AF5" s="473">
        <v>59500000</v>
      </c>
      <c r="AG5" s="474">
        <f t="shared" si="0"/>
        <v>0</v>
      </c>
      <c r="AJ5" s="481">
        <v>9350000</v>
      </c>
      <c r="AK5" s="475">
        <v>8500000</v>
      </c>
      <c r="AL5" s="475">
        <v>8500000</v>
      </c>
      <c r="AM5" s="306">
        <v>8500000</v>
      </c>
    </row>
    <row r="6" spans="1:50" ht="15" hidden="1" customHeight="1" x14ac:dyDescent="0.3">
      <c r="A6" s="476" t="s">
        <v>1848</v>
      </c>
      <c r="B6" s="477">
        <v>112560000</v>
      </c>
      <c r="C6" s="212" t="s">
        <v>2646</v>
      </c>
      <c r="D6" s="212">
        <v>5</v>
      </c>
      <c r="E6" s="478">
        <v>20215000000073</v>
      </c>
      <c r="F6" s="479">
        <v>44204</v>
      </c>
      <c r="G6" s="478" t="s">
        <v>2640</v>
      </c>
      <c r="H6" s="212" t="s">
        <v>2641</v>
      </c>
      <c r="I6" s="212" t="s">
        <v>228</v>
      </c>
      <c r="J6" s="475">
        <v>112560000</v>
      </c>
      <c r="K6" s="212" t="s">
        <v>223</v>
      </c>
      <c r="L6" s="212" t="s">
        <v>233</v>
      </c>
      <c r="M6" s="212" t="s">
        <v>44</v>
      </c>
      <c r="N6" s="212" t="s">
        <v>45</v>
      </c>
      <c r="O6" s="212" t="s">
        <v>63</v>
      </c>
      <c r="P6" s="212" t="s">
        <v>674</v>
      </c>
      <c r="R6" s="212">
        <v>3</v>
      </c>
      <c r="S6" s="479">
        <v>44204</v>
      </c>
      <c r="T6" s="212" t="s">
        <v>2656</v>
      </c>
      <c r="U6" s="475">
        <f>112560000-9380000</f>
        <v>103180000</v>
      </c>
      <c r="V6" s="411">
        <v>9380000</v>
      </c>
      <c r="W6" s="397"/>
      <c r="X6" s="211">
        <v>15</v>
      </c>
      <c r="Y6" s="472">
        <v>44215</v>
      </c>
      <c r="Z6" s="472">
        <v>44215</v>
      </c>
      <c r="AA6" s="472">
        <v>44549</v>
      </c>
      <c r="AB6" s="2" t="s">
        <v>2650</v>
      </c>
      <c r="AC6" s="211">
        <v>1</v>
      </c>
      <c r="AD6" s="2">
        <v>1026260799</v>
      </c>
      <c r="AE6" s="212" t="s">
        <v>2657</v>
      </c>
      <c r="AF6" s="473">
        <v>103180000</v>
      </c>
      <c r="AG6" s="474">
        <f t="shared" si="0"/>
        <v>0</v>
      </c>
      <c r="AI6" s="475">
        <v>3126667</v>
      </c>
      <c r="AJ6" s="475">
        <v>9380000</v>
      </c>
      <c r="AK6" s="475">
        <v>9380000</v>
      </c>
      <c r="AL6" s="475">
        <v>9380000</v>
      </c>
      <c r="AM6" s="306">
        <v>9380000</v>
      </c>
    </row>
    <row r="7" spans="1:50" ht="15" hidden="1" customHeight="1" x14ac:dyDescent="0.3">
      <c r="A7" s="476" t="s">
        <v>1766</v>
      </c>
      <c r="B7" s="477">
        <v>112604000</v>
      </c>
      <c r="C7" s="212" t="s">
        <v>2646</v>
      </c>
      <c r="D7" s="212">
        <v>6</v>
      </c>
      <c r="E7" s="478">
        <v>20215000000083</v>
      </c>
      <c r="F7" s="479">
        <v>44204</v>
      </c>
      <c r="G7" s="478" t="s">
        <v>2640</v>
      </c>
      <c r="H7" s="212" t="s">
        <v>2641</v>
      </c>
      <c r="I7" s="212" t="s">
        <v>228</v>
      </c>
      <c r="J7" s="475">
        <v>112604000</v>
      </c>
      <c r="K7" s="212" t="s">
        <v>223</v>
      </c>
      <c r="L7" s="212" t="s">
        <v>283</v>
      </c>
      <c r="M7" s="212" t="s">
        <v>44</v>
      </c>
      <c r="N7" s="212" t="s">
        <v>45</v>
      </c>
      <c r="O7" s="212" t="s">
        <v>63</v>
      </c>
      <c r="P7" s="212" t="s">
        <v>674</v>
      </c>
      <c r="R7" s="212">
        <v>4</v>
      </c>
      <c r="S7" s="479">
        <v>44204</v>
      </c>
      <c r="T7" s="212" t="s">
        <v>2658</v>
      </c>
      <c r="U7" s="475">
        <f>112604000-6297333</f>
        <v>106306667</v>
      </c>
      <c r="V7" s="411">
        <v>6297333</v>
      </c>
      <c r="W7" s="397"/>
      <c r="X7" s="211">
        <v>21</v>
      </c>
      <c r="Y7" s="472">
        <v>44216</v>
      </c>
      <c r="Z7" s="472">
        <v>44216</v>
      </c>
      <c r="AA7" s="472">
        <v>44550</v>
      </c>
      <c r="AB7" s="2" t="s">
        <v>2650</v>
      </c>
      <c r="AC7" s="211">
        <v>9</v>
      </c>
      <c r="AD7" s="2">
        <v>80171259</v>
      </c>
      <c r="AE7" s="212" t="s">
        <v>2659</v>
      </c>
      <c r="AF7" s="473">
        <v>106306667</v>
      </c>
      <c r="AG7" s="474">
        <f t="shared" si="0"/>
        <v>0</v>
      </c>
      <c r="AI7" s="475">
        <v>3126667</v>
      </c>
      <c r="AJ7" s="475">
        <v>9380000</v>
      </c>
      <c r="AK7" s="475">
        <v>9380000</v>
      </c>
      <c r="AL7" s="475">
        <v>9380000</v>
      </c>
      <c r="AM7" s="212"/>
    </row>
    <row r="8" spans="1:50" ht="15" hidden="1" customHeight="1" x14ac:dyDescent="0.3">
      <c r="A8" s="476" t="s">
        <v>1849</v>
      </c>
      <c r="B8" s="477">
        <v>112604000</v>
      </c>
      <c r="C8" s="212" t="s">
        <v>2646</v>
      </c>
      <c r="D8" s="212">
        <v>7</v>
      </c>
      <c r="E8" s="478">
        <v>20215000000093</v>
      </c>
      <c r="F8" s="479">
        <v>44204</v>
      </c>
      <c r="G8" s="478" t="s">
        <v>2640</v>
      </c>
      <c r="H8" s="212" t="s">
        <v>2641</v>
      </c>
      <c r="I8" s="212" t="s">
        <v>228</v>
      </c>
      <c r="J8" s="475">
        <v>112604000</v>
      </c>
      <c r="K8" s="212" t="s">
        <v>223</v>
      </c>
      <c r="L8" s="212" t="s">
        <v>269</v>
      </c>
      <c r="M8" s="212" t="s">
        <v>44</v>
      </c>
      <c r="N8" s="212" t="s">
        <v>45</v>
      </c>
      <c r="O8" s="212" t="s">
        <v>63</v>
      </c>
      <c r="P8" s="212" t="s">
        <v>674</v>
      </c>
      <c r="R8" s="212">
        <v>5</v>
      </c>
      <c r="S8" s="479">
        <v>44204</v>
      </c>
      <c r="T8" s="212" t="s">
        <v>2660</v>
      </c>
      <c r="U8" s="475">
        <f>112604000-24604000</f>
        <v>88000000</v>
      </c>
      <c r="V8" s="411">
        <v>24604000</v>
      </c>
      <c r="W8" s="397"/>
      <c r="X8" s="211">
        <v>16</v>
      </c>
      <c r="Y8" s="472">
        <v>44216</v>
      </c>
      <c r="Z8" s="472">
        <v>44216</v>
      </c>
      <c r="AA8" s="472">
        <v>44550</v>
      </c>
      <c r="AB8" s="2" t="s">
        <v>2650</v>
      </c>
      <c r="AC8" s="211">
        <v>6</v>
      </c>
      <c r="AD8" s="2">
        <v>79910411</v>
      </c>
      <c r="AE8" s="212" t="s">
        <v>2661</v>
      </c>
      <c r="AF8" s="473">
        <v>88000000</v>
      </c>
      <c r="AG8" s="474">
        <f t="shared" si="0"/>
        <v>0</v>
      </c>
      <c r="AI8" s="475">
        <v>2666666</v>
      </c>
      <c r="AJ8" s="475">
        <v>8000000</v>
      </c>
      <c r="AK8" s="475">
        <v>8000000</v>
      </c>
      <c r="AL8" s="475">
        <v>8000000</v>
      </c>
      <c r="AM8" s="306">
        <v>8000000</v>
      </c>
    </row>
    <row r="9" spans="1:50" ht="15" hidden="1" customHeight="1" x14ac:dyDescent="0.3">
      <c r="A9" s="476" t="s">
        <v>1766</v>
      </c>
      <c r="B9" s="477">
        <v>47736000</v>
      </c>
      <c r="C9" s="212" t="s">
        <v>2646</v>
      </c>
      <c r="D9" s="212">
        <v>8</v>
      </c>
      <c r="E9" s="478">
        <v>20215000000123</v>
      </c>
      <c r="F9" s="479">
        <v>44204</v>
      </c>
      <c r="G9" s="478" t="s">
        <v>2640</v>
      </c>
      <c r="H9" s="212" t="s">
        <v>2641</v>
      </c>
      <c r="I9" s="212" t="s">
        <v>228</v>
      </c>
      <c r="J9" s="475">
        <v>47736000</v>
      </c>
      <c r="K9" s="212" t="s">
        <v>223</v>
      </c>
      <c r="L9" s="212" t="s">
        <v>283</v>
      </c>
      <c r="M9" s="212" t="s">
        <v>44</v>
      </c>
      <c r="N9" s="212" t="s">
        <v>45</v>
      </c>
      <c r="O9" s="212" t="s">
        <v>63</v>
      </c>
      <c r="P9" s="212" t="s">
        <v>674</v>
      </c>
      <c r="R9" s="212">
        <v>6</v>
      </c>
      <c r="S9" s="479">
        <v>44204</v>
      </c>
      <c r="T9" s="212" t="s">
        <v>2658</v>
      </c>
      <c r="U9" s="475">
        <f>47736000-3978000</f>
        <v>43758000</v>
      </c>
      <c r="V9" s="411">
        <v>3978000</v>
      </c>
      <c r="W9" s="397"/>
      <c r="X9" s="211">
        <v>22</v>
      </c>
      <c r="Y9" s="472">
        <v>44216</v>
      </c>
      <c r="Z9" s="472">
        <v>44216</v>
      </c>
      <c r="AA9" s="472">
        <v>44550</v>
      </c>
      <c r="AB9" s="2" t="s">
        <v>2650</v>
      </c>
      <c r="AC9" s="211">
        <v>3</v>
      </c>
      <c r="AD9" s="2">
        <v>1121706848</v>
      </c>
      <c r="AE9" s="212" t="s">
        <v>2662</v>
      </c>
      <c r="AF9" s="473">
        <v>43758000</v>
      </c>
      <c r="AG9" s="474">
        <f t="shared" si="0"/>
        <v>0</v>
      </c>
      <c r="AI9" s="475">
        <v>1458600</v>
      </c>
      <c r="AJ9" s="475">
        <v>3978000</v>
      </c>
      <c r="AK9" s="475">
        <v>3978000</v>
      </c>
      <c r="AL9" s="475">
        <v>3978000</v>
      </c>
      <c r="AM9" s="306">
        <v>3978000</v>
      </c>
    </row>
    <row r="10" spans="1:50" ht="15" hidden="1" customHeight="1" x14ac:dyDescent="0.3">
      <c r="A10" s="476" t="s">
        <v>2663</v>
      </c>
      <c r="B10" s="477">
        <v>57000000</v>
      </c>
      <c r="C10" s="212" t="s">
        <v>2664</v>
      </c>
      <c r="D10" s="212">
        <v>9</v>
      </c>
      <c r="E10" s="478">
        <v>20215000000133</v>
      </c>
      <c r="F10" s="479">
        <v>44204</v>
      </c>
      <c r="G10" s="478" t="s">
        <v>2640</v>
      </c>
      <c r="H10" s="212" t="s">
        <v>2641</v>
      </c>
      <c r="I10" s="212" t="s">
        <v>228</v>
      </c>
      <c r="J10" s="475">
        <v>57000000</v>
      </c>
      <c r="K10" s="212" t="s">
        <v>223</v>
      </c>
      <c r="L10" s="212" t="s">
        <v>257</v>
      </c>
      <c r="M10" s="212" t="s">
        <v>44</v>
      </c>
      <c r="N10" s="212" t="s">
        <v>45</v>
      </c>
      <c r="O10" s="212" t="s">
        <v>46</v>
      </c>
      <c r="P10" s="212" t="s">
        <v>674</v>
      </c>
      <c r="R10" s="212">
        <v>7</v>
      </c>
      <c r="S10" s="479">
        <v>44204</v>
      </c>
      <c r="T10" s="212" t="s">
        <v>2665</v>
      </c>
      <c r="U10" s="475">
        <f>57000000-9300040</f>
        <v>47699960</v>
      </c>
      <c r="V10" s="411">
        <v>9300040</v>
      </c>
      <c r="W10" s="397"/>
      <c r="X10" s="211">
        <v>4</v>
      </c>
      <c r="Y10" s="472">
        <v>44210</v>
      </c>
      <c r="Z10" s="472">
        <v>44210</v>
      </c>
      <c r="AA10" s="472">
        <v>44269</v>
      </c>
      <c r="AB10" s="2" t="s">
        <v>2666</v>
      </c>
      <c r="AC10" s="211">
        <v>707</v>
      </c>
      <c r="AD10" s="2">
        <v>800199498</v>
      </c>
      <c r="AE10" s="212" t="s">
        <v>2667</v>
      </c>
      <c r="AF10" s="473">
        <v>47699960</v>
      </c>
      <c r="AG10" s="474">
        <f t="shared" si="0"/>
        <v>0</v>
      </c>
      <c r="AK10" s="475">
        <v>47699960</v>
      </c>
      <c r="AM10" s="212"/>
    </row>
    <row r="11" spans="1:50" ht="15" hidden="1" customHeight="1" x14ac:dyDescent="0.3">
      <c r="A11" s="476" t="s">
        <v>2668</v>
      </c>
      <c r="B11" s="477">
        <v>936991795</v>
      </c>
      <c r="C11" s="212" t="s">
        <v>350</v>
      </c>
      <c r="D11" s="212">
        <v>10</v>
      </c>
      <c r="E11" s="478">
        <v>20213000000143</v>
      </c>
      <c r="F11" s="479">
        <v>44204</v>
      </c>
      <c r="G11" s="478" t="s">
        <v>2640</v>
      </c>
      <c r="H11" s="212" t="s">
        <v>2641</v>
      </c>
      <c r="I11" s="212" t="s">
        <v>432</v>
      </c>
      <c r="J11" s="475">
        <v>563008205</v>
      </c>
      <c r="K11" s="212" t="s">
        <v>342</v>
      </c>
      <c r="L11" s="212" t="s">
        <v>343</v>
      </c>
      <c r="M11" s="212" t="s">
        <v>44</v>
      </c>
      <c r="N11" s="212" t="s">
        <v>45</v>
      </c>
      <c r="O11" s="212" t="s">
        <v>310</v>
      </c>
      <c r="P11" s="212" t="s">
        <v>674</v>
      </c>
      <c r="R11" s="212">
        <v>8</v>
      </c>
      <c r="S11" s="479">
        <v>44204</v>
      </c>
      <c r="T11" s="212" t="s">
        <v>2669</v>
      </c>
      <c r="U11" s="475">
        <v>563008205</v>
      </c>
      <c r="V11" s="406"/>
      <c r="W11" s="362"/>
      <c r="X11" s="211">
        <v>7</v>
      </c>
      <c r="Y11" s="472">
        <v>44210</v>
      </c>
      <c r="Z11" s="472">
        <v>44210</v>
      </c>
      <c r="AA11" s="472">
        <v>44269</v>
      </c>
      <c r="AB11" s="2" t="s">
        <v>2670</v>
      </c>
      <c r="AC11" s="211">
        <v>749</v>
      </c>
      <c r="AD11" s="2">
        <v>18412092</v>
      </c>
      <c r="AE11" s="212" t="s">
        <v>2671</v>
      </c>
      <c r="AF11" s="473">
        <v>563008205</v>
      </c>
      <c r="AG11" s="474">
        <f t="shared" si="0"/>
        <v>0</v>
      </c>
      <c r="AK11" s="475">
        <v>225203282</v>
      </c>
      <c r="AM11" s="212"/>
    </row>
    <row r="12" spans="1:50" ht="15" hidden="1" customHeight="1" x14ac:dyDescent="0.3">
      <c r="A12" s="476" t="s">
        <v>2672</v>
      </c>
      <c r="B12" s="477">
        <v>84000000</v>
      </c>
      <c r="C12" s="212" t="s">
        <v>2646</v>
      </c>
      <c r="D12" s="212">
        <v>11</v>
      </c>
      <c r="E12" s="478">
        <v>20214000000463</v>
      </c>
      <c r="F12" s="479">
        <v>44208</v>
      </c>
      <c r="G12" s="478" t="s">
        <v>2673</v>
      </c>
      <c r="H12" s="212" t="s">
        <v>2674</v>
      </c>
      <c r="I12" s="212" t="s">
        <v>117</v>
      </c>
      <c r="J12" s="475">
        <v>80033333</v>
      </c>
      <c r="K12" s="212" t="s">
        <v>112</v>
      </c>
      <c r="L12" s="212" t="s">
        <v>2675</v>
      </c>
      <c r="M12" s="212" t="s">
        <v>44</v>
      </c>
      <c r="N12" s="212" t="s">
        <v>45</v>
      </c>
      <c r="O12" s="212" t="s">
        <v>63</v>
      </c>
      <c r="P12" s="212" t="s">
        <v>43</v>
      </c>
      <c r="R12" s="212">
        <v>12</v>
      </c>
      <c r="S12" s="479">
        <v>44209</v>
      </c>
      <c r="T12" s="212" t="s">
        <v>2676</v>
      </c>
      <c r="U12" s="475">
        <v>80033333</v>
      </c>
      <c r="V12" s="406"/>
      <c r="W12" s="362"/>
      <c r="X12" s="211">
        <v>31</v>
      </c>
      <c r="Y12" s="472">
        <v>44222</v>
      </c>
      <c r="Z12" s="472">
        <v>44222</v>
      </c>
      <c r="AA12" s="472">
        <v>44556</v>
      </c>
      <c r="AB12" s="2" t="s">
        <v>2650</v>
      </c>
      <c r="AC12" s="211">
        <v>11</v>
      </c>
      <c r="AD12" s="2">
        <v>79284479</v>
      </c>
      <c r="AE12" s="212" t="s">
        <v>2677</v>
      </c>
      <c r="AF12" s="473">
        <v>77000000</v>
      </c>
      <c r="AG12" s="474">
        <f t="shared" si="0"/>
        <v>3033333</v>
      </c>
      <c r="AK12" s="475">
        <v>7933333</v>
      </c>
      <c r="AL12" s="475">
        <v>7000000</v>
      </c>
      <c r="AM12" s="306">
        <v>7000000</v>
      </c>
    </row>
    <row r="13" spans="1:50" ht="15" hidden="1" customHeight="1" x14ac:dyDescent="0.3">
      <c r="A13" s="476" t="s">
        <v>2132</v>
      </c>
      <c r="B13" s="477">
        <v>54661018</v>
      </c>
      <c r="C13" s="212" t="s">
        <v>2646</v>
      </c>
      <c r="D13" s="212">
        <v>12</v>
      </c>
      <c r="E13" s="478">
        <v>20214000000473</v>
      </c>
      <c r="F13" s="479">
        <v>44208</v>
      </c>
      <c r="G13" s="478" t="s">
        <v>2673</v>
      </c>
      <c r="H13" s="212" t="s">
        <v>2674</v>
      </c>
      <c r="I13" s="212" t="s">
        <v>117</v>
      </c>
      <c r="J13" s="475">
        <v>54661018</v>
      </c>
      <c r="K13" s="212" t="s">
        <v>112</v>
      </c>
      <c r="L13" s="212" t="s">
        <v>2675</v>
      </c>
      <c r="M13" s="212" t="s">
        <v>44</v>
      </c>
      <c r="N13" s="212" t="s">
        <v>45</v>
      </c>
      <c r="O13" s="212" t="s">
        <v>63</v>
      </c>
      <c r="P13" s="212" t="s">
        <v>43</v>
      </c>
      <c r="R13" s="212">
        <v>13</v>
      </c>
      <c r="S13" s="479">
        <v>44209</v>
      </c>
      <c r="T13" s="212" t="s">
        <v>2678</v>
      </c>
      <c r="U13" s="475">
        <v>54661018</v>
      </c>
      <c r="V13" s="406"/>
      <c r="W13" s="362"/>
      <c r="X13" s="308">
        <v>66</v>
      </c>
      <c r="Y13" s="472">
        <v>44230</v>
      </c>
      <c r="Z13" s="472">
        <v>44230</v>
      </c>
      <c r="AA13" s="472">
        <v>44548</v>
      </c>
      <c r="AB13" s="2" t="s">
        <v>2650</v>
      </c>
      <c r="AC13" s="211">
        <v>34</v>
      </c>
      <c r="AD13" s="2">
        <v>52521018</v>
      </c>
      <c r="AE13" s="212" t="s">
        <v>2679</v>
      </c>
      <c r="AF13" s="473">
        <v>50274000</v>
      </c>
      <c r="AG13" s="474">
        <f t="shared" si="0"/>
        <v>4387018</v>
      </c>
      <c r="AJ13" s="475">
        <v>3293333</v>
      </c>
      <c r="AK13" s="475">
        <v>3800000</v>
      </c>
      <c r="AL13" s="475">
        <v>3800000</v>
      </c>
      <c r="AM13" s="306">
        <v>3800000</v>
      </c>
    </row>
    <row r="14" spans="1:50" ht="15" hidden="1" customHeight="1" x14ac:dyDescent="0.3">
      <c r="A14" s="476" t="s">
        <v>2132</v>
      </c>
      <c r="B14" s="477">
        <v>32232315</v>
      </c>
      <c r="C14" s="212" t="s">
        <v>2646</v>
      </c>
      <c r="D14" s="212">
        <v>12</v>
      </c>
      <c r="E14" s="478">
        <v>20214000000473</v>
      </c>
      <c r="F14" s="479">
        <v>44208</v>
      </c>
      <c r="G14" s="478" t="s">
        <v>2680</v>
      </c>
      <c r="H14" s="212" t="s">
        <v>2681</v>
      </c>
      <c r="I14" s="212" t="s">
        <v>47</v>
      </c>
      <c r="J14" s="475">
        <v>32232315</v>
      </c>
      <c r="K14" s="212" t="s">
        <v>37</v>
      </c>
      <c r="L14" s="212" t="s">
        <v>2682</v>
      </c>
      <c r="M14" s="212" t="s">
        <v>44</v>
      </c>
      <c r="N14" s="212" t="s">
        <v>45</v>
      </c>
      <c r="O14" s="212" t="s">
        <v>310</v>
      </c>
      <c r="P14" s="212" t="s">
        <v>43</v>
      </c>
      <c r="R14" s="329">
        <v>13</v>
      </c>
      <c r="S14" s="479">
        <v>44209</v>
      </c>
      <c r="T14" s="212" t="s">
        <v>2678</v>
      </c>
      <c r="U14" s="475">
        <v>32232315</v>
      </c>
      <c r="V14" s="406"/>
      <c r="W14" s="362"/>
      <c r="X14" s="308">
        <v>66</v>
      </c>
      <c r="Y14" s="472">
        <v>44230</v>
      </c>
      <c r="Z14" s="472">
        <v>44230</v>
      </c>
      <c r="AA14" s="472">
        <v>44548</v>
      </c>
      <c r="AB14" s="2" t="s">
        <v>2650</v>
      </c>
      <c r="AC14" s="211">
        <v>34</v>
      </c>
      <c r="AD14" s="2">
        <v>52521018</v>
      </c>
      <c r="AE14" s="212" t="s">
        <v>2679</v>
      </c>
      <c r="AF14" s="473">
        <v>29526000</v>
      </c>
      <c r="AG14" s="474">
        <f t="shared" si="0"/>
        <v>2706315</v>
      </c>
      <c r="AJ14" s="475">
        <v>3293333</v>
      </c>
      <c r="AK14" s="475">
        <v>3800000</v>
      </c>
      <c r="AL14" s="475">
        <v>3800000</v>
      </c>
      <c r="AM14" s="306">
        <v>3800000</v>
      </c>
    </row>
    <row r="15" spans="1:50" ht="15" hidden="1" customHeight="1" x14ac:dyDescent="0.3">
      <c r="A15" s="476" t="s">
        <v>2638</v>
      </c>
      <c r="B15" s="477" t="s">
        <v>2683</v>
      </c>
      <c r="C15" s="212" t="s">
        <v>2683</v>
      </c>
      <c r="D15" s="212">
        <v>13</v>
      </c>
      <c r="E15" s="478">
        <v>20217000000483</v>
      </c>
      <c r="F15" s="479">
        <v>44208</v>
      </c>
      <c r="G15" s="478" t="s">
        <v>2647</v>
      </c>
      <c r="H15" s="212" t="s">
        <v>2648</v>
      </c>
      <c r="I15" s="212" t="s">
        <v>164</v>
      </c>
      <c r="J15" s="475">
        <v>10796975</v>
      </c>
      <c r="K15" s="212" t="s">
        <v>138</v>
      </c>
      <c r="L15" s="212" t="s">
        <v>139</v>
      </c>
      <c r="M15" s="212" t="s">
        <v>44</v>
      </c>
      <c r="N15" s="212" t="s">
        <v>45</v>
      </c>
      <c r="O15" s="212" t="s">
        <v>142</v>
      </c>
      <c r="P15" s="212" t="s">
        <v>43</v>
      </c>
      <c r="R15" s="212">
        <v>14</v>
      </c>
      <c r="S15" s="479">
        <v>44209</v>
      </c>
      <c r="T15" s="212" t="s">
        <v>2684</v>
      </c>
      <c r="U15" s="475">
        <v>10796975</v>
      </c>
      <c r="V15" s="406"/>
      <c r="W15" s="362"/>
      <c r="X15" s="211">
        <v>39</v>
      </c>
      <c r="Y15" s="472">
        <v>44223</v>
      </c>
      <c r="Z15" s="472">
        <v>44228</v>
      </c>
      <c r="AA15" s="472">
        <v>44308</v>
      </c>
      <c r="AB15" s="2" t="s">
        <v>2650</v>
      </c>
      <c r="AC15" s="211">
        <v>361</v>
      </c>
      <c r="AD15" s="2">
        <v>1019060772</v>
      </c>
      <c r="AE15" s="212" t="s">
        <v>2685</v>
      </c>
      <c r="AF15" s="473">
        <v>10796975</v>
      </c>
      <c r="AG15" s="474">
        <f t="shared" si="0"/>
        <v>0</v>
      </c>
      <c r="AJ15" s="475">
        <v>3950113</v>
      </c>
      <c r="AK15" s="475">
        <v>3950113</v>
      </c>
      <c r="AL15" s="475">
        <v>2896749</v>
      </c>
      <c r="AM15" s="212"/>
    </row>
    <row r="16" spans="1:50" ht="15" hidden="1" customHeight="1" x14ac:dyDescent="0.3">
      <c r="A16" s="476" t="s">
        <v>2193</v>
      </c>
      <c r="B16" s="477">
        <v>22500000</v>
      </c>
      <c r="C16" s="212" t="s">
        <v>2646</v>
      </c>
      <c r="D16" s="212">
        <v>14</v>
      </c>
      <c r="E16" s="478">
        <v>20211200000503</v>
      </c>
      <c r="F16" s="479">
        <v>44208</v>
      </c>
      <c r="G16" s="478" t="s">
        <v>2647</v>
      </c>
      <c r="H16" s="212" t="s">
        <v>2648</v>
      </c>
      <c r="I16" s="212" t="s">
        <v>143</v>
      </c>
      <c r="J16" s="475">
        <v>22500000</v>
      </c>
      <c r="K16" s="212" t="s">
        <v>138</v>
      </c>
      <c r="L16" s="212" t="s">
        <v>139</v>
      </c>
      <c r="M16" s="212" t="s">
        <v>44</v>
      </c>
      <c r="N16" s="212" t="s">
        <v>45</v>
      </c>
      <c r="O16" s="212" t="s">
        <v>142</v>
      </c>
      <c r="P16" s="212" t="s">
        <v>43</v>
      </c>
      <c r="R16" s="212">
        <v>15</v>
      </c>
      <c r="S16" s="479">
        <v>44209</v>
      </c>
      <c r="T16" s="212" t="s">
        <v>2686</v>
      </c>
      <c r="U16" s="475">
        <v>22500000</v>
      </c>
      <c r="V16" s="406"/>
      <c r="W16" s="362"/>
      <c r="X16" s="211">
        <v>5</v>
      </c>
      <c r="Y16" s="472">
        <v>44210</v>
      </c>
      <c r="Z16" s="472">
        <v>44210</v>
      </c>
      <c r="AA16" s="472">
        <v>44269</v>
      </c>
      <c r="AB16" s="2" t="s">
        <v>2650</v>
      </c>
      <c r="AC16" s="211">
        <v>756</v>
      </c>
      <c r="AD16" s="2">
        <v>36312413</v>
      </c>
      <c r="AE16" s="212" t="s">
        <v>2687</v>
      </c>
      <c r="AF16" s="473">
        <v>22500000</v>
      </c>
      <c r="AG16" s="474">
        <f t="shared" si="0"/>
        <v>0</v>
      </c>
      <c r="AI16" s="480">
        <v>4250000</v>
      </c>
      <c r="AJ16" s="475">
        <v>7500000</v>
      </c>
      <c r="AK16" s="475">
        <v>7500000</v>
      </c>
      <c r="AM16" s="306">
        <v>3250000</v>
      </c>
    </row>
    <row r="17" spans="1:42" hidden="1" x14ac:dyDescent="0.3">
      <c r="A17" s="476" t="s">
        <v>2197</v>
      </c>
      <c r="B17" s="477">
        <v>16500000</v>
      </c>
      <c r="C17" s="212" t="s">
        <v>2646</v>
      </c>
      <c r="D17" s="212">
        <v>15</v>
      </c>
      <c r="E17" s="478">
        <v>20211200000563</v>
      </c>
      <c r="F17" s="479">
        <v>44208</v>
      </c>
      <c r="G17" s="478" t="s">
        <v>2647</v>
      </c>
      <c r="H17" s="212" t="s">
        <v>2648</v>
      </c>
      <c r="I17" s="212" t="s">
        <v>143</v>
      </c>
      <c r="J17" s="475">
        <v>16500000</v>
      </c>
      <c r="K17" s="212" t="s">
        <v>138</v>
      </c>
      <c r="L17" s="212" t="s">
        <v>139</v>
      </c>
      <c r="M17" s="212" t="s">
        <v>44</v>
      </c>
      <c r="N17" s="212" t="s">
        <v>45</v>
      </c>
      <c r="O17" s="212" t="s">
        <v>142</v>
      </c>
      <c r="P17" s="212" t="s">
        <v>43</v>
      </c>
      <c r="R17" s="212">
        <v>16</v>
      </c>
      <c r="S17" s="479">
        <v>44209</v>
      </c>
      <c r="T17" s="212" t="s">
        <v>2688</v>
      </c>
      <c r="U17" s="475">
        <v>16500000</v>
      </c>
      <c r="V17" s="406"/>
      <c r="W17" s="362"/>
      <c r="X17" s="211">
        <v>3</v>
      </c>
      <c r="Y17" s="472">
        <v>44210</v>
      </c>
      <c r="Z17" s="472">
        <v>44210</v>
      </c>
      <c r="AA17" s="472">
        <v>44269</v>
      </c>
      <c r="AB17" s="2" t="s">
        <v>2650</v>
      </c>
      <c r="AC17" s="211">
        <v>758</v>
      </c>
      <c r="AD17" s="2">
        <v>1020754898</v>
      </c>
      <c r="AE17" s="212" t="s">
        <v>2689</v>
      </c>
      <c r="AF17" s="473">
        <v>16500000</v>
      </c>
      <c r="AG17" s="474">
        <f t="shared" si="0"/>
        <v>0</v>
      </c>
      <c r="AI17" s="480">
        <v>3116666</v>
      </c>
      <c r="AJ17" s="475">
        <v>5500000</v>
      </c>
      <c r="AK17" s="475">
        <v>5500000</v>
      </c>
      <c r="AL17" s="475">
        <v>2383333</v>
      </c>
      <c r="AM17" s="212"/>
    </row>
    <row r="18" spans="1:42" hidden="1" x14ac:dyDescent="0.3">
      <c r="A18" s="476" t="s">
        <v>2638</v>
      </c>
      <c r="B18" s="477" t="s">
        <v>2638</v>
      </c>
      <c r="C18" s="212" t="s">
        <v>2690</v>
      </c>
      <c r="D18" s="212">
        <v>16</v>
      </c>
      <c r="E18" s="478">
        <v>20215000000593</v>
      </c>
      <c r="F18" s="479">
        <v>44209</v>
      </c>
      <c r="G18" s="478" t="s">
        <v>2640</v>
      </c>
      <c r="H18" s="212" t="s">
        <v>2641</v>
      </c>
      <c r="I18" s="212" t="s">
        <v>228</v>
      </c>
      <c r="J18" s="475">
        <v>94600000</v>
      </c>
      <c r="K18" s="212" t="s">
        <v>223</v>
      </c>
      <c r="L18" s="212" t="s">
        <v>224</v>
      </c>
      <c r="M18" s="212" t="s">
        <v>44</v>
      </c>
      <c r="N18" s="212" t="s">
        <v>45</v>
      </c>
      <c r="O18" s="212" t="s">
        <v>251</v>
      </c>
      <c r="P18" s="212" t="s">
        <v>674</v>
      </c>
      <c r="R18" s="212">
        <v>17</v>
      </c>
      <c r="S18" s="479">
        <v>44209</v>
      </c>
      <c r="T18" s="212" t="s">
        <v>2691</v>
      </c>
      <c r="U18" s="475">
        <v>94600000</v>
      </c>
      <c r="V18" s="406"/>
      <c r="W18" s="362"/>
      <c r="X18" s="211">
        <v>8</v>
      </c>
      <c r="Y18" s="472">
        <v>44211</v>
      </c>
      <c r="Z18" s="472">
        <v>44211</v>
      </c>
      <c r="AA18" s="472">
        <v>44561</v>
      </c>
      <c r="AB18" s="2" t="s">
        <v>2692</v>
      </c>
      <c r="AC18" s="482">
        <v>20215000001243</v>
      </c>
      <c r="AD18" s="2">
        <v>901145808</v>
      </c>
      <c r="AE18" s="212" t="s">
        <v>2693</v>
      </c>
      <c r="AF18" s="473">
        <v>94600000</v>
      </c>
      <c r="AG18" s="474">
        <f t="shared" si="0"/>
        <v>0</v>
      </c>
      <c r="AH18" s="475">
        <v>2842060</v>
      </c>
      <c r="AJ18" s="475">
        <v>13893730</v>
      </c>
      <c r="AK18" s="475">
        <v>18666130</v>
      </c>
      <c r="AL18" s="475">
        <f>508608-34189</f>
        <v>474419</v>
      </c>
      <c r="AM18" s="306">
        <v>8220469</v>
      </c>
    </row>
    <row r="19" spans="1:42" hidden="1" x14ac:dyDescent="0.3">
      <c r="A19" s="476" t="s">
        <v>1850</v>
      </c>
      <c r="B19" s="477">
        <v>49608000</v>
      </c>
      <c r="C19" s="212" t="s">
        <v>2646</v>
      </c>
      <c r="D19" s="212">
        <v>17</v>
      </c>
      <c r="E19" s="478">
        <v>20215000000603</v>
      </c>
      <c r="F19" s="479">
        <v>44209</v>
      </c>
      <c r="G19" s="478" t="s">
        <v>2640</v>
      </c>
      <c r="H19" s="212" t="s">
        <v>2641</v>
      </c>
      <c r="I19" s="212" t="s">
        <v>228</v>
      </c>
      <c r="J19" s="475">
        <v>49608000</v>
      </c>
      <c r="K19" s="212" t="s">
        <v>223</v>
      </c>
      <c r="L19" s="212" t="s">
        <v>236</v>
      </c>
      <c r="M19" s="212" t="s">
        <v>44</v>
      </c>
      <c r="N19" s="212" t="s">
        <v>45</v>
      </c>
      <c r="O19" s="212" t="s">
        <v>63</v>
      </c>
      <c r="P19" s="212" t="s">
        <v>674</v>
      </c>
      <c r="R19" s="212">
        <v>18</v>
      </c>
      <c r="S19" s="479">
        <v>44209</v>
      </c>
      <c r="T19" s="212" t="s">
        <v>2694</v>
      </c>
      <c r="U19" s="475">
        <f>49608000-5608000</f>
        <v>44000000</v>
      </c>
      <c r="V19" s="411">
        <v>5608000</v>
      </c>
      <c r="W19" s="397"/>
      <c r="X19" s="211">
        <v>14</v>
      </c>
      <c r="Y19" s="472">
        <v>44215</v>
      </c>
      <c r="Z19" s="472">
        <v>44215</v>
      </c>
      <c r="AA19" s="472">
        <v>44549</v>
      </c>
      <c r="AB19" s="2" t="s">
        <v>2650</v>
      </c>
      <c r="AC19" s="211">
        <v>2</v>
      </c>
      <c r="AD19" s="2">
        <v>79787402</v>
      </c>
      <c r="AE19" s="212" t="s">
        <v>2695</v>
      </c>
      <c r="AF19" s="473">
        <v>44000000</v>
      </c>
      <c r="AG19" s="474">
        <f t="shared" si="0"/>
        <v>0</v>
      </c>
      <c r="AJ19" s="475">
        <v>5466667</v>
      </c>
      <c r="AK19" s="475">
        <v>4000000</v>
      </c>
      <c r="AL19" s="475">
        <v>4000000</v>
      </c>
      <c r="AM19" s="306">
        <v>4000000</v>
      </c>
    </row>
    <row r="20" spans="1:42" hidden="1" x14ac:dyDescent="0.3">
      <c r="B20" s="477" t="s">
        <v>2683</v>
      </c>
      <c r="C20" s="212" t="s">
        <v>2646</v>
      </c>
      <c r="D20" s="212">
        <v>18</v>
      </c>
      <c r="E20" s="478">
        <v>20217000000613</v>
      </c>
      <c r="F20" s="479">
        <v>44209</v>
      </c>
      <c r="G20" s="478" t="s">
        <v>2647</v>
      </c>
      <c r="H20" s="212" t="s">
        <v>2648</v>
      </c>
      <c r="I20" s="212" t="s">
        <v>164</v>
      </c>
      <c r="J20" s="475">
        <v>5266818</v>
      </c>
      <c r="K20" s="212" t="s">
        <v>138</v>
      </c>
      <c r="L20" s="212" t="s">
        <v>139</v>
      </c>
      <c r="M20" s="212" t="s">
        <v>44</v>
      </c>
      <c r="N20" s="212" t="s">
        <v>45</v>
      </c>
      <c r="O20" s="212" t="s">
        <v>142</v>
      </c>
      <c r="P20" s="212" t="s">
        <v>43</v>
      </c>
      <c r="R20" s="212">
        <v>19</v>
      </c>
      <c r="S20" s="479">
        <v>44209</v>
      </c>
      <c r="T20" s="212" t="s">
        <v>2696</v>
      </c>
      <c r="U20" s="475">
        <v>5266818</v>
      </c>
      <c r="V20" s="406"/>
      <c r="W20" s="362"/>
      <c r="X20" s="211">
        <v>25</v>
      </c>
      <c r="Y20" s="472">
        <v>44218</v>
      </c>
      <c r="Z20" s="472">
        <v>44220</v>
      </c>
      <c r="AA20" s="472">
        <v>44278</v>
      </c>
      <c r="AB20" s="2" t="s">
        <v>2650</v>
      </c>
      <c r="AC20" s="211">
        <v>434</v>
      </c>
      <c r="AD20" s="2">
        <v>79763003</v>
      </c>
      <c r="AE20" s="212" t="s">
        <v>2697</v>
      </c>
      <c r="AF20" s="473">
        <v>5266818</v>
      </c>
      <c r="AG20" s="474">
        <f t="shared" si="0"/>
        <v>0</v>
      </c>
      <c r="AI20" s="480">
        <v>2633409</v>
      </c>
      <c r="AJ20" s="475">
        <v>2633409</v>
      </c>
      <c r="AM20" s="212"/>
    </row>
    <row r="21" spans="1:42" hidden="1" x14ac:dyDescent="0.3">
      <c r="B21" s="477" t="s">
        <v>2683</v>
      </c>
      <c r="C21" s="212" t="s">
        <v>2646</v>
      </c>
      <c r="D21" s="212">
        <v>19</v>
      </c>
      <c r="E21" s="478">
        <v>20217000000633</v>
      </c>
      <c r="F21" s="479">
        <v>44209</v>
      </c>
      <c r="G21" s="478" t="s">
        <v>2647</v>
      </c>
      <c r="H21" s="212" t="s">
        <v>2648</v>
      </c>
      <c r="I21" s="212" t="s">
        <v>164</v>
      </c>
      <c r="J21" s="475">
        <v>5266818</v>
      </c>
      <c r="K21" s="212" t="s">
        <v>138</v>
      </c>
      <c r="L21" s="212" t="s">
        <v>139</v>
      </c>
      <c r="M21" s="212" t="s">
        <v>44</v>
      </c>
      <c r="N21" s="212" t="s">
        <v>45</v>
      </c>
      <c r="O21" s="212" t="s">
        <v>142</v>
      </c>
      <c r="P21" s="212" t="s">
        <v>43</v>
      </c>
      <c r="R21" s="212">
        <v>20</v>
      </c>
      <c r="S21" s="479">
        <v>44209</v>
      </c>
      <c r="T21" s="212" t="s">
        <v>2698</v>
      </c>
      <c r="U21" s="475">
        <v>5266818</v>
      </c>
      <c r="V21" s="406"/>
      <c r="W21" s="362"/>
      <c r="X21" s="211">
        <v>24</v>
      </c>
      <c r="Y21" s="472">
        <v>44218</v>
      </c>
      <c r="Z21" s="472">
        <v>44221</v>
      </c>
      <c r="AA21" s="472">
        <v>44279</v>
      </c>
      <c r="AB21" s="2" t="s">
        <v>2650</v>
      </c>
      <c r="AC21" s="211">
        <v>438</v>
      </c>
      <c r="AD21" s="2">
        <v>52766365</v>
      </c>
      <c r="AE21" s="212" t="s">
        <v>2699</v>
      </c>
      <c r="AF21" s="473">
        <v>5266818</v>
      </c>
      <c r="AG21" s="474">
        <f t="shared" si="0"/>
        <v>0</v>
      </c>
      <c r="AI21" s="480">
        <v>2633409</v>
      </c>
      <c r="AJ21" s="475">
        <v>2633409</v>
      </c>
      <c r="AM21" s="212"/>
    </row>
    <row r="22" spans="1:42" hidden="1" x14ac:dyDescent="0.3">
      <c r="B22" s="477" t="s">
        <v>2683</v>
      </c>
      <c r="C22" s="212" t="s">
        <v>2646</v>
      </c>
      <c r="D22" s="212">
        <v>20</v>
      </c>
      <c r="E22" s="478">
        <v>20217000000673</v>
      </c>
      <c r="F22" s="479">
        <v>44209</v>
      </c>
      <c r="G22" s="478" t="s">
        <v>2647</v>
      </c>
      <c r="H22" s="212" t="s">
        <v>2648</v>
      </c>
      <c r="I22" s="212" t="s">
        <v>164</v>
      </c>
      <c r="J22" s="475">
        <v>14040000</v>
      </c>
      <c r="K22" s="212" t="s">
        <v>138</v>
      </c>
      <c r="L22" s="212" t="s">
        <v>139</v>
      </c>
      <c r="M22" s="212" t="s">
        <v>44</v>
      </c>
      <c r="N22" s="212" t="s">
        <v>45</v>
      </c>
      <c r="O22" s="212" t="s">
        <v>142</v>
      </c>
      <c r="P22" s="212" t="s">
        <v>43</v>
      </c>
      <c r="R22" s="212">
        <v>21</v>
      </c>
      <c r="S22" s="479">
        <v>44209</v>
      </c>
      <c r="T22" s="212" t="s">
        <v>2700</v>
      </c>
      <c r="U22" s="475">
        <v>14040000</v>
      </c>
      <c r="V22" s="406"/>
      <c r="W22" s="362"/>
      <c r="X22" s="211">
        <v>47</v>
      </c>
      <c r="Y22" s="472">
        <v>44224</v>
      </c>
      <c r="Z22" s="472">
        <v>44225</v>
      </c>
      <c r="AA22" s="472">
        <v>44283</v>
      </c>
      <c r="AB22" s="2" t="s">
        <v>2650</v>
      </c>
      <c r="AC22" s="211">
        <v>475</v>
      </c>
      <c r="AD22" s="2">
        <v>79971696</v>
      </c>
      <c r="AE22" s="212" t="s">
        <v>2701</v>
      </c>
      <c r="AF22" s="473">
        <v>14040000</v>
      </c>
      <c r="AG22" s="474">
        <f t="shared" si="0"/>
        <v>0</v>
      </c>
      <c r="AI22" s="475">
        <v>7020000</v>
      </c>
      <c r="AJ22" s="475">
        <v>7020000</v>
      </c>
      <c r="AM22" s="212"/>
    </row>
    <row r="23" spans="1:42" hidden="1" x14ac:dyDescent="0.3">
      <c r="B23" s="477" t="s">
        <v>2683</v>
      </c>
      <c r="C23" s="212" t="s">
        <v>2646</v>
      </c>
      <c r="D23" s="212">
        <v>21</v>
      </c>
      <c r="E23" s="478">
        <v>20217000000683</v>
      </c>
      <c r="F23" s="479">
        <v>44209</v>
      </c>
      <c r="G23" s="478" t="s">
        <v>2647</v>
      </c>
      <c r="H23" s="212" t="s">
        <v>2648</v>
      </c>
      <c r="I23" s="212" t="s">
        <v>164</v>
      </c>
      <c r="J23" s="475">
        <v>17000000</v>
      </c>
      <c r="K23" s="212" t="s">
        <v>138</v>
      </c>
      <c r="L23" s="212" t="s">
        <v>139</v>
      </c>
      <c r="M23" s="212" t="s">
        <v>44</v>
      </c>
      <c r="N23" s="212" t="s">
        <v>45</v>
      </c>
      <c r="O23" s="212" t="s">
        <v>142</v>
      </c>
      <c r="P23" s="212" t="s">
        <v>43</v>
      </c>
      <c r="R23" s="212">
        <v>22</v>
      </c>
      <c r="S23" s="479">
        <v>44209</v>
      </c>
      <c r="T23" s="212" t="s">
        <v>2702</v>
      </c>
      <c r="U23" s="475">
        <v>17000000</v>
      </c>
      <c r="V23" s="406"/>
      <c r="W23" s="362"/>
      <c r="X23" s="211">
        <v>27</v>
      </c>
      <c r="Y23" s="472">
        <v>44218</v>
      </c>
      <c r="Z23" s="472">
        <v>44226</v>
      </c>
      <c r="AA23" s="472">
        <v>44284</v>
      </c>
      <c r="AB23" s="2" t="s">
        <v>2650</v>
      </c>
      <c r="AC23" s="211">
        <v>474</v>
      </c>
      <c r="AD23" s="2">
        <v>79294836</v>
      </c>
      <c r="AE23" s="212" t="s">
        <v>2703</v>
      </c>
      <c r="AF23" s="473">
        <v>17000000</v>
      </c>
      <c r="AG23" s="474">
        <f t="shared" si="0"/>
        <v>0</v>
      </c>
      <c r="AI23" s="475">
        <v>8500000</v>
      </c>
      <c r="AJ23" s="475">
        <v>8500000</v>
      </c>
      <c r="AM23" s="212"/>
    </row>
    <row r="24" spans="1:42" hidden="1" x14ac:dyDescent="0.3">
      <c r="B24" s="477" t="s">
        <v>2683</v>
      </c>
      <c r="C24" s="212" t="s">
        <v>2646</v>
      </c>
      <c r="D24" s="212">
        <v>22</v>
      </c>
      <c r="E24" s="478">
        <v>20217000000693</v>
      </c>
      <c r="F24" s="479">
        <v>44209</v>
      </c>
      <c r="G24" s="478" t="s">
        <v>2647</v>
      </c>
      <c r="H24" s="212" t="s">
        <v>2648</v>
      </c>
      <c r="I24" s="212" t="s">
        <v>164</v>
      </c>
      <c r="J24" s="475">
        <v>13576686</v>
      </c>
      <c r="K24" s="212" t="s">
        <v>138</v>
      </c>
      <c r="L24" s="212" t="s">
        <v>139</v>
      </c>
      <c r="M24" s="212" t="s">
        <v>44</v>
      </c>
      <c r="N24" s="212" t="s">
        <v>45</v>
      </c>
      <c r="O24" s="212" t="s">
        <v>142</v>
      </c>
      <c r="P24" s="212" t="s">
        <v>43</v>
      </c>
      <c r="R24" s="212">
        <v>23</v>
      </c>
      <c r="S24" s="479">
        <v>44209</v>
      </c>
      <c r="T24" s="212" t="s">
        <v>2704</v>
      </c>
      <c r="U24" s="475">
        <v>13576686</v>
      </c>
      <c r="V24" s="406"/>
      <c r="W24" s="362"/>
      <c r="X24" s="483">
        <v>130</v>
      </c>
      <c r="Y24" s="484">
        <v>44239</v>
      </c>
      <c r="Z24" s="484">
        <v>44242</v>
      </c>
      <c r="AA24" s="484">
        <v>44298</v>
      </c>
      <c r="AB24" s="485" t="s">
        <v>2650</v>
      </c>
      <c r="AC24" s="483">
        <v>482</v>
      </c>
      <c r="AD24" s="485">
        <v>53100506</v>
      </c>
      <c r="AE24" s="486" t="s">
        <v>2705</v>
      </c>
      <c r="AF24" s="473">
        <v>13576686</v>
      </c>
      <c r="AG24" s="474">
        <f t="shared" si="0"/>
        <v>0</v>
      </c>
      <c r="AJ24" s="475">
        <v>7022424</v>
      </c>
      <c r="AK24" s="475">
        <v>3745294</v>
      </c>
      <c r="AL24" s="475">
        <v>2808968</v>
      </c>
      <c r="AM24" s="212"/>
    </row>
    <row r="25" spans="1:42" hidden="1" x14ac:dyDescent="0.3">
      <c r="A25" s="476" t="s">
        <v>2706</v>
      </c>
      <c r="B25" s="477">
        <v>136056666</v>
      </c>
      <c r="C25" s="212" t="s">
        <v>2646</v>
      </c>
      <c r="D25" s="212">
        <v>23</v>
      </c>
      <c r="E25" s="478">
        <v>20214000000703</v>
      </c>
      <c r="F25" s="479">
        <v>44210</v>
      </c>
      <c r="G25" s="478" t="s">
        <v>2673</v>
      </c>
      <c r="H25" s="212" t="s">
        <v>2674</v>
      </c>
      <c r="I25" s="212" t="s">
        <v>117</v>
      </c>
      <c r="J25" s="475">
        <v>136056666</v>
      </c>
      <c r="K25" s="212" t="s">
        <v>112</v>
      </c>
      <c r="L25" s="212" t="s">
        <v>2675</v>
      </c>
      <c r="M25" s="212" t="s">
        <v>44</v>
      </c>
      <c r="N25" s="212" t="s">
        <v>45</v>
      </c>
      <c r="O25" s="212" t="s">
        <v>63</v>
      </c>
      <c r="P25" s="212" t="s">
        <v>43</v>
      </c>
      <c r="R25" s="212">
        <v>24</v>
      </c>
      <c r="S25" s="479">
        <v>44210</v>
      </c>
      <c r="T25" s="212" t="s">
        <v>2707</v>
      </c>
      <c r="U25" s="475">
        <v>136056666</v>
      </c>
      <c r="V25" s="406"/>
      <c r="W25" s="362"/>
      <c r="X25" s="32">
        <v>78</v>
      </c>
      <c r="Y25" s="484">
        <v>44232</v>
      </c>
      <c r="Z25" s="484">
        <v>44232</v>
      </c>
      <c r="AA25" s="484">
        <v>44561</v>
      </c>
      <c r="AB25" s="485" t="s">
        <v>2650</v>
      </c>
      <c r="AC25" s="211">
        <v>42</v>
      </c>
      <c r="AD25" s="487">
        <v>901014925</v>
      </c>
      <c r="AE25" s="486" t="s">
        <v>2708</v>
      </c>
      <c r="AF25" s="473">
        <v>126933333</v>
      </c>
      <c r="AG25" s="474">
        <f t="shared" si="0"/>
        <v>9123333</v>
      </c>
      <c r="AK25" s="475">
        <v>11900000</v>
      </c>
      <c r="AL25" s="475">
        <v>23800000</v>
      </c>
      <c r="AM25" s="306">
        <v>11900000</v>
      </c>
    </row>
    <row r="26" spans="1:42" hidden="1" x14ac:dyDescent="0.3">
      <c r="A26" s="476" t="s">
        <v>2248</v>
      </c>
      <c r="B26" s="477">
        <v>27000000</v>
      </c>
      <c r="C26" s="212" t="s">
        <v>2646</v>
      </c>
      <c r="D26" s="212">
        <v>24</v>
      </c>
      <c r="E26" s="478">
        <v>20214000000753</v>
      </c>
      <c r="F26" s="479">
        <v>44210</v>
      </c>
      <c r="G26" s="478" t="s">
        <v>2673</v>
      </c>
      <c r="H26" s="212" t="s">
        <v>2674</v>
      </c>
      <c r="I26" s="212" t="s">
        <v>117</v>
      </c>
      <c r="J26" s="475">
        <v>27000000</v>
      </c>
      <c r="K26" s="212" t="s">
        <v>112</v>
      </c>
      <c r="L26" s="212" t="s">
        <v>2675</v>
      </c>
      <c r="M26" s="212" t="s">
        <v>44</v>
      </c>
      <c r="N26" s="212" t="s">
        <v>45</v>
      </c>
      <c r="O26" s="212" t="s">
        <v>63</v>
      </c>
      <c r="P26" s="212" t="s">
        <v>43</v>
      </c>
      <c r="R26" s="212">
        <v>27</v>
      </c>
      <c r="S26" s="479">
        <v>44210</v>
      </c>
      <c r="T26" s="212" t="s">
        <v>2709</v>
      </c>
      <c r="U26" s="475">
        <v>27000000</v>
      </c>
      <c r="V26" s="406"/>
      <c r="W26" s="362"/>
      <c r="X26" s="308">
        <v>63</v>
      </c>
      <c r="Y26" s="472">
        <v>44229</v>
      </c>
      <c r="Z26" s="472">
        <v>44229</v>
      </c>
      <c r="AA26" s="472">
        <v>44502</v>
      </c>
      <c r="AB26" s="2" t="s">
        <v>2650</v>
      </c>
      <c r="AC26" s="211">
        <v>29</v>
      </c>
      <c r="AD26" s="2">
        <v>80796522</v>
      </c>
      <c r="AE26" s="212" t="s">
        <v>2710</v>
      </c>
      <c r="AF26" s="473">
        <v>27000000</v>
      </c>
      <c r="AG26" s="474">
        <f t="shared" si="0"/>
        <v>0</v>
      </c>
      <c r="AK26" s="475">
        <f>2600000+3000000</f>
        <v>5600000</v>
      </c>
      <c r="AL26" s="475">
        <v>3000000</v>
      </c>
      <c r="AM26" s="306">
        <v>3000000</v>
      </c>
    </row>
    <row r="27" spans="1:42" hidden="1" x14ac:dyDescent="0.3">
      <c r="A27" s="476" t="s">
        <v>1997</v>
      </c>
      <c r="B27" s="477">
        <v>36950520</v>
      </c>
      <c r="C27" s="212" t="s">
        <v>2646</v>
      </c>
      <c r="D27" s="212">
        <v>25</v>
      </c>
      <c r="E27" s="478">
        <v>20212000000723</v>
      </c>
      <c r="F27" s="479">
        <v>44210</v>
      </c>
      <c r="G27" s="478" t="s">
        <v>2640</v>
      </c>
      <c r="H27" s="212" t="s">
        <v>2641</v>
      </c>
      <c r="I27" s="212" t="s">
        <v>391</v>
      </c>
      <c r="J27" s="475">
        <v>35593580</v>
      </c>
      <c r="K27" s="210" t="s">
        <v>2711</v>
      </c>
      <c r="L27" s="212" t="s">
        <v>2712</v>
      </c>
      <c r="M27" s="212" t="s">
        <v>44</v>
      </c>
      <c r="N27" s="212" t="s">
        <v>45</v>
      </c>
      <c r="O27" s="212" t="s">
        <v>63</v>
      </c>
      <c r="P27" s="212" t="s">
        <v>674</v>
      </c>
      <c r="R27" s="212">
        <v>25</v>
      </c>
      <c r="S27" s="479">
        <v>44210</v>
      </c>
      <c r="T27" s="212" t="s">
        <v>2713</v>
      </c>
      <c r="U27" s="475">
        <f>35593580-2713880</f>
        <v>32879700</v>
      </c>
      <c r="V27" s="411">
        <v>2713880</v>
      </c>
      <c r="W27" s="397"/>
      <c r="X27" s="308">
        <v>75</v>
      </c>
      <c r="Y27" s="484">
        <v>44231</v>
      </c>
      <c r="Z27" s="484">
        <v>44231</v>
      </c>
      <c r="AA27" s="484">
        <v>44561</v>
      </c>
      <c r="AB27" s="485" t="s">
        <v>2650</v>
      </c>
      <c r="AC27" s="211">
        <v>32</v>
      </c>
      <c r="AD27" s="487">
        <v>80197560</v>
      </c>
      <c r="AE27" s="486" t="s">
        <v>2714</v>
      </c>
      <c r="AF27" s="473">
        <v>32879700</v>
      </c>
      <c r="AG27" s="474">
        <f t="shared" si="0"/>
        <v>0</v>
      </c>
      <c r="AJ27" s="475">
        <v>2505120</v>
      </c>
      <c r="AK27" s="475">
        <v>3131400</v>
      </c>
      <c r="AL27" s="475">
        <v>3131400</v>
      </c>
      <c r="AM27" s="306">
        <v>3131400</v>
      </c>
    </row>
    <row r="28" spans="1:42" s="312" customFormat="1" hidden="1" x14ac:dyDescent="0.3">
      <c r="A28" s="361"/>
      <c r="B28" s="417"/>
      <c r="C28" s="312" t="s">
        <v>2646</v>
      </c>
      <c r="D28" s="312">
        <v>26</v>
      </c>
      <c r="E28" s="325">
        <v>20212000000733</v>
      </c>
      <c r="F28" s="315">
        <v>44210</v>
      </c>
      <c r="G28" s="325" t="s">
        <v>2640</v>
      </c>
      <c r="H28" s="312" t="s">
        <v>2641</v>
      </c>
      <c r="I28" s="312" t="s">
        <v>391</v>
      </c>
      <c r="J28" s="405">
        <v>41738400</v>
      </c>
      <c r="K28" s="312" t="s">
        <v>2711</v>
      </c>
      <c r="L28" s="312" t="s">
        <v>2712</v>
      </c>
      <c r="M28" s="312" t="s">
        <v>44</v>
      </c>
      <c r="N28" s="312" t="s">
        <v>45</v>
      </c>
      <c r="O28" s="312" t="s">
        <v>63</v>
      </c>
      <c r="P28" s="312" t="s">
        <v>674</v>
      </c>
      <c r="R28" s="312">
        <v>26</v>
      </c>
      <c r="S28" s="315">
        <v>44210</v>
      </c>
      <c r="T28" s="312" t="s">
        <v>2715</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3">
      <c r="A29" s="476" t="s">
        <v>1909</v>
      </c>
      <c r="B29" s="477">
        <v>40800000</v>
      </c>
      <c r="C29" s="212" t="s">
        <v>2646</v>
      </c>
      <c r="D29" s="212">
        <v>27</v>
      </c>
      <c r="E29" s="478">
        <v>20215000000793</v>
      </c>
      <c r="F29" s="479">
        <v>44210</v>
      </c>
      <c r="G29" s="478" t="s">
        <v>2640</v>
      </c>
      <c r="H29" s="212" t="s">
        <v>2641</v>
      </c>
      <c r="I29" s="212" t="s">
        <v>228</v>
      </c>
      <c r="J29" s="475">
        <v>34000000</v>
      </c>
      <c r="K29" s="212" t="s">
        <v>223</v>
      </c>
      <c r="L29" s="212" t="s">
        <v>236</v>
      </c>
      <c r="M29" s="212" t="s">
        <v>44</v>
      </c>
      <c r="N29" s="212" t="s">
        <v>45</v>
      </c>
      <c r="O29" s="212" t="s">
        <v>63</v>
      </c>
      <c r="P29" s="212" t="s">
        <v>674</v>
      </c>
      <c r="R29" s="212">
        <v>28</v>
      </c>
      <c r="S29" s="479">
        <v>44210</v>
      </c>
      <c r="T29" s="212" t="s">
        <v>2716</v>
      </c>
      <c r="U29" s="475">
        <f>34000000-1000000</f>
        <v>33000000</v>
      </c>
      <c r="V29" s="411">
        <v>1000000</v>
      </c>
      <c r="W29" s="397"/>
      <c r="X29" s="211">
        <v>19</v>
      </c>
      <c r="Y29" s="472">
        <v>44216</v>
      </c>
      <c r="Z29" s="472">
        <v>44216</v>
      </c>
      <c r="AA29" s="472">
        <v>44550</v>
      </c>
      <c r="AB29" s="2" t="s">
        <v>2650</v>
      </c>
      <c r="AC29" s="211">
        <v>7</v>
      </c>
      <c r="AD29" s="2">
        <v>1010044231</v>
      </c>
      <c r="AE29" s="212" t="s">
        <v>2717</v>
      </c>
      <c r="AF29" s="473">
        <v>33000000</v>
      </c>
      <c r="AG29" s="474">
        <f t="shared" si="0"/>
        <v>0</v>
      </c>
      <c r="AJ29" s="475">
        <v>3600000</v>
      </c>
      <c r="AK29" s="475">
        <v>3000000</v>
      </c>
      <c r="AL29" s="475">
        <v>3000000</v>
      </c>
      <c r="AM29" s="306">
        <v>3000000</v>
      </c>
    </row>
    <row r="30" spans="1:42" hidden="1" x14ac:dyDescent="0.3">
      <c r="B30" s="477" t="s">
        <v>2683</v>
      </c>
      <c r="C30" s="212" t="s">
        <v>2646</v>
      </c>
      <c r="D30" s="212">
        <v>28</v>
      </c>
      <c r="E30" s="478">
        <v>20211300001153</v>
      </c>
      <c r="F30" s="479">
        <v>44211</v>
      </c>
      <c r="G30" s="478" t="s">
        <v>2647</v>
      </c>
      <c r="H30" s="212" t="s">
        <v>2648</v>
      </c>
      <c r="I30" s="212" t="s">
        <v>210</v>
      </c>
      <c r="J30" s="475">
        <v>7900000</v>
      </c>
      <c r="K30" s="212" t="s">
        <v>138</v>
      </c>
      <c r="L30" s="212" t="s">
        <v>139</v>
      </c>
      <c r="M30" s="212" t="s">
        <v>44</v>
      </c>
      <c r="N30" s="212" t="s">
        <v>45</v>
      </c>
      <c r="O30" s="212" t="s">
        <v>142</v>
      </c>
      <c r="P30" s="212" t="s">
        <v>43</v>
      </c>
      <c r="R30" s="212">
        <v>42</v>
      </c>
      <c r="S30" s="479">
        <v>44211</v>
      </c>
      <c r="T30" s="212" t="s">
        <v>2718</v>
      </c>
      <c r="U30" s="475">
        <v>7900000</v>
      </c>
      <c r="V30" s="406"/>
      <c r="W30" s="362"/>
      <c r="X30" s="308">
        <v>55</v>
      </c>
      <c r="Y30" s="472">
        <v>44228</v>
      </c>
      <c r="Z30" s="472">
        <v>44228</v>
      </c>
      <c r="AA30" s="472">
        <v>44286</v>
      </c>
      <c r="AB30" s="2" t="s">
        <v>2650</v>
      </c>
      <c r="AC30" s="211">
        <v>427</v>
      </c>
      <c r="AD30" s="2">
        <v>80174339</v>
      </c>
      <c r="AE30" s="212" t="s">
        <v>2719</v>
      </c>
      <c r="AF30" s="473">
        <v>7900000</v>
      </c>
      <c r="AG30" s="474">
        <f t="shared" si="0"/>
        <v>0</v>
      </c>
      <c r="AJ30" s="475">
        <v>3950000</v>
      </c>
      <c r="AL30" s="475">
        <v>3950000</v>
      </c>
      <c r="AM30" s="212"/>
    </row>
    <row r="31" spans="1:42" hidden="1" x14ac:dyDescent="0.3">
      <c r="A31" s="476" t="s">
        <v>2098</v>
      </c>
      <c r="B31" s="477">
        <v>64900000</v>
      </c>
      <c r="C31" s="212" t="s">
        <v>2646</v>
      </c>
      <c r="D31" s="212">
        <v>29</v>
      </c>
      <c r="E31" s="478">
        <v>20215000000833</v>
      </c>
      <c r="F31" s="479">
        <v>44211</v>
      </c>
      <c r="G31" s="478" t="s">
        <v>2640</v>
      </c>
      <c r="H31" s="212" t="s">
        <v>2641</v>
      </c>
      <c r="I31" s="212" t="s">
        <v>228</v>
      </c>
      <c r="J31" s="475">
        <v>64900000</v>
      </c>
      <c r="K31" s="212" t="s">
        <v>223</v>
      </c>
      <c r="L31" s="212" t="s">
        <v>233</v>
      </c>
      <c r="M31" s="212" t="s">
        <v>44</v>
      </c>
      <c r="N31" s="212" t="s">
        <v>45</v>
      </c>
      <c r="O31" s="212" t="s">
        <v>63</v>
      </c>
      <c r="P31" s="212" t="s">
        <v>674</v>
      </c>
      <c r="R31" s="212">
        <v>31</v>
      </c>
      <c r="S31" s="479">
        <v>44211</v>
      </c>
      <c r="T31" s="212" t="s">
        <v>2720</v>
      </c>
      <c r="U31" s="475">
        <v>64900000</v>
      </c>
      <c r="V31" s="406"/>
      <c r="W31" s="362"/>
      <c r="X31" s="211">
        <v>41</v>
      </c>
      <c r="Y31" s="472">
        <v>44224</v>
      </c>
      <c r="Z31" s="472">
        <v>44224</v>
      </c>
      <c r="AA31" s="472">
        <v>44558</v>
      </c>
      <c r="AB31" s="2" t="s">
        <v>2650</v>
      </c>
      <c r="AC31" s="211">
        <v>16</v>
      </c>
      <c r="AD31" s="2">
        <v>1013629185</v>
      </c>
      <c r="AE31" s="212" t="s">
        <v>2721</v>
      </c>
      <c r="AF31" s="473">
        <v>64900000</v>
      </c>
      <c r="AG31" s="474">
        <f t="shared" si="0"/>
        <v>0</v>
      </c>
      <c r="AJ31" s="475">
        <v>6490000</v>
      </c>
      <c r="AK31" s="475">
        <v>5900000</v>
      </c>
      <c r="AL31" s="475">
        <v>5900000</v>
      </c>
      <c r="AM31" s="306">
        <v>5900000</v>
      </c>
    </row>
    <row r="32" spans="1:42" hidden="1" x14ac:dyDescent="0.3">
      <c r="A32" s="476" t="s">
        <v>2098</v>
      </c>
      <c r="B32" s="477">
        <v>64900000</v>
      </c>
      <c r="C32" s="212" t="s">
        <v>2646</v>
      </c>
      <c r="D32" s="212">
        <v>30</v>
      </c>
      <c r="E32" s="478">
        <v>20215000000843</v>
      </c>
      <c r="F32" s="479">
        <v>44211</v>
      </c>
      <c r="G32" s="478" t="s">
        <v>2640</v>
      </c>
      <c r="H32" s="212" t="s">
        <v>2641</v>
      </c>
      <c r="I32" s="212" t="s">
        <v>228</v>
      </c>
      <c r="J32" s="475">
        <v>64900000</v>
      </c>
      <c r="K32" s="212" t="s">
        <v>223</v>
      </c>
      <c r="L32" s="212" t="s">
        <v>233</v>
      </c>
      <c r="M32" s="212" t="s">
        <v>44</v>
      </c>
      <c r="N32" s="212" t="s">
        <v>45</v>
      </c>
      <c r="O32" s="212" t="s">
        <v>63</v>
      </c>
      <c r="P32" s="212" t="s">
        <v>674</v>
      </c>
      <c r="R32" s="212">
        <v>32</v>
      </c>
      <c r="S32" s="479">
        <v>44211</v>
      </c>
      <c r="T32" s="212" t="s">
        <v>2720</v>
      </c>
      <c r="U32" s="475">
        <f>64900000-9250000</f>
        <v>55650000</v>
      </c>
      <c r="V32" s="411">
        <v>9250000</v>
      </c>
      <c r="W32" s="397"/>
      <c r="X32" s="483">
        <v>122</v>
      </c>
      <c r="Y32" s="484">
        <v>44239</v>
      </c>
      <c r="Z32" s="484">
        <v>44239</v>
      </c>
      <c r="AA32" s="484">
        <v>44561</v>
      </c>
      <c r="AB32" s="485" t="s">
        <v>2650</v>
      </c>
      <c r="AC32" s="483">
        <v>75</v>
      </c>
      <c r="AD32" s="485">
        <v>31832625</v>
      </c>
      <c r="AE32" s="486" t="s">
        <v>2722</v>
      </c>
      <c r="AF32" s="473">
        <v>55650000</v>
      </c>
      <c r="AG32" s="474">
        <f t="shared" si="0"/>
        <v>0</v>
      </c>
      <c r="AJ32" s="475">
        <v>3003333</v>
      </c>
      <c r="AK32" s="475">
        <v>5300000</v>
      </c>
      <c r="AL32" s="475">
        <v>5300000</v>
      </c>
      <c r="AM32" s="306">
        <v>5300000</v>
      </c>
      <c r="AP32" s="389"/>
    </row>
    <row r="33" spans="1:39" hidden="1" x14ac:dyDescent="0.3">
      <c r="A33" s="476" t="s">
        <v>2098</v>
      </c>
      <c r="B33" s="477">
        <v>64900000</v>
      </c>
      <c r="C33" s="212" t="s">
        <v>2646</v>
      </c>
      <c r="D33" s="212">
        <v>31</v>
      </c>
      <c r="E33" s="478">
        <v>20215000000853</v>
      </c>
      <c r="F33" s="479">
        <v>44211</v>
      </c>
      <c r="G33" s="478" t="s">
        <v>2640</v>
      </c>
      <c r="H33" s="212" t="s">
        <v>2641</v>
      </c>
      <c r="I33" s="212" t="s">
        <v>228</v>
      </c>
      <c r="J33" s="475">
        <v>64900000</v>
      </c>
      <c r="K33" s="212" t="s">
        <v>223</v>
      </c>
      <c r="L33" s="212" t="s">
        <v>233</v>
      </c>
      <c r="M33" s="212" t="s">
        <v>44</v>
      </c>
      <c r="N33" s="212" t="s">
        <v>45</v>
      </c>
      <c r="O33" s="212" t="s">
        <v>63</v>
      </c>
      <c r="P33" s="212" t="s">
        <v>674</v>
      </c>
      <c r="R33" s="212">
        <v>33</v>
      </c>
      <c r="S33" s="479">
        <v>44211</v>
      </c>
      <c r="T33" s="212" t="s">
        <v>2720</v>
      </c>
      <c r="U33" s="475">
        <v>64900000</v>
      </c>
      <c r="V33" s="406"/>
      <c r="W33" s="362"/>
      <c r="X33" s="211">
        <v>48</v>
      </c>
      <c r="Y33" s="472">
        <v>44224</v>
      </c>
      <c r="Z33" s="472">
        <v>44224</v>
      </c>
      <c r="AA33" s="472">
        <v>44558</v>
      </c>
      <c r="AB33" s="2" t="s">
        <v>2650</v>
      </c>
      <c r="AC33" s="211">
        <v>19</v>
      </c>
      <c r="AD33" s="2">
        <v>1019004199</v>
      </c>
      <c r="AE33" s="212" t="s">
        <v>2723</v>
      </c>
      <c r="AF33" s="473">
        <v>64900000</v>
      </c>
      <c r="AG33" s="474">
        <f t="shared" si="0"/>
        <v>0</v>
      </c>
      <c r="AJ33" s="475">
        <v>6293333</v>
      </c>
      <c r="AK33" s="475">
        <v>5900000</v>
      </c>
      <c r="AL33" s="475">
        <v>5900000</v>
      </c>
      <c r="AM33" s="306">
        <v>5900000</v>
      </c>
    </row>
    <row r="34" spans="1:39" hidden="1" x14ac:dyDescent="0.3">
      <c r="A34" s="476" t="s">
        <v>2098</v>
      </c>
      <c r="B34" s="477">
        <v>64900000</v>
      </c>
      <c r="C34" s="212" t="s">
        <v>2646</v>
      </c>
      <c r="D34" s="212">
        <v>32</v>
      </c>
      <c r="E34" s="478">
        <v>20215000000863</v>
      </c>
      <c r="F34" s="479">
        <v>44211</v>
      </c>
      <c r="G34" s="478" t="s">
        <v>2640</v>
      </c>
      <c r="H34" s="212" t="s">
        <v>2641</v>
      </c>
      <c r="I34" s="212" t="s">
        <v>228</v>
      </c>
      <c r="J34" s="475">
        <v>64900000</v>
      </c>
      <c r="K34" s="212" t="s">
        <v>223</v>
      </c>
      <c r="L34" s="212" t="s">
        <v>233</v>
      </c>
      <c r="M34" s="212" t="s">
        <v>44</v>
      </c>
      <c r="N34" s="212" t="s">
        <v>45</v>
      </c>
      <c r="O34" s="212" t="s">
        <v>63</v>
      </c>
      <c r="P34" s="212" t="s">
        <v>674</v>
      </c>
      <c r="R34" s="212">
        <v>43</v>
      </c>
      <c r="S34" s="479">
        <v>44214</v>
      </c>
      <c r="T34" s="212" t="s">
        <v>2720</v>
      </c>
      <c r="U34" s="475">
        <v>64900000</v>
      </c>
      <c r="V34" s="406"/>
      <c r="W34" s="362"/>
      <c r="X34" s="211">
        <v>46</v>
      </c>
      <c r="Y34" s="472">
        <v>44224</v>
      </c>
      <c r="Z34" s="472">
        <v>44224</v>
      </c>
      <c r="AA34" s="472">
        <v>44558</v>
      </c>
      <c r="AB34" s="2" t="s">
        <v>2650</v>
      </c>
      <c r="AC34" s="211">
        <v>18</v>
      </c>
      <c r="AD34" s="2">
        <v>79751603</v>
      </c>
      <c r="AE34" s="212" t="s">
        <v>2724</v>
      </c>
      <c r="AF34" s="473">
        <v>64900000</v>
      </c>
      <c r="AG34" s="474">
        <f t="shared" si="0"/>
        <v>0</v>
      </c>
      <c r="AJ34" s="475">
        <v>6293333</v>
      </c>
      <c r="AK34" s="475">
        <v>5900000</v>
      </c>
      <c r="AL34" s="475">
        <v>5900000</v>
      </c>
      <c r="AM34" s="306">
        <v>5900000</v>
      </c>
    </row>
    <row r="35" spans="1:39" hidden="1" x14ac:dyDescent="0.3">
      <c r="A35" s="476" t="s">
        <v>2102</v>
      </c>
      <c r="B35" s="477">
        <v>33000000</v>
      </c>
      <c r="C35" s="212" t="s">
        <v>2646</v>
      </c>
      <c r="D35" s="212">
        <v>33</v>
      </c>
      <c r="E35" s="478">
        <v>20215000002823</v>
      </c>
      <c r="F35" s="479">
        <v>44225</v>
      </c>
      <c r="G35" s="478" t="s">
        <v>2640</v>
      </c>
      <c r="H35" s="212" t="s">
        <v>2641</v>
      </c>
      <c r="I35" s="212" t="s">
        <v>228</v>
      </c>
      <c r="J35" s="475">
        <v>33000000</v>
      </c>
      <c r="K35" s="212" t="s">
        <v>223</v>
      </c>
      <c r="L35" s="212" t="s">
        <v>236</v>
      </c>
      <c r="M35" s="212" t="s">
        <v>44</v>
      </c>
      <c r="N35" s="212" t="s">
        <v>45</v>
      </c>
      <c r="O35" s="212" t="s">
        <v>63</v>
      </c>
      <c r="P35" s="212" t="s">
        <v>674</v>
      </c>
      <c r="R35" s="212">
        <v>124</v>
      </c>
      <c r="S35" s="479">
        <v>44225</v>
      </c>
      <c r="T35" s="212" t="s">
        <v>2725</v>
      </c>
      <c r="U35" s="475">
        <f>33000000-6900000</f>
        <v>26100000</v>
      </c>
      <c r="V35" s="444">
        <v>6900000</v>
      </c>
      <c r="W35" s="398"/>
      <c r="X35" s="308">
        <v>206</v>
      </c>
      <c r="Y35" s="484">
        <v>44256</v>
      </c>
      <c r="Z35" s="484">
        <v>44256</v>
      </c>
      <c r="AA35" s="484">
        <v>44561</v>
      </c>
      <c r="AB35" s="485" t="s">
        <v>2650</v>
      </c>
      <c r="AC35" s="211">
        <v>150</v>
      </c>
      <c r="AD35" s="485" t="s">
        <v>2726</v>
      </c>
      <c r="AE35" s="486" t="s">
        <v>2727</v>
      </c>
      <c r="AF35" s="473">
        <v>26100000</v>
      </c>
      <c r="AG35" s="474">
        <f t="shared" si="0"/>
        <v>0</v>
      </c>
      <c r="AK35" s="475">
        <v>2610000</v>
      </c>
      <c r="AL35" s="475">
        <v>2700000</v>
      </c>
      <c r="AM35" s="306">
        <v>2700000</v>
      </c>
    </row>
    <row r="36" spans="1:39" hidden="1" x14ac:dyDescent="0.3">
      <c r="A36" s="476" t="s">
        <v>2252</v>
      </c>
      <c r="B36" s="477">
        <v>59054190</v>
      </c>
      <c r="C36" s="212" t="s">
        <v>2646</v>
      </c>
      <c r="D36" s="212">
        <v>34</v>
      </c>
      <c r="E36" s="478">
        <v>20217000005643</v>
      </c>
      <c r="F36" s="479">
        <v>44231</v>
      </c>
      <c r="G36" s="478" t="s">
        <v>2647</v>
      </c>
      <c r="H36" s="212" t="s">
        <v>2648</v>
      </c>
      <c r="I36" s="212" t="s">
        <v>164</v>
      </c>
      <c r="J36" s="475">
        <v>54511560</v>
      </c>
      <c r="K36" s="212" t="s">
        <v>138</v>
      </c>
      <c r="L36" s="212" t="s">
        <v>139</v>
      </c>
      <c r="M36" s="212" t="s">
        <v>44</v>
      </c>
      <c r="N36" s="212" t="s">
        <v>45</v>
      </c>
      <c r="O36" s="212" t="s">
        <v>142</v>
      </c>
      <c r="P36" s="212" t="s">
        <v>43</v>
      </c>
      <c r="R36" s="212">
        <v>197</v>
      </c>
      <c r="S36" s="479">
        <v>44231</v>
      </c>
      <c r="T36" s="212" t="s">
        <v>2728</v>
      </c>
      <c r="U36" s="475">
        <v>54511560</v>
      </c>
      <c r="V36" s="406"/>
      <c r="W36" s="362"/>
      <c r="X36" s="308">
        <v>207</v>
      </c>
      <c r="Y36" s="484">
        <v>44256</v>
      </c>
      <c r="Z36" s="484">
        <v>44256</v>
      </c>
      <c r="AA36" s="484">
        <v>44500</v>
      </c>
      <c r="AB36" s="485" t="s">
        <v>2650</v>
      </c>
      <c r="AC36" s="211">
        <v>151</v>
      </c>
      <c r="AD36" s="485" t="s">
        <v>2729</v>
      </c>
      <c r="AE36" s="486" t="s">
        <v>2730</v>
      </c>
      <c r="AF36" s="473">
        <v>54511560</v>
      </c>
      <c r="AG36" s="474">
        <f t="shared" si="0"/>
        <v>0</v>
      </c>
      <c r="AK36" s="475">
        <v>6586813</v>
      </c>
      <c r="AL36" s="475">
        <v>6813945</v>
      </c>
      <c r="AM36" s="306">
        <v>6813945</v>
      </c>
    </row>
    <row r="37" spans="1:39" hidden="1" x14ac:dyDescent="0.3">
      <c r="A37" s="476" t="s">
        <v>2098</v>
      </c>
      <c r="B37" s="477">
        <v>64900000</v>
      </c>
      <c r="C37" s="212" t="s">
        <v>2646</v>
      </c>
      <c r="D37" s="212">
        <v>35</v>
      </c>
      <c r="E37" s="478">
        <v>20215000000893</v>
      </c>
      <c r="F37" s="479">
        <v>44211</v>
      </c>
      <c r="G37" s="478" t="s">
        <v>2640</v>
      </c>
      <c r="H37" s="212" t="s">
        <v>2641</v>
      </c>
      <c r="I37" s="212" t="s">
        <v>228</v>
      </c>
      <c r="J37" s="475">
        <v>64900000</v>
      </c>
      <c r="K37" s="212" t="s">
        <v>223</v>
      </c>
      <c r="L37" s="212" t="s">
        <v>233</v>
      </c>
      <c r="M37" s="212" t="s">
        <v>44</v>
      </c>
      <c r="N37" s="212" t="s">
        <v>45</v>
      </c>
      <c r="O37" s="212" t="s">
        <v>63</v>
      </c>
      <c r="P37" s="212" t="s">
        <v>674</v>
      </c>
      <c r="R37" s="212">
        <v>36</v>
      </c>
      <c r="S37" s="479">
        <v>44211</v>
      </c>
      <c r="T37" s="212" t="s">
        <v>2720</v>
      </c>
      <c r="U37" s="475">
        <f>64900000-2950000</f>
        <v>61950000</v>
      </c>
      <c r="V37" s="411">
        <v>2950000</v>
      </c>
      <c r="W37" s="397"/>
      <c r="X37" s="308">
        <v>69</v>
      </c>
      <c r="Y37" s="472">
        <v>44230</v>
      </c>
      <c r="Z37" s="472">
        <v>44230</v>
      </c>
      <c r="AA37" s="472">
        <v>44548</v>
      </c>
      <c r="AB37" s="2" t="s">
        <v>2650</v>
      </c>
      <c r="AC37" s="211">
        <v>24</v>
      </c>
      <c r="AD37" s="2">
        <v>66946576</v>
      </c>
      <c r="AE37" s="212" t="s">
        <v>2731</v>
      </c>
      <c r="AF37" s="473">
        <v>61950000</v>
      </c>
      <c r="AG37" s="474">
        <f t="shared" si="0"/>
        <v>0</v>
      </c>
      <c r="AJ37" s="475">
        <v>5113333</v>
      </c>
      <c r="AK37" s="475">
        <v>5900000</v>
      </c>
      <c r="AL37" s="475">
        <v>5900000</v>
      </c>
      <c r="AM37" s="306">
        <v>5900000</v>
      </c>
    </row>
    <row r="38" spans="1:39" hidden="1" x14ac:dyDescent="0.3">
      <c r="A38" s="476" t="s">
        <v>2098</v>
      </c>
      <c r="B38" s="477">
        <v>44319000</v>
      </c>
      <c r="C38" s="212" t="s">
        <v>2646</v>
      </c>
      <c r="D38" s="212">
        <v>36</v>
      </c>
      <c r="E38" s="478">
        <v>20215000000903</v>
      </c>
      <c r="F38" s="479">
        <v>44211</v>
      </c>
      <c r="G38" s="478" t="s">
        <v>2640</v>
      </c>
      <c r="H38" s="212" t="s">
        <v>2641</v>
      </c>
      <c r="I38" s="212" t="s">
        <v>228</v>
      </c>
      <c r="J38" s="475">
        <v>44319000</v>
      </c>
      <c r="K38" s="212" t="s">
        <v>223</v>
      </c>
      <c r="L38" s="212" t="s">
        <v>233</v>
      </c>
      <c r="M38" s="212" t="s">
        <v>44</v>
      </c>
      <c r="N38" s="212" t="s">
        <v>45</v>
      </c>
      <c r="O38" s="212" t="s">
        <v>63</v>
      </c>
      <c r="P38" s="212" t="s">
        <v>674</v>
      </c>
      <c r="R38" s="212">
        <v>37</v>
      </c>
      <c r="S38" s="479">
        <v>44211</v>
      </c>
      <c r="T38" s="212" t="s">
        <v>2720</v>
      </c>
      <c r="U38" s="475">
        <f>44319000-2669000</f>
        <v>41650000</v>
      </c>
      <c r="V38" s="406">
        <v>2669000</v>
      </c>
      <c r="W38" s="362"/>
      <c r="X38" s="483" t="s">
        <v>2732</v>
      </c>
      <c r="Y38" s="484">
        <v>44309</v>
      </c>
      <c r="Z38" s="484">
        <v>44309</v>
      </c>
      <c r="AA38" s="484">
        <v>44561</v>
      </c>
      <c r="AB38" s="485" t="s">
        <v>2650</v>
      </c>
      <c r="AC38" s="483" t="s">
        <v>2733</v>
      </c>
      <c r="AD38" s="485" t="s">
        <v>2734</v>
      </c>
      <c r="AE38" s="486" t="s">
        <v>2735</v>
      </c>
      <c r="AF38" s="473">
        <v>41650000</v>
      </c>
      <c r="AG38" s="474">
        <f t="shared" si="0"/>
        <v>0</v>
      </c>
      <c r="AL38" s="475">
        <v>1306667</v>
      </c>
      <c r="AM38" s="306">
        <v>4900000</v>
      </c>
    </row>
    <row r="39" spans="1:39" s="312" customFormat="1" hidden="1" x14ac:dyDescent="0.3">
      <c r="A39" s="361" t="s">
        <v>2098</v>
      </c>
      <c r="B39" s="417">
        <v>44000000</v>
      </c>
      <c r="C39" s="312" t="s">
        <v>2646</v>
      </c>
      <c r="D39" s="312">
        <v>37</v>
      </c>
      <c r="E39" s="325">
        <v>20215000000913</v>
      </c>
      <c r="F39" s="315">
        <v>44211</v>
      </c>
      <c r="G39" s="325" t="s">
        <v>2640</v>
      </c>
      <c r="H39" s="312" t="s">
        <v>2641</v>
      </c>
      <c r="I39" s="312" t="s">
        <v>228</v>
      </c>
      <c r="J39" s="405">
        <v>44000000</v>
      </c>
      <c r="K39" s="312" t="s">
        <v>288</v>
      </c>
      <c r="L39" s="312" t="s">
        <v>2736</v>
      </c>
      <c r="M39" s="312" t="s">
        <v>44</v>
      </c>
      <c r="N39" s="312" t="s">
        <v>45</v>
      </c>
      <c r="O39" s="312" t="s">
        <v>63</v>
      </c>
      <c r="P39" s="312" t="s">
        <v>674</v>
      </c>
      <c r="R39" s="312">
        <v>38</v>
      </c>
      <c r="S39" s="315">
        <v>44211</v>
      </c>
      <c r="T39" s="312" t="s">
        <v>2720</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3">
      <c r="A40" s="476" t="s">
        <v>1762</v>
      </c>
      <c r="B40" s="477">
        <v>58300000</v>
      </c>
      <c r="C40" s="212" t="s">
        <v>2646</v>
      </c>
      <c r="D40" s="212">
        <v>38</v>
      </c>
      <c r="E40" s="478">
        <v>20215000000953</v>
      </c>
      <c r="F40" s="479">
        <v>44211</v>
      </c>
      <c r="G40" s="478" t="s">
        <v>2640</v>
      </c>
      <c r="H40" s="212" t="s">
        <v>2641</v>
      </c>
      <c r="I40" s="212" t="s">
        <v>228</v>
      </c>
      <c r="J40" s="475">
        <v>58300000</v>
      </c>
      <c r="K40" s="212" t="s">
        <v>223</v>
      </c>
      <c r="L40" s="212" t="s">
        <v>236</v>
      </c>
      <c r="M40" s="212" t="s">
        <v>44</v>
      </c>
      <c r="N40" s="212" t="s">
        <v>45</v>
      </c>
      <c r="O40" s="212" t="s">
        <v>63</v>
      </c>
      <c r="P40" s="212" t="s">
        <v>674</v>
      </c>
      <c r="R40" s="212">
        <v>39</v>
      </c>
      <c r="S40" s="479">
        <v>44211</v>
      </c>
      <c r="T40" s="212" t="s">
        <v>2694</v>
      </c>
      <c r="U40" s="475">
        <f>58300000-530000</f>
        <v>57770000</v>
      </c>
      <c r="V40" s="411">
        <v>530000</v>
      </c>
      <c r="W40" s="397"/>
      <c r="X40" s="308">
        <v>64</v>
      </c>
      <c r="Y40" s="472">
        <v>44229</v>
      </c>
      <c r="Z40" s="472">
        <v>44229</v>
      </c>
      <c r="AA40" s="472">
        <v>44532</v>
      </c>
      <c r="AB40" s="2" t="s">
        <v>2650</v>
      </c>
      <c r="AC40" s="211">
        <v>22</v>
      </c>
      <c r="AD40" s="2">
        <v>1030530840</v>
      </c>
      <c r="AE40" s="212" t="s">
        <v>2737</v>
      </c>
      <c r="AF40" s="473">
        <v>57770000</v>
      </c>
      <c r="AG40" s="474">
        <f t="shared" si="0"/>
        <v>0</v>
      </c>
      <c r="AJ40" s="475">
        <v>4416667</v>
      </c>
      <c r="AK40" s="475">
        <v>5300000</v>
      </c>
      <c r="AL40" s="475">
        <v>5300000</v>
      </c>
      <c r="AM40" s="306">
        <v>5300000</v>
      </c>
    </row>
    <row r="41" spans="1:39" hidden="1" x14ac:dyDescent="0.3">
      <c r="A41" s="476" t="s">
        <v>1759</v>
      </c>
      <c r="B41" s="477">
        <v>58300000</v>
      </c>
      <c r="C41" s="212" t="s">
        <v>2646</v>
      </c>
      <c r="D41" s="212">
        <v>39</v>
      </c>
      <c r="E41" s="478">
        <v>20215000000963</v>
      </c>
      <c r="F41" s="479">
        <v>44211</v>
      </c>
      <c r="G41" s="478" t="s">
        <v>2640</v>
      </c>
      <c r="H41" s="212" t="s">
        <v>2641</v>
      </c>
      <c r="I41" s="212" t="s">
        <v>228</v>
      </c>
      <c r="J41" s="475">
        <v>58300000</v>
      </c>
      <c r="K41" s="212" t="s">
        <v>223</v>
      </c>
      <c r="L41" s="212" t="s">
        <v>236</v>
      </c>
      <c r="M41" s="212" t="s">
        <v>44</v>
      </c>
      <c r="N41" s="212" t="s">
        <v>45</v>
      </c>
      <c r="O41" s="212" t="s">
        <v>63</v>
      </c>
      <c r="P41" s="212" t="s">
        <v>674</v>
      </c>
      <c r="R41" s="212">
        <v>40</v>
      </c>
      <c r="S41" s="479">
        <v>44211</v>
      </c>
      <c r="T41" s="212" t="s">
        <v>2694</v>
      </c>
      <c r="U41" s="475">
        <f>58300000-2650000</f>
        <v>55650000</v>
      </c>
      <c r="V41" s="411">
        <v>2650000</v>
      </c>
      <c r="W41" s="397"/>
      <c r="X41" s="308">
        <v>65</v>
      </c>
      <c r="Y41" s="472">
        <v>44230</v>
      </c>
      <c r="Z41" s="472">
        <v>44230</v>
      </c>
      <c r="AA41" s="472">
        <v>44561</v>
      </c>
      <c r="AB41" s="2" t="s">
        <v>2650</v>
      </c>
      <c r="AC41" s="211">
        <v>28</v>
      </c>
      <c r="AD41" s="2">
        <v>1122650093</v>
      </c>
      <c r="AE41" s="212" t="s">
        <v>2738</v>
      </c>
      <c r="AF41" s="473">
        <f>58300000-2650000</f>
        <v>55650000</v>
      </c>
      <c r="AG41" s="474">
        <f t="shared" si="0"/>
        <v>0</v>
      </c>
      <c r="AJ41" s="475">
        <v>4416666</v>
      </c>
      <c r="AK41" s="475">
        <v>5300000</v>
      </c>
      <c r="AL41" s="475">
        <v>5300000</v>
      </c>
      <c r="AM41" s="306">
        <v>5300000</v>
      </c>
    </row>
    <row r="42" spans="1:39" hidden="1" x14ac:dyDescent="0.3">
      <c r="A42" s="476" t="s">
        <v>1762</v>
      </c>
      <c r="B42" s="477">
        <v>43780000</v>
      </c>
      <c r="C42" s="212" t="s">
        <v>2646</v>
      </c>
      <c r="D42" s="212">
        <v>40</v>
      </c>
      <c r="E42" s="478">
        <v>20215000000973</v>
      </c>
      <c r="F42" s="479">
        <v>44211</v>
      </c>
      <c r="G42" s="478" t="s">
        <v>2640</v>
      </c>
      <c r="H42" s="212" t="s">
        <v>2641</v>
      </c>
      <c r="I42" s="212" t="s">
        <v>228</v>
      </c>
      <c r="J42" s="475">
        <v>43780000</v>
      </c>
      <c r="K42" s="212" t="s">
        <v>223</v>
      </c>
      <c r="L42" s="212" t="s">
        <v>236</v>
      </c>
      <c r="M42" s="212" t="s">
        <v>44</v>
      </c>
      <c r="N42" s="212" t="s">
        <v>45</v>
      </c>
      <c r="O42" s="212" t="s">
        <v>63</v>
      </c>
      <c r="P42" s="212" t="s">
        <v>674</v>
      </c>
      <c r="R42" s="212">
        <v>41</v>
      </c>
      <c r="S42" s="479">
        <v>44211</v>
      </c>
      <c r="T42" s="212" t="s">
        <v>2694</v>
      </c>
      <c r="U42" s="475">
        <f>43780000-3780000</f>
        <v>40000000</v>
      </c>
      <c r="V42" s="411">
        <v>3780000</v>
      </c>
      <c r="W42" s="397"/>
      <c r="X42" s="308">
        <v>68</v>
      </c>
      <c r="Y42" s="472">
        <v>44230</v>
      </c>
      <c r="Z42" s="472">
        <v>44230</v>
      </c>
      <c r="AA42" s="472">
        <v>44533</v>
      </c>
      <c r="AB42" s="2" t="s">
        <v>2650</v>
      </c>
      <c r="AC42" s="211">
        <v>30</v>
      </c>
      <c r="AD42" s="2">
        <v>1118546448</v>
      </c>
      <c r="AE42" s="212" t="s">
        <v>2739</v>
      </c>
      <c r="AF42" s="473">
        <v>40000000</v>
      </c>
      <c r="AG42" s="474">
        <f t="shared" si="0"/>
        <v>0</v>
      </c>
      <c r="AJ42" s="475">
        <v>3466667</v>
      </c>
      <c r="AK42" s="475">
        <v>4000000</v>
      </c>
      <c r="AL42" s="475">
        <v>4000000</v>
      </c>
      <c r="AM42" s="306">
        <v>4000000</v>
      </c>
    </row>
    <row r="43" spans="1:39" s="312" customFormat="1" hidden="1" x14ac:dyDescent="0.3">
      <c r="A43" s="361"/>
      <c r="B43" s="417"/>
      <c r="C43" s="312" t="s">
        <v>2740</v>
      </c>
      <c r="D43" s="312">
        <v>41</v>
      </c>
      <c r="E43" s="325">
        <v>20213000000823</v>
      </c>
      <c r="F43" s="315">
        <v>44211</v>
      </c>
      <c r="G43" s="325" t="s">
        <v>2640</v>
      </c>
      <c r="H43" s="312" t="s">
        <v>2641</v>
      </c>
      <c r="I43" s="312" t="s">
        <v>432</v>
      </c>
      <c r="J43" s="405">
        <v>15689000</v>
      </c>
      <c r="K43" s="312" t="s">
        <v>342</v>
      </c>
      <c r="L43" s="312" t="s">
        <v>343</v>
      </c>
      <c r="M43" s="312" t="s">
        <v>44</v>
      </c>
      <c r="N43" s="312" t="s">
        <v>45</v>
      </c>
      <c r="O43" s="212" t="s">
        <v>310</v>
      </c>
      <c r="P43" s="312" t="s">
        <v>674</v>
      </c>
      <c r="R43" s="312">
        <v>30</v>
      </c>
      <c r="S43" s="315">
        <v>44211</v>
      </c>
      <c r="T43" s="312" t="s">
        <v>2741</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3">
      <c r="A44" s="361"/>
      <c r="B44" s="417"/>
      <c r="C44" s="312" t="s">
        <v>2742</v>
      </c>
      <c r="D44" s="312">
        <v>42</v>
      </c>
      <c r="E44" s="325">
        <v>20213000000813</v>
      </c>
      <c r="F44" s="315">
        <v>44211</v>
      </c>
      <c r="G44" s="325" t="s">
        <v>2640</v>
      </c>
      <c r="H44" s="312" t="s">
        <v>2641</v>
      </c>
      <c r="I44" s="312" t="s">
        <v>432</v>
      </c>
      <c r="J44" s="405">
        <v>153169000</v>
      </c>
      <c r="K44" s="312" t="s">
        <v>342</v>
      </c>
      <c r="L44" s="312" t="s">
        <v>343</v>
      </c>
      <c r="M44" s="312" t="s">
        <v>44</v>
      </c>
      <c r="N44" s="312" t="s">
        <v>45</v>
      </c>
      <c r="O44" s="212" t="s">
        <v>310</v>
      </c>
      <c r="P44" s="312" t="s">
        <v>674</v>
      </c>
      <c r="R44" s="312">
        <v>29</v>
      </c>
      <c r="S44" s="315">
        <v>44211</v>
      </c>
      <c r="T44" s="312" t="s">
        <v>2743</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3">
      <c r="A45" s="476" t="s">
        <v>1762</v>
      </c>
      <c r="B45" s="477">
        <v>53900000</v>
      </c>
      <c r="C45" s="212" t="s">
        <v>2646</v>
      </c>
      <c r="D45" s="212">
        <v>43</v>
      </c>
      <c r="E45" s="478">
        <v>20215000000983</v>
      </c>
      <c r="F45" s="479">
        <v>44214</v>
      </c>
      <c r="G45" s="478" t="s">
        <v>2640</v>
      </c>
      <c r="H45" s="212" t="s">
        <v>2641</v>
      </c>
      <c r="I45" s="212" t="s">
        <v>228</v>
      </c>
      <c r="J45" s="475">
        <v>53900000</v>
      </c>
      <c r="K45" s="212" t="s">
        <v>223</v>
      </c>
      <c r="L45" s="212" t="s">
        <v>236</v>
      </c>
      <c r="M45" s="212" t="s">
        <v>44</v>
      </c>
      <c r="N45" s="212" t="s">
        <v>45</v>
      </c>
      <c r="O45" s="212" t="s">
        <v>63</v>
      </c>
      <c r="P45" s="212" t="s">
        <v>674</v>
      </c>
      <c r="R45" s="212">
        <v>44</v>
      </c>
      <c r="S45" s="479">
        <v>44214</v>
      </c>
      <c r="T45" s="212" t="s">
        <v>2694</v>
      </c>
      <c r="U45" s="475">
        <v>53900000</v>
      </c>
      <c r="V45" s="406"/>
      <c r="W45" s="362"/>
      <c r="X45" s="211">
        <v>42</v>
      </c>
      <c r="Y45" s="472">
        <v>44224</v>
      </c>
      <c r="Z45" s="472">
        <v>44224</v>
      </c>
      <c r="AA45" s="472">
        <v>44558</v>
      </c>
      <c r="AB45" s="2" t="s">
        <v>2650</v>
      </c>
      <c r="AC45" s="211">
        <v>17</v>
      </c>
      <c r="AD45" s="2">
        <v>1031147678</v>
      </c>
      <c r="AE45" s="212" t="s">
        <v>2744</v>
      </c>
      <c r="AF45" s="473">
        <v>53900000</v>
      </c>
      <c r="AG45" s="474">
        <f t="shared" si="0"/>
        <v>0</v>
      </c>
      <c r="AJ45" s="475">
        <v>5226667</v>
      </c>
      <c r="AK45" s="475">
        <v>4900000</v>
      </c>
      <c r="AL45" s="475">
        <v>4900000</v>
      </c>
      <c r="AM45" s="306">
        <v>4900000</v>
      </c>
    </row>
    <row r="46" spans="1:39" hidden="1" x14ac:dyDescent="0.3">
      <c r="A46" s="476" t="s">
        <v>1762</v>
      </c>
      <c r="B46" s="477">
        <v>58300000</v>
      </c>
      <c r="C46" s="212" t="s">
        <v>2646</v>
      </c>
      <c r="D46" s="212">
        <v>44</v>
      </c>
      <c r="E46" s="478">
        <v>20215000001003</v>
      </c>
      <c r="F46" s="479">
        <v>44214</v>
      </c>
      <c r="G46" s="478" t="s">
        <v>2640</v>
      </c>
      <c r="H46" s="212" t="s">
        <v>2641</v>
      </c>
      <c r="I46" s="212" t="s">
        <v>228</v>
      </c>
      <c r="J46" s="475">
        <v>58300000</v>
      </c>
      <c r="K46" s="212" t="s">
        <v>223</v>
      </c>
      <c r="L46" s="212" t="s">
        <v>236</v>
      </c>
      <c r="M46" s="212" t="s">
        <v>44</v>
      </c>
      <c r="N46" s="212" t="s">
        <v>45</v>
      </c>
      <c r="O46" s="212" t="s">
        <v>63</v>
      </c>
      <c r="P46" s="212" t="s">
        <v>674</v>
      </c>
      <c r="R46" s="212">
        <v>45</v>
      </c>
      <c r="S46" s="479">
        <v>44214</v>
      </c>
      <c r="T46" s="212" t="s">
        <v>2694</v>
      </c>
      <c r="U46" s="475">
        <f>58300000-9300000</f>
        <v>49000000</v>
      </c>
      <c r="V46" s="411">
        <v>9300000</v>
      </c>
      <c r="W46" s="397"/>
      <c r="X46" s="308">
        <v>73</v>
      </c>
      <c r="Y46" s="484">
        <v>44231</v>
      </c>
      <c r="Z46" s="484">
        <v>44231</v>
      </c>
      <c r="AA46" s="484">
        <v>44534</v>
      </c>
      <c r="AB46" s="485" t="s">
        <v>2650</v>
      </c>
      <c r="AC46" s="211">
        <v>36</v>
      </c>
      <c r="AD46" s="487">
        <v>53050737</v>
      </c>
      <c r="AE46" s="486" t="s">
        <v>2745</v>
      </c>
      <c r="AF46" s="473">
        <v>49000000</v>
      </c>
      <c r="AG46" s="474">
        <f t="shared" si="0"/>
        <v>0</v>
      </c>
      <c r="AJ46" s="475">
        <v>4083333</v>
      </c>
      <c r="AK46" s="475">
        <v>4900000</v>
      </c>
      <c r="AL46" s="475">
        <v>4900000</v>
      </c>
      <c r="AM46" s="306">
        <v>4900000</v>
      </c>
    </row>
    <row r="47" spans="1:39" hidden="1" x14ac:dyDescent="0.3">
      <c r="A47" s="476" t="s">
        <v>1762</v>
      </c>
      <c r="B47" s="477">
        <v>43780000</v>
      </c>
      <c r="C47" s="212" t="s">
        <v>2646</v>
      </c>
      <c r="D47" s="212">
        <v>45</v>
      </c>
      <c r="E47" s="478">
        <v>20215000001013</v>
      </c>
      <c r="F47" s="479">
        <v>44214</v>
      </c>
      <c r="G47" s="478" t="s">
        <v>2640</v>
      </c>
      <c r="H47" s="212" t="s">
        <v>2641</v>
      </c>
      <c r="I47" s="212" t="s">
        <v>228</v>
      </c>
      <c r="J47" s="475">
        <v>43780000</v>
      </c>
      <c r="K47" s="212" t="s">
        <v>223</v>
      </c>
      <c r="L47" s="212" t="s">
        <v>236</v>
      </c>
      <c r="M47" s="212" t="s">
        <v>44</v>
      </c>
      <c r="N47" s="212" t="s">
        <v>45</v>
      </c>
      <c r="O47" s="212" t="s">
        <v>63</v>
      </c>
      <c r="P47" s="212" t="s">
        <v>674</v>
      </c>
      <c r="R47" s="212">
        <v>46</v>
      </c>
      <c r="S47" s="479">
        <v>44214</v>
      </c>
      <c r="T47" s="212" t="s">
        <v>2694</v>
      </c>
      <c r="U47" s="475">
        <f>43780000-3780000</f>
        <v>40000000</v>
      </c>
      <c r="V47" s="411">
        <v>3780000</v>
      </c>
      <c r="W47" s="397"/>
      <c r="X47" s="308">
        <v>83</v>
      </c>
      <c r="Y47" s="484">
        <v>44232</v>
      </c>
      <c r="Z47" s="484">
        <v>44232</v>
      </c>
      <c r="AA47" s="484">
        <v>44535</v>
      </c>
      <c r="AB47" s="485" t="s">
        <v>2650</v>
      </c>
      <c r="AC47" s="211">
        <v>43</v>
      </c>
      <c r="AD47" s="487">
        <v>52114836</v>
      </c>
      <c r="AE47" s="486" t="s">
        <v>2746</v>
      </c>
      <c r="AF47" s="473">
        <v>40000000</v>
      </c>
      <c r="AG47" s="474">
        <f t="shared" si="0"/>
        <v>0</v>
      </c>
      <c r="AJ47" s="475">
        <v>2800000</v>
      </c>
      <c r="AK47" s="475">
        <v>4000000</v>
      </c>
      <c r="AL47" s="475">
        <v>4000000</v>
      </c>
      <c r="AM47" s="306">
        <v>4000000</v>
      </c>
    </row>
    <row r="48" spans="1:39" hidden="1" x14ac:dyDescent="0.3">
      <c r="A48" s="476" t="s">
        <v>2154</v>
      </c>
      <c r="B48" s="477">
        <v>43780000</v>
      </c>
      <c r="C48" s="212" t="s">
        <v>2646</v>
      </c>
      <c r="D48" s="212">
        <v>46</v>
      </c>
      <c r="E48" s="478">
        <v>20215000001033</v>
      </c>
      <c r="F48" s="479">
        <v>44214</v>
      </c>
      <c r="G48" s="478" t="s">
        <v>2640</v>
      </c>
      <c r="H48" s="212" t="s">
        <v>2641</v>
      </c>
      <c r="I48" s="212" t="s">
        <v>228</v>
      </c>
      <c r="J48" s="475">
        <v>43780000</v>
      </c>
      <c r="K48" s="212" t="s">
        <v>223</v>
      </c>
      <c r="L48" s="212" t="s">
        <v>269</v>
      </c>
      <c r="M48" s="212" t="s">
        <v>44</v>
      </c>
      <c r="N48" s="212" t="s">
        <v>45</v>
      </c>
      <c r="O48" s="212" t="s">
        <v>63</v>
      </c>
      <c r="P48" s="212" t="s">
        <v>674</v>
      </c>
      <c r="R48" s="212">
        <v>47</v>
      </c>
      <c r="S48" s="479">
        <v>44214</v>
      </c>
      <c r="T48" s="212" t="s">
        <v>2747</v>
      </c>
      <c r="U48" s="475">
        <f>43780000-3780000</f>
        <v>40000000</v>
      </c>
      <c r="V48" s="411">
        <v>3780000</v>
      </c>
      <c r="W48" s="397"/>
      <c r="X48" s="308">
        <v>97</v>
      </c>
      <c r="Y48" s="484">
        <v>44235</v>
      </c>
      <c r="Z48" s="484">
        <v>44235</v>
      </c>
      <c r="AA48" s="484">
        <v>44538</v>
      </c>
      <c r="AB48" s="485" t="s">
        <v>2650</v>
      </c>
      <c r="AC48" s="211">
        <v>48</v>
      </c>
      <c r="AD48" s="487">
        <v>1032469103</v>
      </c>
      <c r="AE48" s="486" t="s">
        <v>2748</v>
      </c>
      <c r="AF48" s="473">
        <v>40000000</v>
      </c>
      <c r="AG48" s="474">
        <f t="shared" si="0"/>
        <v>0</v>
      </c>
      <c r="AJ48" s="475">
        <v>2800000</v>
      </c>
      <c r="AK48" s="475">
        <v>4000000</v>
      </c>
      <c r="AL48" s="475">
        <v>4000000</v>
      </c>
      <c r="AM48" s="306">
        <v>4000000</v>
      </c>
    </row>
    <row r="49" spans="1:39" hidden="1" x14ac:dyDescent="0.3">
      <c r="A49" s="476" t="s">
        <v>1763</v>
      </c>
      <c r="B49" s="477">
        <v>44330000</v>
      </c>
      <c r="C49" s="212" t="s">
        <v>2646</v>
      </c>
      <c r="D49" s="212">
        <v>47</v>
      </c>
      <c r="E49" s="478">
        <v>20215000001043</v>
      </c>
      <c r="F49" s="479">
        <v>44214</v>
      </c>
      <c r="G49" s="478" t="s">
        <v>2640</v>
      </c>
      <c r="H49" s="212" t="s">
        <v>2641</v>
      </c>
      <c r="I49" s="212" t="s">
        <v>228</v>
      </c>
      <c r="J49" s="475">
        <v>44330000</v>
      </c>
      <c r="K49" s="212" t="s">
        <v>223</v>
      </c>
      <c r="L49" s="212" t="s">
        <v>269</v>
      </c>
      <c r="M49" s="212" t="s">
        <v>44</v>
      </c>
      <c r="N49" s="212" t="s">
        <v>45</v>
      </c>
      <c r="O49" s="212" t="s">
        <v>63</v>
      </c>
      <c r="P49" s="212" t="s">
        <v>674</v>
      </c>
      <c r="R49" s="212">
        <v>48</v>
      </c>
      <c r="S49" s="479">
        <v>44214</v>
      </c>
      <c r="T49" s="212" t="s">
        <v>2749</v>
      </c>
      <c r="U49" s="475">
        <f>44330000-2330000</f>
        <v>42000000</v>
      </c>
      <c r="V49" s="411">
        <v>2330000</v>
      </c>
      <c r="W49" s="397"/>
      <c r="X49" s="483">
        <v>125</v>
      </c>
      <c r="Y49" s="484">
        <v>44239</v>
      </c>
      <c r="Z49" s="484">
        <v>44239</v>
      </c>
      <c r="AA49" s="484">
        <v>44561</v>
      </c>
      <c r="AB49" s="485" t="s">
        <v>2650</v>
      </c>
      <c r="AC49" s="483">
        <v>80</v>
      </c>
      <c r="AD49" s="485">
        <v>40612939</v>
      </c>
      <c r="AE49" s="486" t="s">
        <v>2750</v>
      </c>
      <c r="AF49" s="473">
        <v>42000000</v>
      </c>
      <c r="AG49" s="474">
        <f t="shared" si="0"/>
        <v>0</v>
      </c>
      <c r="AK49" s="475">
        <f>1866667+4000000</f>
        <v>5866667</v>
      </c>
      <c r="AL49" s="475">
        <v>4000000</v>
      </c>
      <c r="AM49" s="306">
        <v>4000000</v>
      </c>
    </row>
    <row r="50" spans="1:39" hidden="1" x14ac:dyDescent="0.3">
      <c r="A50" s="476" t="s">
        <v>1763</v>
      </c>
      <c r="B50" s="477">
        <v>58300000</v>
      </c>
      <c r="C50" s="212" t="s">
        <v>2646</v>
      </c>
      <c r="D50" s="212">
        <v>48</v>
      </c>
      <c r="E50" s="478">
        <v>20215000001053</v>
      </c>
      <c r="F50" s="479">
        <v>44214</v>
      </c>
      <c r="G50" s="478" t="s">
        <v>2640</v>
      </c>
      <c r="H50" s="212" t="s">
        <v>2641</v>
      </c>
      <c r="I50" s="212" t="s">
        <v>228</v>
      </c>
      <c r="J50" s="475">
        <v>58300000</v>
      </c>
      <c r="K50" s="212" t="s">
        <v>223</v>
      </c>
      <c r="L50" s="212" t="s">
        <v>269</v>
      </c>
      <c r="M50" s="212" t="s">
        <v>44</v>
      </c>
      <c r="N50" s="212" t="s">
        <v>45</v>
      </c>
      <c r="O50" s="212" t="s">
        <v>63</v>
      </c>
      <c r="P50" s="212" t="s">
        <v>674</v>
      </c>
      <c r="R50" s="212">
        <v>49</v>
      </c>
      <c r="S50" s="479">
        <v>44214</v>
      </c>
      <c r="T50" s="212" t="s">
        <v>2749</v>
      </c>
      <c r="U50" s="475">
        <f>58300000-5300000</f>
        <v>53000000</v>
      </c>
      <c r="V50" s="411">
        <v>5300000</v>
      </c>
      <c r="W50" s="397"/>
      <c r="X50" s="483">
        <v>128</v>
      </c>
      <c r="Y50" s="484">
        <v>44239</v>
      </c>
      <c r="Z50" s="484">
        <v>44239</v>
      </c>
      <c r="AA50" s="484">
        <v>44542</v>
      </c>
      <c r="AB50" s="485" t="s">
        <v>2650</v>
      </c>
      <c r="AC50" s="483">
        <v>72</v>
      </c>
      <c r="AD50" s="485">
        <v>77092915</v>
      </c>
      <c r="AE50" s="486" t="s">
        <v>2751</v>
      </c>
      <c r="AF50" s="473">
        <v>53000000</v>
      </c>
      <c r="AG50" s="474">
        <f t="shared" si="0"/>
        <v>0</v>
      </c>
      <c r="AJ50" s="475">
        <v>3003333</v>
      </c>
      <c r="AK50" s="475">
        <v>5300000</v>
      </c>
      <c r="AL50" s="475">
        <v>5300000</v>
      </c>
      <c r="AM50" s="306">
        <v>5300000</v>
      </c>
    </row>
    <row r="51" spans="1:39" hidden="1" x14ac:dyDescent="0.3">
      <c r="A51" s="476" t="s">
        <v>1762</v>
      </c>
      <c r="B51" s="477">
        <v>43780000</v>
      </c>
      <c r="C51" s="212" t="s">
        <v>2646</v>
      </c>
      <c r="D51" s="212">
        <v>49</v>
      </c>
      <c r="E51" s="478">
        <v>20215000001063</v>
      </c>
      <c r="F51" s="479">
        <v>44214</v>
      </c>
      <c r="G51" s="478" t="s">
        <v>2640</v>
      </c>
      <c r="H51" s="212" t="s">
        <v>2641</v>
      </c>
      <c r="I51" s="212" t="s">
        <v>228</v>
      </c>
      <c r="J51" s="475">
        <v>43780000</v>
      </c>
      <c r="K51" s="212" t="s">
        <v>223</v>
      </c>
      <c r="L51" s="212" t="s">
        <v>269</v>
      </c>
      <c r="M51" s="212" t="s">
        <v>44</v>
      </c>
      <c r="N51" s="212" t="s">
        <v>45</v>
      </c>
      <c r="O51" s="212" t="s">
        <v>63</v>
      </c>
      <c r="P51" s="212" t="s">
        <v>674</v>
      </c>
      <c r="R51" s="212">
        <v>50</v>
      </c>
      <c r="S51" s="479">
        <v>44214</v>
      </c>
      <c r="T51" s="212" t="s">
        <v>2752</v>
      </c>
      <c r="U51" s="475">
        <f>43780000-3780000</f>
        <v>40000000</v>
      </c>
      <c r="V51" s="411">
        <v>3780000</v>
      </c>
      <c r="W51" s="397"/>
      <c r="X51" s="308">
        <v>95</v>
      </c>
      <c r="Y51" s="484">
        <v>44235</v>
      </c>
      <c r="Z51" s="484">
        <v>44235</v>
      </c>
      <c r="AA51" s="484">
        <v>44538</v>
      </c>
      <c r="AB51" s="485" t="s">
        <v>2650</v>
      </c>
      <c r="AC51" s="211">
        <v>47</v>
      </c>
      <c r="AD51" s="487">
        <v>1014261943</v>
      </c>
      <c r="AE51" s="486" t="s">
        <v>2753</v>
      </c>
      <c r="AF51" s="473">
        <v>40000000</v>
      </c>
      <c r="AG51" s="474">
        <f t="shared" si="0"/>
        <v>0</v>
      </c>
      <c r="AJ51" s="475">
        <v>2800000</v>
      </c>
      <c r="AK51" s="475">
        <v>4000000</v>
      </c>
      <c r="AL51" s="475">
        <v>4000000</v>
      </c>
      <c r="AM51" s="306">
        <v>4000000</v>
      </c>
    </row>
    <row r="52" spans="1:39" hidden="1" x14ac:dyDescent="0.3">
      <c r="A52" s="476" t="s">
        <v>1766</v>
      </c>
      <c r="B52" s="477">
        <v>58300000</v>
      </c>
      <c r="C52" s="212" t="s">
        <v>2646</v>
      </c>
      <c r="D52" s="212">
        <v>50</v>
      </c>
      <c r="E52" s="478">
        <v>20215000001133</v>
      </c>
      <c r="F52" s="479">
        <v>44214</v>
      </c>
      <c r="G52" s="478" t="s">
        <v>2640</v>
      </c>
      <c r="H52" s="212" t="s">
        <v>2641</v>
      </c>
      <c r="I52" s="212" t="s">
        <v>228</v>
      </c>
      <c r="J52" s="475">
        <v>58300000</v>
      </c>
      <c r="K52" s="212" t="s">
        <v>223</v>
      </c>
      <c r="L52" s="212" t="s">
        <v>283</v>
      </c>
      <c r="M52" s="212" t="s">
        <v>44</v>
      </c>
      <c r="N52" s="212" t="s">
        <v>45</v>
      </c>
      <c r="O52" s="212" t="s">
        <v>63</v>
      </c>
      <c r="P52" s="212" t="s">
        <v>674</v>
      </c>
      <c r="R52" s="212">
        <v>51</v>
      </c>
      <c r="S52" s="479">
        <v>44214</v>
      </c>
      <c r="T52" s="212" t="s">
        <v>2658</v>
      </c>
      <c r="U52" s="475">
        <f>58300000-50703334</f>
        <v>7596666</v>
      </c>
      <c r="V52" s="406">
        <v>50703334</v>
      </c>
      <c r="W52" s="362"/>
      <c r="X52" s="211">
        <v>51</v>
      </c>
      <c r="Y52" s="472">
        <v>44224</v>
      </c>
      <c r="Z52" s="472">
        <v>44224</v>
      </c>
      <c r="AA52" s="472">
        <v>44558</v>
      </c>
      <c r="AB52" s="2" t="s">
        <v>2650</v>
      </c>
      <c r="AC52" s="211">
        <v>20</v>
      </c>
      <c r="AD52" s="2">
        <v>1016039001</v>
      </c>
      <c r="AE52" s="212" t="s">
        <v>2754</v>
      </c>
      <c r="AF52" s="473">
        <f>58300000-50703334</f>
        <v>7596666</v>
      </c>
      <c r="AG52" s="474">
        <f t="shared" si="0"/>
        <v>0</v>
      </c>
      <c r="AJ52" s="475">
        <v>5653333</v>
      </c>
      <c r="AK52" s="475">
        <v>1943333</v>
      </c>
      <c r="AM52" s="212"/>
    </row>
    <row r="53" spans="1:39" hidden="1" x14ac:dyDescent="0.3">
      <c r="A53" s="476" t="s">
        <v>2051</v>
      </c>
      <c r="B53" s="477">
        <v>44000000</v>
      </c>
      <c r="C53" s="212" t="s">
        <v>2646</v>
      </c>
      <c r="D53" s="212">
        <v>51</v>
      </c>
      <c r="E53" s="478">
        <v>20215000001143</v>
      </c>
      <c r="F53" s="479">
        <v>44214</v>
      </c>
      <c r="G53" s="478" t="s">
        <v>2640</v>
      </c>
      <c r="H53" s="212" t="s">
        <v>2641</v>
      </c>
      <c r="I53" s="212" t="s">
        <v>228</v>
      </c>
      <c r="J53" s="475">
        <v>44000000</v>
      </c>
      <c r="K53" s="212" t="s">
        <v>288</v>
      </c>
      <c r="L53" s="212" t="s">
        <v>294</v>
      </c>
      <c r="M53" s="212" t="s">
        <v>44</v>
      </c>
      <c r="N53" s="212" t="s">
        <v>45</v>
      </c>
      <c r="O53" s="212" t="s">
        <v>63</v>
      </c>
      <c r="P53" s="212" t="s">
        <v>674</v>
      </c>
      <c r="R53" s="212">
        <v>52</v>
      </c>
      <c r="S53" s="479">
        <v>44214</v>
      </c>
      <c r="T53" s="212" t="s">
        <v>2755</v>
      </c>
      <c r="U53" s="475">
        <f>44000000-1600000</f>
        <v>42400000</v>
      </c>
      <c r="V53" s="411">
        <v>1600000</v>
      </c>
      <c r="W53" s="397"/>
      <c r="X53" s="308">
        <v>109</v>
      </c>
      <c r="Y53" s="484">
        <v>44237</v>
      </c>
      <c r="Z53" s="484">
        <v>44237</v>
      </c>
      <c r="AA53" s="484">
        <v>44479</v>
      </c>
      <c r="AB53" s="485" t="s">
        <v>2650</v>
      </c>
      <c r="AC53" s="211">
        <v>46</v>
      </c>
      <c r="AD53" s="487">
        <v>80779128</v>
      </c>
      <c r="AE53" s="486" t="s">
        <v>2756</v>
      </c>
      <c r="AF53" s="473">
        <v>42400000</v>
      </c>
      <c r="AG53" s="474">
        <f t="shared" si="0"/>
        <v>0</v>
      </c>
      <c r="AJ53" s="475">
        <v>3356667</v>
      </c>
      <c r="AK53" s="475">
        <v>5300000</v>
      </c>
      <c r="AL53" s="475">
        <v>5300000</v>
      </c>
      <c r="AM53" s="212"/>
    </row>
    <row r="54" spans="1:39" hidden="1" x14ac:dyDescent="0.3">
      <c r="A54" s="476" t="s">
        <v>1911</v>
      </c>
      <c r="B54" s="477">
        <v>48348000</v>
      </c>
      <c r="C54" s="212" t="s">
        <v>2646</v>
      </c>
      <c r="D54" s="212">
        <v>52</v>
      </c>
      <c r="E54" s="478">
        <v>20215000001163</v>
      </c>
      <c r="F54" s="479">
        <v>44214</v>
      </c>
      <c r="G54" s="478" t="s">
        <v>2640</v>
      </c>
      <c r="H54" s="212" t="s">
        <v>2641</v>
      </c>
      <c r="I54" s="212" t="s">
        <v>228</v>
      </c>
      <c r="J54" s="475">
        <v>48348000</v>
      </c>
      <c r="K54" s="212" t="s">
        <v>288</v>
      </c>
      <c r="L54" s="212" t="s">
        <v>294</v>
      </c>
      <c r="M54" s="212" t="s">
        <v>44</v>
      </c>
      <c r="N54" s="212" t="s">
        <v>45</v>
      </c>
      <c r="O54" s="212" t="s">
        <v>63</v>
      </c>
      <c r="P54" s="212" t="s">
        <v>674</v>
      </c>
      <c r="R54" s="212">
        <v>53</v>
      </c>
      <c r="S54" s="479">
        <v>44214</v>
      </c>
      <c r="T54" s="212" t="s">
        <v>2755</v>
      </c>
      <c r="U54" s="475">
        <f>48348000-48000</f>
        <v>48300000</v>
      </c>
      <c r="V54" s="411">
        <v>48000</v>
      </c>
      <c r="W54" s="397"/>
      <c r="X54" s="211">
        <v>45</v>
      </c>
      <c r="Y54" s="472">
        <v>44224</v>
      </c>
      <c r="Z54" s="472">
        <v>44224</v>
      </c>
      <c r="AA54" s="472">
        <v>44436</v>
      </c>
      <c r="AB54" s="2" t="s">
        <v>2650</v>
      </c>
      <c r="AC54" s="211">
        <v>15</v>
      </c>
      <c r="AD54" s="2">
        <v>79459883</v>
      </c>
      <c r="AE54" s="212" t="s">
        <v>2757</v>
      </c>
      <c r="AF54" s="473">
        <v>48300000</v>
      </c>
      <c r="AG54" s="474">
        <f t="shared" si="0"/>
        <v>0</v>
      </c>
      <c r="AJ54" s="475">
        <v>7590000</v>
      </c>
      <c r="AK54" s="475">
        <v>6900000</v>
      </c>
      <c r="AL54" s="475">
        <v>6900000</v>
      </c>
      <c r="AM54" s="306">
        <v>6900000</v>
      </c>
    </row>
    <row r="55" spans="1:39" hidden="1" x14ac:dyDescent="0.3">
      <c r="A55" s="476" t="s">
        <v>2095</v>
      </c>
      <c r="B55" s="477">
        <v>70800000</v>
      </c>
      <c r="C55" s="212" t="s">
        <v>2646</v>
      </c>
      <c r="D55" s="212">
        <v>53</v>
      </c>
      <c r="E55" s="478">
        <v>20215000001173</v>
      </c>
      <c r="F55" s="479">
        <v>44214</v>
      </c>
      <c r="G55" s="478" t="s">
        <v>2640</v>
      </c>
      <c r="H55" s="212" t="s">
        <v>2641</v>
      </c>
      <c r="I55" s="212" t="s">
        <v>228</v>
      </c>
      <c r="J55" s="475">
        <v>70800000</v>
      </c>
      <c r="K55" s="212" t="s">
        <v>223</v>
      </c>
      <c r="L55" s="212" t="s">
        <v>2758</v>
      </c>
      <c r="M55" s="212" t="s">
        <v>44</v>
      </c>
      <c r="N55" s="212" t="s">
        <v>45</v>
      </c>
      <c r="O55" s="212" t="s">
        <v>63</v>
      </c>
      <c r="P55" s="212" t="s">
        <v>674</v>
      </c>
      <c r="R55" s="212">
        <v>54</v>
      </c>
      <c r="S55" s="479">
        <v>44214</v>
      </c>
      <c r="T55" s="212" t="s">
        <v>2759</v>
      </c>
      <c r="U55" s="475">
        <f>70800000-17716667</f>
        <v>53083333</v>
      </c>
      <c r="V55" s="411">
        <v>17716667</v>
      </c>
      <c r="W55" s="397"/>
      <c r="X55" s="308">
        <v>72</v>
      </c>
      <c r="Y55" s="484">
        <v>44231</v>
      </c>
      <c r="Z55" s="484">
        <v>44231</v>
      </c>
      <c r="AA55" s="484">
        <v>44561</v>
      </c>
      <c r="AB55" s="485" t="s">
        <v>2650</v>
      </c>
      <c r="AC55" s="211">
        <v>27</v>
      </c>
      <c r="AD55" s="487">
        <v>30506558</v>
      </c>
      <c r="AE55" s="486" t="s">
        <v>2760</v>
      </c>
      <c r="AF55" s="473">
        <v>53083333</v>
      </c>
      <c r="AG55" s="474">
        <f t="shared" si="0"/>
        <v>0</v>
      </c>
      <c r="AJ55" s="475">
        <v>4083333</v>
      </c>
      <c r="AK55" s="475">
        <v>4900000</v>
      </c>
      <c r="AL55" s="475">
        <v>4900000</v>
      </c>
      <c r="AM55" s="306">
        <v>4900000</v>
      </c>
    </row>
    <row r="56" spans="1:39" hidden="1" x14ac:dyDescent="0.3">
      <c r="A56" s="476" t="s">
        <v>2761</v>
      </c>
      <c r="B56" s="477">
        <v>51586233</v>
      </c>
      <c r="C56" s="212" t="s">
        <v>2762</v>
      </c>
      <c r="D56" s="212">
        <v>54</v>
      </c>
      <c r="E56" s="309">
        <v>20214000008283</v>
      </c>
      <c r="F56" s="310">
        <v>44243</v>
      </c>
      <c r="G56" s="478" t="s">
        <v>2680</v>
      </c>
      <c r="H56" s="212" t="s">
        <v>2681</v>
      </c>
      <c r="I56" s="212" t="s">
        <v>47</v>
      </c>
      <c r="J56" s="475">
        <v>35280000</v>
      </c>
      <c r="K56" s="212" t="s">
        <v>37</v>
      </c>
      <c r="L56" s="212" t="s">
        <v>2682</v>
      </c>
      <c r="M56" s="212" t="s">
        <v>44</v>
      </c>
      <c r="N56" s="212" t="s">
        <v>45</v>
      </c>
      <c r="O56" s="212" t="s">
        <v>310</v>
      </c>
      <c r="P56" s="212" t="s">
        <v>43</v>
      </c>
      <c r="R56" s="212">
        <v>256</v>
      </c>
      <c r="S56" s="479">
        <v>44244</v>
      </c>
      <c r="T56" s="212" t="s">
        <v>2763</v>
      </c>
      <c r="U56" s="475">
        <v>35280000</v>
      </c>
      <c r="V56" s="406"/>
      <c r="W56" s="362"/>
      <c r="X56" s="308">
        <v>208</v>
      </c>
      <c r="Y56" s="484">
        <v>44256</v>
      </c>
      <c r="Z56" s="484">
        <v>44256</v>
      </c>
      <c r="AA56" s="484">
        <v>44469</v>
      </c>
      <c r="AB56" s="485" t="s">
        <v>2650</v>
      </c>
      <c r="AC56" s="211">
        <v>145</v>
      </c>
      <c r="AD56" s="485" t="s">
        <v>2764</v>
      </c>
      <c r="AE56" s="486" t="s">
        <v>2765</v>
      </c>
      <c r="AF56" s="473">
        <v>35280000</v>
      </c>
      <c r="AG56" s="474">
        <f t="shared" si="0"/>
        <v>0</v>
      </c>
      <c r="AL56" s="475">
        <v>4872000</v>
      </c>
      <c r="AM56" s="306">
        <v>5040000</v>
      </c>
    </row>
    <row r="57" spans="1:39" hidden="1" x14ac:dyDescent="0.3">
      <c r="A57" s="476" t="s">
        <v>2104</v>
      </c>
      <c r="B57" s="477">
        <v>42260948</v>
      </c>
      <c r="C57" s="212" t="s">
        <v>2646</v>
      </c>
      <c r="D57" s="212">
        <v>55</v>
      </c>
      <c r="E57" s="478">
        <v>20212000001323</v>
      </c>
      <c r="F57" s="479">
        <v>44214</v>
      </c>
      <c r="G57" s="478" t="s">
        <v>2640</v>
      </c>
      <c r="H57" s="212" t="s">
        <v>2641</v>
      </c>
      <c r="I57" s="212" t="s">
        <v>391</v>
      </c>
      <c r="J57" s="475">
        <v>38918274</v>
      </c>
      <c r="K57" s="210" t="s">
        <v>2711</v>
      </c>
      <c r="L57" s="212" t="s">
        <v>2712</v>
      </c>
      <c r="M57" s="212" t="s">
        <v>44</v>
      </c>
      <c r="N57" s="212" t="s">
        <v>45</v>
      </c>
      <c r="O57" s="212" t="s">
        <v>63</v>
      </c>
      <c r="P57" s="212" t="s">
        <v>674</v>
      </c>
      <c r="R57" s="212">
        <v>56</v>
      </c>
      <c r="S57" s="479">
        <v>44214</v>
      </c>
      <c r="T57" s="212" t="s">
        <v>2766</v>
      </c>
      <c r="U57" s="475">
        <f>38918274-3103914</f>
        <v>35814360</v>
      </c>
      <c r="V57" s="411">
        <v>3103914</v>
      </c>
      <c r="W57" s="397"/>
      <c r="X57" s="483">
        <v>136</v>
      </c>
      <c r="Y57" s="484">
        <v>44243</v>
      </c>
      <c r="Z57" s="484">
        <v>44243</v>
      </c>
      <c r="AA57" s="484">
        <v>44546</v>
      </c>
      <c r="AB57" s="485" t="s">
        <v>2650</v>
      </c>
      <c r="AC57" s="483">
        <v>92</v>
      </c>
      <c r="AD57" s="485">
        <v>1052400677</v>
      </c>
      <c r="AE57" s="486" t="s">
        <v>2767</v>
      </c>
      <c r="AF57" s="473">
        <v>35814360</v>
      </c>
      <c r="AG57" s="474">
        <f t="shared" si="0"/>
        <v>0</v>
      </c>
      <c r="AJ57" s="475">
        <v>1551956</v>
      </c>
      <c r="AK57" s="475">
        <v>3581436</v>
      </c>
      <c r="AL57" s="475">
        <v>3581436</v>
      </c>
      <c r="AM57" s="306">
        <v>3581436</v>
      </c>
    </row>
    <row r="58" spans="1:39" hidden="1" x14ac:dyDescent="0.3">
      <c r="A58" s="476" t="s">
        <v>1912</v>
      </c>
      <c r="B58" s="477">
        <v>23287500</v>
      </c>
      <c r="C58" s="212" t="s">
        <v>2646</v>
      </c>
      <c r="D58" s="212">
        <v>56</v>
      </c>
      <c r="E58" s="478">
        <v>20211400001493</v>
      </c>
      <c r="F58" s="479">
        <v>44214</v>
      </c>
      <c r="G58" s="478" t="s">
        <v>2647</v>
      </c>
      <c r="H58" s="212" t="s">
        <v>2648</v>
      </c>
      <c r="I58" s="212" t="s">
        <v>184</v>
      </c>
      <c r="J58" s="475">
        <v>23287500</v>
      </c>
      <c r="K58" s="212" t="s">
        <v>138</v>
      </c>
      <c r="L58" s="212" t="s">
        <v>2652</v>
      </c>
      <c r="M58" s="212" t="s">
        <v>44</v>
      </c>
      <c r="N58" s="212" t="s">
        <v>45</v>
      </c>
      <c r="O58" s="212" t="s">
        <v>142</v>
      </c>
      <c r="P58" s="212" t="s">
        <v>43</v>
      </c>
      <c r="R58" s="212">
        <v>61</v>
      </c>
      <c r="S58" s="479">
        <v>44214</v>
      </c>
      <c r="T58" s="212" t="s">
        <v>2653</v>
      </c>
      <c r="U58" s="475">
        <v>23287500</v>
      </c>
      <c r="V58" s="406"/>
      <c r="W58" s="362"/>
      <c r="X58" s="211">
        <v>33</v>
      </c>
      <c r="Y58" s="472">
        <v>44223</v>
      </c>
      <c r="Z58" s="472">
        <v>44223</v>
      </c>
      <c r="AA58" s="472">
        <v>44496</v>
      </c>
      <c r="AB58" s="2" t="s">
        <v>2650</v>
      </c>
      <c r="AC58" s="211">
        <v>14</v>
      </c>
      <c r="AD58" s="2">
        <v>1001167443</v>
      </c>
      <c r="AE58" s="212" t="s">
        <v>2768</v>
      </c>
      <c r="AF58" s="473">
        <v>23287500</v>
      </c>
      <c r="AG58" s="474">
        <f t="shared" si="0"/>
        <v>0</v>
      </c>
      <c r="AI58" s="475">
        <v>345000</v>
      </c>
      <c r="AJ58" s="481">
        <v>2587500</v>
      </c>
      <c r="AK58" s="475">
        <v>2587500</v>
      </c>
      <c r="AL58" s="475">
        <v>2587500</v>
      </c>
      <c r="AM58" s="306">
        <v>2587500</v>
      </c>
    </row>
    <row r="59" spans="1:39" hidden="1" x14ac:dyDescent="0.3">
      <c r="A59" s="476" t="s">
        <v>1914</v>
      </c>
      <c r="B59" s="477">
        <v>68400000</v>
      </c>
      <c r="C59" s="212" t="s">
        <v>2646</v>
      </c>
      <c r="D59" s="212">
        <v>57</v>
      </c>
      <c r="E59" s="478">
        <v>20214000001463</v>
      </c>
      <c r="F59" s="479">
        <v>44214</v>
      </c>
      <c r="G59" s="478" t="s">
        <v>2673</v>
      </c>
      <c r="H59" s="212" t="s">
        <v>2674</v>
      </c>
      <c r="I59" s="212" t="s">
        <v>117</v>
      </c>
      <c r="J59" s="480">
        <v>22800000</v>
      </c>
      <c r="K59" s="212" t="s">
        <v>112</v>
      </c>
      <c r="L59" s="212" t="s">
        <v>2675</v>
      </c>
      <c r="M59" s="212" t="s">
        <v>44</v>
      </c>
      <c r="N59" s="212" t="s">
        <v>45</v>
      </c>
      <c r="O59" s="212" t="s">
        <v>63</v>
      </c>
      <c r="P59" s="212" t="s">
        <v>43</v>
      </c>
      <c r="R59" s="212">
        <v>60</v>
      </c>
      <c r="S59" s="479">
        <v>44214</v>
      </c>
      <c r="T59" s="212" t="s">
        <v>2769</v>
      </c>
      <c r="U59" s="480">
        <v>22800000</v>
      </c>
      <c r="V59" s="406"/>
      <c r="W59" s="399"/>
      <c r="X59" s="211">
        <v>30</v>
      </c>
      <c r="Y59" s="472">
        <v>44222</v>
      </c>
      <c r="Z59" s="472">
        <v>44222</v>
      </c>
      <c r="AA59" s="472">
        <v>44342</v>
      </c>
      <c r="AB59" s="2" t="s">
        <v>2650</v>
      </c>
      <c r="AC59" s="211">
        <v>10</v>
      </c>
      <c r="AD59" s="2">
        <v>1032359934</v>
      </c>
      <c r="AE59" s="212" t="s">
        <v>2770</v>
      </c>
      <c r="AF59" s="488">
        <v>19984000</v>
      </c>
      <c r="AG59" s="474">
        <f t="shared" si="0"/>
        <v>2816000</v>
      </c>
      <c r="AH59" s="480"/>
      <c r="AI59" s="480"/>
      <c r="AJ59" s="480"/>
      <c r="AK59" s="480"/>
      <c r="AL59" s="480"/>
      <c r="AM59" s="212"/>
    </row>
    <row r="60" spans="1:39" hidden="1" x14ac:dyDescent="0.3">
      <c r="A60" s="476" t="s">
        <v>1846</v>
      </c>
      <c r="B60" s="477">
        <v>29700000</v>
      </c>
      <c r="C60" s="212" t="s">
        <v>2646</v>
      </c>
      <c r="D60" s="212">
        <v>58</v>
      </c>
      <c r="E60" s="478">
        <v>20216000001413</v>
      </c>
      <c r="F60" s="479">
        <v>44214</v>
      </c>
      <c r="G60" s="478" t="s">
        <v>2647</v>
      </c>
      <c r="H60" s="212" t="s">
        <v>2648</v>
      </c>
      <c r="I60" s="212" t="s">
        <v>214</v>
      </c>
      <c r="J60" s="475">
        <v>16200000</v>
      </c>
      <c r="K60" s="212" t="s">
        <v>138</v>
      </c>
      <c r="L60" s="212" t="s">
        <v>139</v>
      </c>
      <c r="M60" s="212" t="s">
        <v>44</v>
      </c>
      <c r="N60" s="212" t="s">
        <v>45</v>
      </c>
      <c r="O60" s="212" t="s">
        <v>142</v>
      </c>
      <c r="P60" s="212" t="s">
        <v>43</v>
      </c>
      <c r="R60" s="212">
        <v>59</v>
      </c>
      <c r="S60" s="479">
        <v>44214</v>
      </c>
      <c r="T60" s="212" t="s">
        <v>2771</v>
      </c>
      <c r="U60" s="475">
        <v>16200000</v>
      </c>
      <c r="V60" s="406"/>
      <c r="W60" s="362"/>
      <c r="X60" s="211">
        <v>17</v>
      </c>
      <c r="Y60" s="472">
        <v>44216</v>
      </c>
      <c r="Z60" s="472">
        <v>44216</v>
      </c>
      <c r="AA60" s="472">
        <v>44397</v>
      </c>
      <c r="AB60" s="2" t="s">
        <v>2650</v>
      </c>
      <c r="AC60" s="211">
        <v>5</v>
      </c>
      <c r="AD60" s="2">
        <v>1026583329</v>
      </c>
      <c r="AE60" s="212" t="s">
        <v>2772</v>
      </c>
      <c r="AF60" s="473">
        <v>16200000</v>
      </c>
      <c r="AG60" s="474">
        <f t="shared" si="0"/>
        <v>0</v>
      </c>
      <c r="AI60" s="480">
        <v>990000</v>
      </c>
      <c r="AJ60" s="475">
        <v>2700000</v>
      </c>
      <c r="AK60" s="475">
        <v>2700000</v>
      </c>
      <c r="AL60" s="475">
        <v>2700000</v>
      </c>
      <c r="AM60" s="306">
        <v>2700000</v>
      </c>
    </row>
    <row r="61" spans="1:39" hidden="1" x14ac:dyDescent="0.3">
      <c r="A61" s="476" t="s">
        <v>1845</v>
      </c>
      <c r="B61" s="477">
        <v>85250000</v>
      </c>
      <c r="C61" s="212" t="s">
        <v>2646</v>
      </c>
      <c r="D61" s="212">
        <v>59</v>
      </c>
      <c r="E61" s="478">
        <v>20216000001383</v>
      </c>
      <c r="F61" s="479">
        <v>44214</v>
      </c>
      <c r="G61" s="478" t="s">
        <v>2647</v>
      </c>
      <c r="H61" s="212" t="s">
        <v>2648</v>
      </c>
      <c r="I61" s="212" t="s">
        <v>214</v>
      </c>
      <c r="J61" s="475">
        <v>46500000</v>
      </c>
      <c r="K61" s="212" t="s">
        <v>138</v>
      </c>
      <c r="L61" s="212" t="s">
        <v>139</v>
      </c>
      <c r="M61" s="212" t="s">
        <v>44</v>
      </c>
      <c r="N61" s="212" t="s">
        <v>45</v>
      </c>
      <c r="O61" s="212" t="s">
        <v>142</v>
      </c>
      <c r="P61" s="212" t="s">
        <v>43</v>
      </c>
      <c r="R61" s="212">
        <v>57</v>
      </c>
      <c r="S61" s="479">
        <v>44214</v>
      </c>
      <c r="T61" s="212" t="s">
        <v>2773</v>
      </c>
      <c r="U61" s="475">
        <v>46500000</v>
      </c>
      <c r="V61" s="406"/>
      <c r="W61" s="362"/>
      <c r="X61" s="211">
        <v>35</v>
      </c>
      <c r="Y61" s="472">
        <v>44223</v>
      </c>
      <c r="Z61" s="472">
        <v>44223</v>
      </c>
      <c r="AA61" s="472">
        <v>44404</v>
      </c>
      <c r="AB61" s="2" t="s">
        <v>2650</v>
      </c>
      <c r="AC61" s="211">
        <v>12</v>
      </c>
      <c r="AD61" s="2">
        <v>52433506</v>
      </c>
      <c r="AE61" s="212" t="s">
        <v>2774</v>
      </c>
      <c r="AF61" s="473">
        <v>46500000</v>
      </c>
      <c r="AG61" s="474">
        <f t="shared" si="0"/>
        <v>0</v>
      </c>
      <c r="AJ61" s="475">
        <v>8266667</v>
      </c>
      <c r="AK61" s="475">
        <v>7750000</v>
      </c>
      <c r="AL61" s="475">
        <v>7750000</v>
      </c>
      <c r="AM61" s="306">
        <v>7750000</v>
      </c>
    </row>
    <row r="62" spans="1:39" hidden="1" x14ac:dyDescent="0.3">
      <c r="A62" s="476" t="s">
        <v>1846</v>
      </c>
      <c r="B62" s="477">
        <v>29700000</v>
      </c>
      <c r="C62" s="212" t="s">
        <v>2646</v>
      </c>
      <c r="D62" s="212">
        <v>60</v>
      </c>
      <c r="E62" s="478">
        <v>20216000001403</v>
      </c>
      <c r="F62" s="479">
        <v>44214</v>
      </c>
      <c r="G62" s="478" t="s">
        <v>2647</v>
      </c>
      <c r="H62" s="212" t="s">
        <v>2648</v>
      </c>
      <c r="I62" s="212" t="s">
        <v>214</v>
      </c>
      <c r="J62" s="475">
        <v>16200000</v>
      </c>
      <c r="K62" s="212" t="s">
        <v>138</v>
      </c>
      <c r="L62" s="212" t="s">
        <v>139</v>
      </c>
      <c r="M62" s="212" t="s">
        <v>44</v>
      </c>
      <c r="N62" s="212" t="s">
        <v>45</v>
      </c>
      <c r="O62" s="212" t="s">
        <v>142</v>
      </c>
      <c r="P62" s="212" t="s">
        <v>43</v>
      </c>
      <c r="R62" s="212">
        <v>58</v>
      </c>
      <c r="S62" s="479">
        <v>44214</v>
      </c>
      <c r="T62" s="212" t="s">
        <v>2771</v>
      </c>
      <c r="U62" s="475">
        <v>16200000</v>
      </c>
      <c r="V62" s="406"/>
      <c r="W62" s="362"/>
      <c r="X62" s="211">
        <v>18</v>
      </c>
      <c r="Y62" s="472">
        <v>44216</v>
      </c>
      <c r="Z62" s="472">
        <v>44216</v>
      </c>
      <c r="AA62" s="472">
        <v>44397</v>
      </c>
      <c r="AB62" s="2" t="s">
        <v>2650</v>
      </c>
      <c r="AC62" s="211">
        <v>4</v>
      </c>
      <c r="AD62" s="2">
        <v>79514189</v>
      </c>
      <c r="AE62" s="212" t="s">
        <v>2775</v>
      </c>
      <c r="AF62" s="473">
        <v>16200000</v>
      </c>
      <c r="AG62" s="474">
        <f t="shared" si="0"/>
        <v>0</v>
      </c>
      <c r="AI62" s="480">
        <v>990000</v>
      </c>
      <c r="AJ62" s="475">
        <v>2700000</v>
      </c>
      <c r="AK62" s="475">
        <v>2700000</v>
      </c>
      <c r="AL62" s="475">
        <v>2700000</v>
      </c>
      <c r="AM62" s="306">
        <v>2700000</v>
      </c>
    </row>
    <row r="63" spans="1:39" hidden="1" x14ac:dyDescent="0.3">
      <c r="A63" s="476" t="s">
        <v>1847</v>
      </c>
      <c r="B63" s="477">
        <v>88000000</v>
      </c>
      <c r="C63" s="212" t="s">
        <v>2646</v>
      </c>
      <c r="D63" s="212">
        <v>61</v>
      </c>
      <c r="E63" s="478">
        <v>20216000001373</v>
      </c>
      <c r="F63" s="479">
        <v>44214</v>
      </c>
      <c r="G63" s="478" t="s">
        <v>2647</v>
      </c>
      <c r="H63" s="212" t="s">
        <v>2648</v>
      </c>
      <c r="I63" s="212" t="s">
        <v>214</v>
      </c>
      <c r="J63" s="475">
        <v>48000000</v>
      </c>
      <c r="K63" s="212" t="s">
        <v>138</v>
      </c>
      <c r="L63" s="212" t="s">
        <v>139</v>
      </c>
      <c r="M63" s="212" t="s">
        <v>44</v>
      </c>
      <c r="N63" s="212" t="s">
        <v>45</v>
      </c>
      <c r="O63" s="212" t="s">
        <v>142</v>
      </c>
      <c r="P63" s="212" t="s">
        <v>43</v>
      </c>
      <c r="R63" s="212">
        <v>62</v>
      </c>
      <c r="S63" s="479">
        <v>44214</v>
      </c>
      <c r="T63" s="212" t="s">
        <v>2776</v>
      </c>
      <c r="U63" s="475">
        <v>48000000</v>
      </c>
      <c r="V63" s="406"/>
      <c r="W63" s="362"/>
      <c r="X63" s="211">
        <v>20</v>
      </c>
      <c r="Y63" s="472">
        <v>44216</v>
      </c>
      <c r="Z63" s="472">
        <v>44216</v>
      </c>
      <c r="AA63" s="472">
        <v>44397</v>
      </c>
      <c r="AB63" s="2" t="s">
        <v>2650</v>
      </c>
      <c r="AC63" s="211">
        <v>8</v>
      </c>
      <c r="AD63" s="2">
        <v>52310337</v>
      </c>
      <c r="AE63" s="212" t="s">
        <v>2777</v>
      </c>
      <c r="AF63" s="473">
        <v>48000000</v>
      </c>
      <c r="AG63" s="474">
        <f t="shared" si="0"/>
        <v>0</v>
      </c>
      <c r="AI63" s="480">
        <v>2666667</v>
      </c>
      <c r="AJ63" s="475">
        <v>8000000</v>
      </c>
      <c r="AK63" s="475">
        <v>8000000</v>
      </c>
      <c r="AL63" s="475">
        <v>8000000</v>
      </c>
      <c r="AM63" s="306">
        <v>8000000</v>
      </c>
    </row>
    <row r="64" spans="1:39" hidden="1" x14ac:dyDescent="0.3">
      <c r="A64" s="476" t="s">
        <v>2778</v>
      </c>
      <c r="B64" s="477">
        <v>47092500</v>
      </c>
      <c r="C64" s="212" t="s">
        <v>2646</v>
      </c>
      <c r="D64" s="212">
        <v>62</v>
      </c>
      <c r="E64" s="478">
        <v>20211400001543</v>
      </c>
      <c r="F64" s="479">
        <v>44214</v>
      </c>
      <c r="G64" s="478" t="s">
        <v>2647</v>
      </c>
      <c r="H64" s="212" t="s">
        <v>2648</v>
      </c>
      <c r="I64" s="212" t="s">
        <v>184</v>
      </c>
      <c r="J64" s="475">
        <v>47092500</v>
      </c>
      <c r="K64" s="212" t="s">
        <v>138</v>
      </c>
      <c r="L64" s="212" t="s">
        <v>2652</v>
      </c>
      <c r="M64" s="212" t="s">
        <v>44</v>
      </c>
      <c r="N64" s="212" t="s">
        <v>45</v>
      </c>
      <c r="O64" s="212" t="s">
        <v>142</v>
      </c>
      <c r="P64" s="212" t="s">
        <v>43</v>
      </c>
      <c r="R64" s="212">
        <v>66</v>
      </c>
      <c r="S64" s="479">
        <v>44214</v>
      </c>
      <c r="T64" s="212" t="s">
        <v>2779</v>
      </c>
      <c r="U64" s="475">
        <v>47092500</v>
      </c>
      <c r="V64" s="406"/>
      <c r="W64" s="362"/>
      <c r="X64" s="308">
        <v>76</v>
      </c>
      <c r="Y64" s="484">
        <v>44231</v>
      </c>
      <c r="Z64" s="484">
        <v>44231</v>
      </c>
      <c r="AA64" s="484">
        <v>44443</v>
      </c>
      <c r="AB64" s="485" t="s">
        <v>2650</v>
      </c>
      <c r="AC64" s="211">
        <v>40</v>
      </c>
      <c r="AD64" s="487">
        <v>79531707</v>
      </c>
      <c r="AE64" s="486" t="s">
        <v>2780</v>
      </c>
      <c r="AF64" s="473">
        <v>47092500</v>
      </c>
      <c r="AG64" s="474">
        <f t="shared" si="0"/>
        <v>0</v>
      </c>
      <c r="AJ64" s="481">
        <v>5382000</v>
      </c>
      <c r="AK64" s="475">
        <v>6727500</v>
      </c>
      <c r="AL64" s="475">
        <v>6727500</v>
      </c>
      <c r="AM64" s="306">
        <v>6727500</v>
      </c>
    </row>
    <row r="65" spans="1:39" hidden="1" x14ac:dyDescent="0.3">
      <c r="A65" s="476" t="s">
        <v>2504</v>
      </c>
      <c r="B65" s="477">
        <v>66198000</v>
      </c>
      <c r="C65" s="212" t="s">
        <v>2646</v>
      </c>
      <c r="D65" s="212">
        <v>63</v>
      </c>
      <c r="E65" s="478">
        <v>20212000007943</v>
      </c>
      <c r="F65" s="479">
        <v>44243</v>
      </c>
      <c r="G65" s="478" t="s">
        <v>2640</v>
      </c>
      <c r="H65" s="212" t="s">
        <v>2641</v>
      </c>
      <c r="I65" s="212" t="s">
        <v>391</v>
      </c>
      <c r="J65" s="475">
        <v>56100000</v>
      </c>
      <c r="K65" s="210" t="s">
        <v>2711</v>
      </c>
      <c r="L65" s="212" t="s">
        <v>2712</v>
      </c>
      <c r="M65" s="212" t="s">
        <v>44</v>
      </c>
      <c r="N65" s="212" t="s">
        <v>45</v>
      </c>
      <c r="O65" s="212" t="s">
        <v>63</v>
      </c>
      <c r="P65" s="212" t="s">
        <v>674</v>
      </c>
      <c r="R65" s="212">
        <v>243</v>
      </c>
      <c r="S65" s="479">
        <v>44243</v>
      </c>
      <c r="T65" s="212" t="s">
        <v>2781</v>
      </c>
      <c r="U65" s="475">
        <f>56100000-2805000</f>
        <v>53295000</v>
      </c>
      <c r="V65" s="411">
        <v>2805000</v>
      </c>
      <c r="W65" s="397"/>
      <c r="X65" s="308">
        <v>209</v>
      </c>
      <c r="Y65" s="484">
        <v>44256</v>
      </c>
      <c r="Z65" s="484">
        <v>44256</v>
      </c>
      <c r="AA65" s="484">
        <v>44545</v>
      </c>
      <c r="AB65" s="485" t="s">
        <v>2650</v>
      </c>
      <c r="AC65" s="211">
        <v>152</v>
      </c>
      <c r="AD65" s="485" t="s">
        <v>2782</v>
      </c>
      <c r="AE65" s="486" t="s">
        <v>2783</v>
      </c>
      <c r="AF65" s="473">
        <v>53295000</v>
      </c>
      <c r="AG65" s="474">
        <f t="shared" si="0"/>
        <v>0</v>
      </c>
      <c r="AK65" s="475">
        <v>5236000</v>
      </c>
      <c r="AL65" s="475">
        <v>5610000</v>
      </c>
      <c r="AM65" s="306">
        <v>5610000</v>
      </c>
    </row>
    <row r="66" spans="1:39" hidden="1" x14ac:dyDescent="0.3">
      <c r="A66" s="476" t="s">
        <v>2111</v>
      </c>
      <c r="B66" s="477">
        <v>55300000</v>
      </c>
      <c r="C66" s="212" t="s">
        <v>2646</v>
      </c>
      <c r="D66" s="212">
        <v>64</v>
      </c>
      <c r="E66" s="478">
        <v>20211400001533</v>
      </c>
      <c r="F66" s="479">
        <v>44214</v>
      </c>
      <c r="G66" s="478" t="s">
        <v>2647</v>
      </c>
      <c r="H66" s="212" t="s">
        <v>2648</v>
      </c>
      <c r="I66" s="212" t="s">
        <v>184</v>
      </c>
      <c r="J66" s="475">
        <v>55300000</v>
      </c>
      <c r="K66" s="212" t="s">
        <v>138</v>
      </c>
      <c r="L66" s="212" t="s">
        <v>2652</v>
      </c>
      <c r="M66" s="212" t="s">
        <v>44</v>
      </c>
      <c r="N66" s="212" t="s">
        <v>45</v>
      </c>
      <c r="O66" s="212" t="s">
        <v>142</v>
      </c>
      <c r="P66" s="212" t="s">
        <v>43</v>
      </c>
      <c r="R66" s="212">
        <v>65</v>
      </c>
      <c r="S66" s="479">
        <v>44214</v>
      </c>
      <c r="T66" s="212" t="s">
        <v>2784</v>
      </c>
      <c r="U66" s="475">
        <v>55300000</v>
      </c>
      <c r="V66" s="406"/>
      <c r="W66" s="362"/>
      <c r="X66" s="308">
        <v>91</v>
      </c>
      <c r="Y66" s="484">
        <v>44235</v>
      </c>
      <c r="Z66" s="484">
        <v>44235</v>
      </c>
      <c r="AA66" s="484">
        <v>44447</v>
      </c>
      <c r="AB66" s="485" t="s">
        <v>2650</v>
      </c>
      <c r="AC66" s="211">
        <v>49</v>
      </c>
      <c r="AD66" s="487">
        <v>80100229</v>
      </c>
      <c r="AE66" s="486" t="s">
        <v>2785</v>
      </c>
      <c r="AF66" s="473">
        <v>55300000</v>
      </c>
      <c r="AG66" s="474">
        <f t="shared" ref="AG66:AG129" si="1">+U66-AF66</f>
        <v>0</v>
      </c>
      <c r="AJ66" s="481">
        <v>5530000</v>
      </c>
      <c r="AK66" s="475">
        <v>7900000</v>
      </c>
      <c r="AL66" s="475">
        <v>7900000</v>
      </c>
      <c r="AM66" s="306">
        <v>7900000</v>
      </c>
    </row>
    <row r="67" spans="1:39" hidden="1" x14ac:dyDescent="0.3">
      <c r="A67" s="476" t="s">
        <v>2482</v>
      </c>
      <c r="B67" s="477">
        <v>82133333</v>
      </c>
      <c r="C67" s="212" t="s">
        <v>2646</v>
      </c>
      <c r="D67" s="212">
        <v>65</v>
      </c>
      <c r="E67" s="478">
        <v>20214000004723</v>
      </c>
      <c r="F67" s="479">
        <v>44229</v>
      </c>
      <c r="G67" s="478" t="s">
        <v>2680</v>
      </c>
      <c r="H67" s="212" t="s">
        <v>2681</v>
      </c>
      <c r="I67" s="212" t="s">
        <v>47</v>
      </c>
      <c r="J67" s="475">
        <v>64000000</v>
      </c>
      <c r="K67" s="212" t="s">
        <v>37</v>
      </c>
      <c r="L67" s="212" t="s">
        <v>2682</v>
      </c>
      <c r="M67" s="212" t="s">
        <v>44</v>
      </c>
      <c r="N67" s="212" t="s">
        <v>45</v>
      </c>
      <c r="O67" s="212" t="s">
        <v>310</v>
      </c>
      <c r="P67" s="212" t="s">
        <v>43</v>
      </c>
      <c r="R67" s="212">
        <v>172</v>
      </c>
      <c r="S67" s="479">
        <v>44229</v>
      </c>
      <c r="T67" s="212" t="s">
        <v>2786</v>
      </c>
      <c r="U67" s="475">
        <v>64000000</v>
      </c>
      <c r="V67" s="406"/>
      <c r="W67" s="362"/>
      <c r="X67" s="308">
        <v>210</v>
      </c>
      <c r="Y67" s="484">
        <v>44256</v>
      </c>
      <c r="Z67" s="484">
        <v>44256</v>
      </c>
      <c r="AA67" s="484">
        <v>44499</v>
      </c>
      <c r="AB67" s="485" t="s">
        <v>2650</v>
      </c>
      <c r="AC67" s="211">
        <v>149</v>
      </c>
      <c r="AD67" s="485" t="s">
        <v>2787</v>
      </c>
      <c r="AE67" s="486" t="s">
        <v>2788</v>
      </c>
      <c r="AF67" s="473">
        <v>64000000</v>
      </c>
      <c r="AG67" s="474">
        <f t="shared" si="1"/>
        <v>0</v>
      </c>
      <c r="AK67" s="475">
        <v>7733333</v>
      </c>
      <c r="AL67" s="475">
        <v>8000000</v>
      </c>
      <c r="AM67" s="306">
        <v>8000000</v>
      </c>
    </row>
    <row r="68" spans="1:39" hidden="1" x14ac:dyDescent="0.3">
      <c r="A68" s="476" t="s">
        <v>2110</v>
      </c>
      <c r="B68" s="477">
        <v>62341552</v>
      </c>
      <c r="C68" s="212" t="s">
        <v>2646</v>
      </c>
      <c r="D68" s="212">
        <v>66</v>
      </c>
      <c r="E68" s="478">
        <v>20211400001523</v>
      </c>
      <c r="F68" s="479">
        <v>44214</v>
      </c>
      <c r="G68" s="478" t="s">
        <v>2647</v>
      </c>
      <c r="H68" s="212" t="s">
        <v>2648</v>
      </c>
      <c r="I68" s="212" t="s">
        <v>184</v>
      </c>
      <c r="J68" s="475">
        <v>62341552</v>
      </c>
      <c r="K68" s="212" t="s">
        <v>138</v>
      </c>
      <c r="L68" s="212" t="s">
        <v>2652</v>
      </c>
      <c r="M68" s="212" t="s">
        <v>44</v>
      </c>
      <c r="N68" s="212" t="s">
        <v>45</v>
      </c>
      <c r="O68" s="212" t="s">
        <v>142</v>
      </c>
      <c r="P68" s="212" t="s">
        <v>43</v>
      </c>
      <c r="R68" s="212">
        <v>64</v>
      </c>
      <c r="S68" s="479">
        <v>44214</v>
      </c>
      <c r="T68" s="212" t="s">
        <v>2789</v>
      </c>
      <c r="U68" s="475">
        <v>62341552</v>
      </c>
      <c r="V68" s="406"/>
      <c r="W68" s="362"/>
      <c r="X68" s="308">
        <v>115</v>
      </c>
      <c r="Y68" s="484">
        <v>44237</v>
      </c>
      <c r="Z68" s="484">
        <v>44237</v>
      </c>
      <c r="AA68" s="484">
        <v>44449</v>
      </c>
      <c r="AB68" s="485" t="s">
        <v>2650</v>
      </c>
      <c r="AC68" s="211">
        <v>65</v>
      </c>
      <c r="AD68" s="487">
        <v>13171587</v>
      </c>
      <c r="AE68" s="486" t="s">
        <v>2790</v>
      </c>
      <c r="AF68" s="473">
        <v>62341552</v>
      </c>
      <c r="AG68" s="474">
        <f t="shared" si="1"/>
        <v>0</v>
      </c>
      <c r="AJ68" s="481">
        <v>5343562</v>
      </c>
      <c r="AK68" s="475">
        <v>8905936</v>
      </c>
      <c r="AL68" s="475">
        <v>8905936</v>
      </c>
      <c r="AM68" s="306">
        <v>8905936</v>
      </c>
    </row>
    <row r="69" spans="1:39" hidden="1" x14ac:dyDescent="0.3">
      <c r="B69" s="477" t="s">
        <v>2683</v>
      </c>
      <c r="C69" s="212" t="s">
        <v>2646</v>
      </c>
      <c r="D69" s="212">
        <v>67</v>
      </c>
      <c r="E69" s="478">
        <v>20213000001603</v>
      </c>
      <c r="F69" s="479">
        <v>44215</v>
      </c>
      <c r="G69" s="478" t="s">
        <v>2640</v>
      </c>
      <c r="H69" s="212" t="s">
        <v>2641</v>
      </c>
      <c r="I69" s="212" t="s">
        <v>432</v>
      </c>
      <c r="J69" s="475">
        <v>17400000</v>
      </c>
      <c r="K69" s="212" t="s">
        <v>358</v>
      </c>
      <c r="L69" s="212" t="s">
        <v>2791</v>
      </c>
      <c r="M69" s="212" t="s">
        <v>44</v>
      </c>
      <c r="N69" s="212" t="s">
        <v>45</v>
      </c>
      <c r="O69" s="212" t="s">
        <v>63</v>
      </c>
      <c r="P69" s="212" t="s">
        <v>674</v>
      </c>
      <c r="R69" s="212">
        <v>68</v>
      </c>
      <c r="S69" s="479">
        <v>44215</v>
      </c>
      <c r="T69" s="212" t="s">
        <v>2792</v>
      </c>
      <c r="U69" s="475">
        <v>17400000</v>
      </c>
      <c r="V69" s="406"/>
      <c r="W69" s="362"/>
      <c r="X69" s="211">
        <v>26</v>
      </c>
      <c r="Y69" s="472">
        <v>44218</v>
      </c>
      <c r="Z69" s="472">
        <v>44221</v>
      </c>
      <c r="AA69" s="472">
        <v>44279</v>
      </c>
      <c r="AB69" s="2" t="s">
        <v>2650</v>
      </c>
      <c r="AC69" s="211">
        <v>454</v>
      </c>
      <c r="AD69" s="2">
        <v>47439734</v>
      </c>
      <c r="AE69" s="212" t="s">
        <v>2793</v>
      </c>
      <c r="AF69" s="473">
        <v>17400000</v>
      </c>
      <c r="AG69" s="474">
        <f t="shared" si="1"/>
        <v>0</v>
      </c>
      <c r="AI69" s="480">
        <v>8700000</v>
      </c>
      <c r="AJ69" s="475">
        <v>8700000</v>
      </c>
      <c r="AM69" s="212"/>
    </row>
    <row r="70" spans="1:39" hidden="1" x14ac:dyDescent="0.3">
      <c r="B70" s="477" t="s">
        <v>2683</v>
      </c>
      <c r="C70" s="212" t="s">
        <v>2646</v>
      </c>
      <c r="D70" s="212">
        <v>68</v>
      </c>
      <c r="E70" s="478">
        <v>20217000001633</v>
      </c>
      <c r="F70" s="479">
        <v>44216</v>
      </c>
      <c r="G70" s="478" t="s">
        <v>2647</v>
      </c>
      <c r="H70" s="212" t="s">
        <v>2648</v>
      </c>
      <c r="I70" s="212" t="s">
        <v>164</v>
      </c>
      <c r="J70" s="475">
        <v>6144614</v>
      </c>
      <c r="K70" s="212" t="s">
        <v>138</v>
      </c>
      <c r="L70" s="212" t="s">
        <v>139</v>
      </c>
      <c r="M70" s="212" t="s">
        <v>44</v>
      </c>
      <c r="N70" s="212" t="s">
        <v>45</v>
      </c>
      <c r="O70" s="212" t="s">
        <v>142</v>
      </c>
      <c r="P70" s="212" t="s">
        <v>43</v>
      </c>
      <c r="R70" s="212">
        <v>69</v>
      </c>
      <c r="S70" s="479">
        <v>44216</v>
      </c>
      <c r="T70" s="212" t="s">
        <v>2794</v>
      </c>
      <c r="U70" s="475">
        <v>6144614</v>
      </c>
      <c r="V70" s="406"/>
      <c r="W70" s="362"/>
      <c r="X70" s="211">
        <v>28</v>
      </c>
      <c r="Y70" s="472">
        <v>44218</v>
      </c>
      <c r="Z70" s="472">
        <v>44220</v>
      </c>
      <c r="AA70" s="472">
        <v>44278</v>
      </c>
      <c r="AB70" s="2" t="s">
        <v>2650</v>
      </c>
      <c r="AC70" s="211">
        <v>426</v>
      </c>
      <c r="AD70" s="2">
        <v>53116356</v>
      </c>
      <c r="AE70" s="212" t="s">
        <v>2795</v>
      </c>
      <c r="AF70" s="473">
        <v>6144614</v>
      </c>
      <c r="AG70" s="474">
        <f t="shared" si="1"/>
        <v>0</v>
      </c>
      <c r="AI70" s="475">
        <v>716871</v>
      </c>
      <c r="AJ70" s="475">
        <v>3072307</v>
      </c>
      <c r="AK70" s="475">
        <v>2355436</v>
      </c>
      <c r="AM70" s="212"/>
    </row>
    <row r="71" spans="1:39" hidden="1" x14ac:dyDescent="0.3">
      <c r="B71" s="477" t="s">
        <v>2796</v>
      </c>
      <c r="C71" s="212" t="s">
        <v>2797</v>
      </c>
      <c r="D71" s="212">
        <v>69</v>
      </c>
      <c r="E71" s="478">
        <v>20213000001933</v>
      </c>
      <c r="F71" s="479">
        <v>44216</v>
      </c>
      <c r="G71" s="478" t="s">
        <v>2640</v>
      </c>
      <c r="H71" s="212" t="s">
        <v>2641</v>
      </c>
      <c r="I71" s="212" t="s">
        <v>432</v>
      </c>
      <c r="J71" s="475">
        <v>9600000</v>
      </c>
      <c r="K71" s="212" t="s">
        <v>358</v>
      </c>
      <c r="L71" s="212" t="s">
        <v>2791</v>
      </c>
      <c r="M71" s="212" t="s">
        <v>44</v>
      </c>
      <c r="N71" s="212" t="s">
        <v>45</v>
      </c>
      <c r="O71" s="212" t="s">
        <v>63</v>
      </c>
      <c r="P71" s="212" t="s">
        <v>674</v>
      </c>
      <c r="R71" s="212">
        <v>70</v>
      </c>
      <c r="S71" s="479">
        <v>44216</v>
      </c>
      <c r="T71" s="212" t="s">
        <v>2798</v>
      </c>
      <c r="U71" s="475">
        <v>9600000</v>
      </c>
      <c r="V71" s="406"/>
      <c r="W71" s="362"/>
      <c r="X71" s="211">
        <v>36</v>
      </c>
      <c r="Y71" s="472">
        <v>44223</v>
      </c>
      <c r="Z71" s="472">
        <v>44224</v>
      </c>
      <c r="AA71" s="472">
        <v>44282</v>
      </c>
      <c r="AB71" s="2" t="s">
        <v>2650</v>
      </c>
      <c r="AC71" s="211">
        <v>465</v>
      </c>
      <c r="AD71" s="2">
        <v>1026287593</v>
      </c>
      <c r="AE71" s="212" t="s">
        <v>2799</v>
      </c>
      <c r="AF71" s="473">
        <v>9600000</v>
      </c>
      <c r="AG71" s="474">
        <f t="shared" si="1"/>
        <v>0</v>
      </c>
      <c r="AI71" s="480">
        <v>480000</v>
      </c>
      <c r="AJ71" s="475">
        <v>4800000</v>
      </c>
      <c r="AK71" s="475">
        <v>4320000</v>
      </c>
      <c r="AM71" s="212"/>
    </row>
    <row r="72" spans="1:39" hidden="1" x14ac:dyDescent="0.3">
      <c r="B72" s="477" t="s">
        <v>2683</v>
      </c>
      <c r="C72" s="212" t="s">
        <v>2797</v>
      </c>
      <c r="D72" s="212">
        <v>70</v>
      </c>
      <c r="E72" s="478">
        <v>20217000001623</v>
      </c>
      <c r="F72" s="479">
        <v>44217</v>
      </c>
      <c r="G72" s="478" t="s">
        <v>2647</v>
      </c>
      <c r="H72" s="212" t="s">
        <v>2648</v>
      </c>
      <c r="I72" s="212" t="s">
        <v>164</v>
      </c>
      <c r="J72" s="475">
        <v>6583523</v>
      </c>
      <c r="K72" s="212" t="s">
        <v>138</v>
      </c>
      <c r="L72" s="212" t="s">
        <v>139</v>
      </c>
      <c r="M72" s="212" t="s">
        <v>44</v>
      </c>
      <c r="N72" s="212" t="s">
        <v>45</v>
      </c>
      <c r="O72" s="212" t="s">
        <v>142</v>
      </c>
      <c r="P72" s="212" t="s">
        <v>43</v>
      </c>
      <c r="R72" s="212">
        <v>71</v>
      </c>
      <c r="S72" s="479">
        <v>44217</v>
      </c>
      <c r="T72" s="212" t="s">
        <v>2800</v>
      </c>
      <c r="U72" s="475">
        <v>6583523</v>
      </c>
      <c r="V72" s="406"/>
      <c r="W72" s="362"/>
      <c r="X72" s="211">
        <v>29</v>
      </c>
      <c r="Y72" s="472">
        <v>44218</v>
      </c>
      <c r="Z72" s="472">
        <v>44220</v>
      </c>
      <c r="AA72" s="472">
        <v>44293</v>
      </c>
      <c r="AB72" s="2" t="s">
        <v>2650</v>
      </c>
      <c r="AC72" s="211">
        <v>389</v>
      </c>
      <c r="AD72" s="2">
        <v>37277102</v>
      </c>
      <c r="AE72" s="212" t="s">
        <v>2801</v>
      </c>
      <c r="AF72" s="473">
        <v>6583523</v>
      </c>
      <c r="AG72" s="474">
        <f t="shared" si="1"/>
        <v>0</v>
      </c>
      <c r="AI72" s="475">
        <v>2633409</v>
      </c>
      <c r="AJ72" s="475">
        <v>2633409</v>
      </c>
      <c r="AK72" s="475">
        <v>614462</v>
      </c>
      <c r="AL72" s="475">
        <v>702242</v>
      </c>
      <c r="AM72" s="212"/>
    </row>
    <row r="73" spans="1:39" hidden="1" x14ac:dyDescent="0.3">
      <c r="A73" s="476" t="s">
        <v>2478</v>
      </c>
      <c r="B73" s="477">
        <v>85250000</v>
      </c>
      <c r="C73" s="212" t="s">
        <v>2797</v>
      </c>
      <c r="D73" s="212">
        <v>71</v>
      </c>
      <c r="E73" s="478">
        <v>20216000002183</v>
      </c>
      <c r="F73" s="479">
        <v>44217</v>
      </c>
      <c r="G73" s="478" t="s">
        <v>2647</v>
      </c>
      <c r="H73" s="212" t="s">
        <v>2648</v>
      </c>
      <c r="I73" s="212" t="s">
        <v>214</v>
      </c>
      <c r="J73" s="475">
        <v>85250000</v>
      </c>
      <c r="K73" s="212" t="s">
        <v>138</v>
      </c>
      <c r="L73" s="212" t="s">
        <v>139</v>
      </c>
      <c r="M73" s="212" t="s">
        <v>44</v>
      </c>
      <c r="N73" s="212" t="s">
        <v>45</v>
      </c>
      <c r="O73" s="212" t="s">
        <v>142</v>
      </c>
      <c r="P73" s="212" t="s">
        <v>43</v>
      </c>
      <c r="R73" s="212">
        <v>72</v>
      </c>
      <c r="S73" s="479">
        <v>44217</v>
      </c>
      <c r="T73" s="212" t="s">
        <v>2802</v>
      </c>
      <c r="U73" s="475">
        <v>85250000</v>
      </c>
      <c r="V73" s="406"/>
      <c r="W73" s="362"/>
      <c r="X73" s="211">
        <v>52</v>
      </c>
      <c r="Y73" s="472">
        <v>44225</v>
      </c>
      <c r="Z73" s="472">
        <v>44225</v>
      </c>
      <c r="AA73" s="472">
        <v>44559</v>
      </c>
      <c r="AB73" s="2" t="s">
        <v>2650</v>
      </c>
      <c r="AC73" s="211">
        <v>21</v>
      </c>
      <c r="AD73" s="2">
        <v>1067863967</v>
      </c>
      <c r="AE73" s="212" t="s">
        <v>2803</v>
      </c>
      <c r="AF73" s="473">
        <v>85250000</v>
      </c>
      <c r="AG73" s="474">
        <f t="shared" si="1"/>
        <v>0</v>
      </c>
      <c r="AJ73" s="475">
        <v>8266667</v>
      </c>
      <c r="AK73" s="475">
        <v>7750000</v>
      </c>
      <c r="AL73" s="475">
        <v>7750000</v>
      </c>
      <c r="AM73" s="306">
        <v>7750000</v>
      </c>
    </row>
    <row r="74" spans="1:39" hidden="1" x14ac:dyDescent="0.3">
      <c r="B74" s="477" t="s">
        <v>2683</v>
      </c>
      <c r="C74" s="212" t="s">
        <v>2646</v>
      </c>
      <c r="D74" s="212">
        <v>72</v>
      </c>
      <c r="E74" s="478">
        <v>2021000002063</v>
      </c>
      <c r="F74" s="479">
        <v>44217</v>
      </c>
      <c r="G74" s="478" t="s">
        <v>2647</v>
      </c>
      <c r="H74" s="212" t="s">
        <v>2648</v>
      </c>
      <c r="I74" s="212" t="s">
        <v>164</v>
      </c>
      <c r="J74" s="475">
        <v>3511208</v>
      </c>
      <c r="K74" s="212" t="s">
        <v>138</v>
      </c>
      <c r="L74" s="212" t="s">
        <v>139</v>
      </c>
      <c r="M74" s="212" t="s">
        <v>44</v>
      </c>
      <c r="N74" s="212" t="s">
        <v>45</v>
      </c>
      <c r="O74" s="212" t="s">
        <v>142</v>
      </c>
      <c r="P74" s="212" t="s">
        <v>43</v>
      </c>
      <c r="R74" s="212">
        <v>76</v>
      </c>
      <c r="S74" s="479">
        <v>44217</v>
      </c>
      <c r="T74" s="212" t="s">
        <v>2804</v>
      </c>
      <c r="U74" s="475">
        <v>3511208</v>
      </c>
      <c r="V74" s="406"/>
      <c r="W74" s="362"/>
      <c r="X74" s="211">
        <v>40</v>
      </c>
      <c r="Y74" s="472">
        <v>44223</v>
      </c>
      <c r="Z74" s="472">
        <v>44224</v>
      </c>
      <c r="AA74" s="472">
        <v>44282</v>
      </c>
      <c r="AB74" s="2" t="s">
        <v>2650</v>
      </c>
      <c r="AC74" s="211">
        <v>461</v>
      </c>
      <c r="AD74" s="2">
        <v>1030697600</v>
      </c>
      <c r="AE74" s="212" t="s">
        <v>2805</v>
      </c>
      <c r="AF74" s="473">
        <v>3511208</v>
      </c>
      <c r="AG74" s="474">
        <f t="shared" si="1"/>
        <v>0</v>
      </c>
      <c r="AI74" s="475">
        <v>175560</v>
      </c>
      <c r="AJ74" s="475">
        <v>1755604</v>
      </c>
      <c r="AK74" s="475">
        <v>1580044</v>
      </c>
      <c r="AM74" s="212"/>
    </row>
    <row r="75" spans="1:39" hidden="1" x14ac:dyDescent="0.3">
      <c r="B75" s="477" t="s">
        <v>2683</v>
      </c>
      <c r="C75" s="212" t="s">
        <v>2646</v>
      </c>
      <c r="D75" s="212">
        <v>73</v>
      </c>
      <c r="E75" s="478">
        <v>20217000002093</v>
      </c>
      <c r="F75" s="479">
        <v>44217</v>
      </c>
      <c r="G75" s="478" t="s">
        <v>2647</v>
      </c>
      <c r="H75" s="212" t="s">
        <v>2648</v>
      </c>
      <c r="I75" s="212" t="s">
        <v>164</v>
      </c>
      <c r="J75" s="475">
        <v>11191976</v>
      </c>
      <c r="K75" s="212" t="s">
        <v>138</v>
      </c>
      <c r="L75" s="212" t="s">
        <v>139</v>
      </c>
      <c r="M75" s="212" t="s">
        <v>44</v>
      </c>
      <c r="N75" s="212" t="s">
        <v>45</v>
      </c>
      <c r="O75" s="212" t="s">
        <v>142</v>
      </c>
      <c r="P75" s="212" t="s">
        <v>43</v>
      </c>
      <c r="R75" s="212">
        <v>77</v>
      </c>
      <c r="S75" s="479">
        <v>44217</v>
      </c>
      <c r="T75" s="212" t="s">
        <v>2806</v>
      </c>
      <c r="U75" s="475">
        <v>11191976</v>
      </c>
      <c r="V75" s="406"/>
      <c r="W75" s="362"/>
      <c r="X75" s="211">
        <v>49</v>
      </c>
      <c r="Y75" s="472">
        <v>44224</v>
      </c>
      <c r="Z75" s="472">
        <v>44228</v>
      </c>
      <c r="AA75" s="472">
        <v>44311</v>
      </c>
      <c r="AB75" s="2" t="s">
        <v>2650</v>
      </c>
      <c r="AC75" s="211">
        <v>351</v>
      </c>
      <c r="AD75" s="2">
        <v>1094949319</v>
      </c>
      <c r="AE75" s="212" t="s">
        <v>2807</v>
      </c>
      <c r="AF75" s="473">
        <v>11191976</v>
      </c>
      <c r="AG75" s="474">
        <f t="shared" si="1"/>
        <v>0</v>
      </c>
      <c r="AM75" s="212"/>
    </row>
    <row r="76" spans="1:39" hidden="1" x14ac:dyDescent="0.3">
      <c r="B76" s="477" t="s">
        <v>2683</v>
      </c>
      <c r="C76" s="212" t="s">
        <v>2646</v>
      </c>
      <c r="D76" s="212">
        <v>74</v>
      </c>
      <c r="E76" s="478">
        <v>20217000002103</v>
      </c>
      <c r="F76" s="479">
        <v>44217</v>
      </c>
      <c r="G76" s="478" t="s">
        <v>2647</v>
      </c>
      <c r="H76" s="212" t="s">
        <v>2648</v>
      </c>
      <c r="I76" s="212" t="s">
        <v>164</v>
      </c>
      <c r="J76" s="475">
        <v>7505000</v>
      </c>
      <c r="K76" s="212" t="s">
        <v>138</v>
      </c>
      <c r="L76" s="212" t="s">
        <v>139</v>
      </c>
      <c r="M76" s="212" t="s">
        <v>44</v>
      </c>
      <c r="N76" s="212" t="s">
        <v>45</v>
      </c>
      <c r="O76" s="212" t="s">
        <v>142</v>
      </c>
      <c r="P76" s="212" t="s">
        <v>43</v>
      </c>
      <c r="R76" s="212">
        <v>78</v>
      </c>
      <c r="S76" s="479">
        <v>44217</v>
      </c>
      <c r="T76" s="212" t="s">
        <v>2808</v>
      </c>
      <c r="U76" s="475">
        <v>7505000</v>
      </c>
      <c r="V76" s="406"/>
      <c r="W76" s="362"/>
      <c r="X76" s="308">
        <v>81</v>
      </c>
      <c r="Y76" s="484">
        <v>44232</v>
      </c>
      <c r="Z76" s="484">
        <v>44241</v>
      </c>
      <c r="AA76" s="484">
        <v>44295</v>
      </c>
      <c r="AB76" s="485" t="s">
        <v>2650</v>
      </c>
      <c r="AC76" s="211">
        <v>497</v>
      </c>
      <c r="AD76" s="487">
        <v>1049647713</v>
      </c>
      <c r="AE76" s="486" t="s">
        <v>2809</v>
      </c>
      <c r="AF76" s="473">
        <v>7505000</v>
      </c>
      <c r="AG76" s="474">
        <f t="shared" si="1"/>
        <v>0</v>
      </c>
      <c r="AJ76" s="475">
        <v>3950000</v>
      </c>
      <c r="AK76" s="475">
        <f>2106000+1185000</f>
        <v>3291000</v>
      </c>
      <c r="AM76" s="212"/>
    </row>
    <row r="77" spans="1:39" hidden="1" x14ac:dyDescent="0.3">
      <c r="B77" s="477" t="s">
        <v>2683</v>
      </c>
      <c r="C77" s="212" t="s">
        <v>2646</v>
      </c>
      <c r="D77" s="212">
        <v>75</v>
      </c>
      <c r="E77" s="478">
        <v>20217000001733</v>
      </c>
      <c r="F77" s="479">
        <v>44217</v>
      </c>
      <c r="G77" s="478" t="s">
        <v>2647</v>
      </c>
      <c r="H77" s="212" t="s">
        <v>2648</v>
      </c>
      <c r="I77" s="212" t="s">
        <v>164</v>
      </c>
      <c r="J77" s="475">
        <v>13342605</v>
      </c>
      <c r="K77" s="212" t="s">
        <v>138</v>
      </c>
      <c r="L77" s="212" t="s">
        <v>139</v>
      </c>
      <c r="M77" s="212" t="s">
        <v>44</v>
      </c>
      <c r="N77" s="212" t="s">
        <v>45</v>
      </c>
      <c r="O77" s="212" t="s">
        <v>142</v>
      </c>
      <c r="P77" s="212" t="s">
        <v>43</v>
      </c>
      <c r="R77" s="212">
        <v>74</v>
      </c>
      <c r="S77" s="479">
        <v>44217</v>
      </c>
      <c r="T77" s="212" t="s">
        <v>2810</v>
      </c>
      <c r="U77" s="475">
        <v>13342605</v>
      </c>
      <c r="V77" s="406"/>
      <c r="W77" s="362"/>
      <c r="X77" s="308">
        <v>93</v>
      </c>
      <c r="Y77" s="484">
        <v>44235</v>
      </c>
      <c r="Z77" s="484">
        <v>44241</v>
      </c>
      <c r="AA77" s="484">
        <v>44295</v>
      </c>
      <c r="AB77" s="485" t="s">
        <v>2650</v>
      </c>
      <c r="AC77" s="211">
        <v>481</v>
      </c>
      <c r="AD77" s="487">
        <v>79956761</v>
      </c>
      <c r="AE77" s="486" t="s">
        <v>2811</v>
      </c>
      <c r="AF77" s="473">
        <v>13342605</v>
      </c>
      <c r="AG77" s="474">
        <f t="shared" si="1"/>
        <v>0</v>
      </c>
      <c r="AJ77" s="475">
        <v>7022424</v>
      </c>
      <c r="AK77" s="475">
        <v>6320181</v>
      </c>
      <c r="AM77" s="212"/>
    </row>
    <row r="78" spans="1:39" hidden="1" x14ac:dyDescent="0.3">
      <c r="B78" s="477" t="s">
        <v>2683</v>
      </c>
      <c r="C78" s="212" t="s">
        <v>2646</v>
      </c>
      <c r="D78" s="212">
        <v>76</v>
      </c>
      <c r="E78" s="478">
        <v>20217000001723</v>
      </c>
      <c r="F78" s="479">
        <v>44217</v>
      </c>
      <c r="G78" s="478" t="s">
        <v>2647</v>
      </c>
      <c r="H78" s="212" t="s">
        <v>2648</v>
      </c>
      <c r="I78" s="212" t="s">
        <v>164</v>
      </c>
      <c r="J78" s="475">
        <v>13342605</v>
      </c>
      <c r="K78" s="212" t="s">
        <v>138</v>
      </c>
      <c r="L78" s="212" t="s">
        <v>139</v>
      </c>
      <c r="M78" s="212" t="s">
        <v>44</v>
      </c>
      <c r="N78" s="212" t="s">
        <v>45</v>
      </c>
      <c r="O78" s="212" t="s">
        <v>142</v>
      </c>
      <c r="P78" s="212" t="s">
        <v>43</v>
      </c>
      <c r="R78" s="212">
        <v>73</v>
      </c>
      <c r="S78" s="479">
        <v>44217</v>
      </c>
      <c r="T78" s="212" t="s">
        <v>2812</v>
      </c>
      <c r="U78" s="475">
        <v>13342605</v>
      </c>
      <c r="V78" s="406"/>
      <c r="W78" s="362"/>
      <c r="X78" s="483">
        <v>126</v>
      </c>
      <c r="Y78" s="484">
        <v>44239</v>
      </c>
      <c r="Z78" s="484">
        <v>44241</v>
      </c>
      <c r="AA78" s="484">
        <v>44295</v>
      </c>
      <c r="AB78" s="485" t="s">
        <v>2650</v>
      </c>
      <c r="AC78" s="483">
        <v>487</v>
      </c>
      <c r="AD78" s="485">
        <v>80393754</v>
      </c>
      <c r="AE78" s="486" t="s">
        <v>2813</v>
      </c>
      <c r="AF78" s="473">
        <v>13342605</v>
      </c>
      <c r="AG78" s="474">
        <f t="shared" si="1"/>
        <v>0</v>
      </c>
      <c r="AJ78" s="475">
        <v>7022424</v>
      </c>
      <c r="AK78" s="475">
        <v>3979374</v>
      </c>
      <c r="AM78" s="306">
        <v>2106727</v>
      </c>
    </row>
    <row r="79" spans="1:39" hidden="1" x14ac:dyDescent="0.3">
      <c r="B79" s="477" t="s">
        <v>2683</v>
      </c>
      <c r="C79" s="212" t="s">
        <v>2646</v>
      </c>
      <c r="D79" s="212">
        <v>77</v>
      </c>
      <c r="E79" s="478">
        <v>20217000001753</v>
      </c>
      <c r="F79" s="479">
        <v>44217</v>
      </c>
      <c r="G79" s="478" t="s">
        <v>2647</v>
      </c>
      <c r="H79" s="212" t="s">
        <v>2648</v>
      </c>
      <c r="I79" s="212" t="s">
        <v>164</v>
      </c>
      <c r="J79" s="475">
        <v>13342605</v>
      </c>
      <c r="K79" s="212" t="s">
        <v>138</v>
      </c>
      <c r="L79" s="212" t="s">
        <v>139</v>
      </c>
      <c r="M79" s="212" t="s">
        <v>44</v>
      </c>
      <c r="N79" s="212" t="s">
        <v>45</v>
      </c>
      <c r="O79" s="212" t="s">
        <v>142</v>
      </c>
      <c r="P79" s="212" t="s">
        <v>43</v>
      </c>
      <c r="R79" s="212">
        <v>75</v>
      </c>
      <c r="S79" s="479">
        <v>44217</v>
      </c>
      <c r="T79" s="212" t="s">
        <v>2814</v>
      </c>
      <c r="U79" s="475">
        <v>13342605</v>
      </c>
      <c r="V79" s="406"/>
      <c r="W79" s="362"/>
      <c r="X79" s="308">
        <v>96</v>
      </c>
      <c r="Y79" s="484">
        <v>44235</v>
      </c>
      <c r="Z79" s="484">
        <v>44241</v>
      </c>
      <c r="AA79" s="484">
        <v>44295</v>
      </c>
      <c r="AB79" s="485" t="s">
        <v>2650</v>
      </c>
      <c r="AC79" s="211">
        <v>480</v>
      </c>
      <c r="AD79" s="487">
        <v>79504573</v>
      </c>
      <c r="AE79" s="486" t="s">
        <v>2815</v>
      </c>
      <c r="AF79" s="473">
        <v>13342605</v>
      </c>
      <c r="AG79" s="474">
        <f t="shared" si="1"/>
        <v>0</v>
      </c>
      <c r="AJ79" s="475">
        <v>7022424</v>
      </c>
      <c r="AK79" s="475">
        <v>6320181</v>
      </c>
      <c r="AM79" s="212"/>
    </row>
    <row r="80" spans="1:39" hidden="1" x14ac:dyDescent="0.3">
      <c r="B80" s="477" t="s">
        <v>2683</v>
      </c>
      <c r="C80" s="212" t="s">
        <v>2646</v>
      </c>
      <c r="D80" s="212">
        <v>78</v>
      </c>
      <c r="E80" s="478">
        <v>20217000002233</v>
      </c>
      <c r="F80" s="479">
        <v>44217</v>
      </c>
      <c r="G80" s="478" t="s">
        <v>2647</v>
      </c>
      <c r="H80" s="212" t="s">
        <v>2648</v>
      </c>
      <c r="I80" s="212" t="s">
        <v>164</v>
      </c>
      <c r="J80" s="475">
        <v>8295237</v>
      </c>
      <c r="K80" s="212" t="s">
        <v>138</v>
      </c>
      <c r="L80" s="212" t="s">
        <v>139</v>
      </c>
      <c r="M80" s="212" t="s">
        <v>44</v>
      </c>
      <c r="N80" s="212" t="s">
        <v>45</v>
      </c>
      <c r="O80" s="212" t="s">
        <v>142</v>
      </c>
      <c r="P80" s="212" t="s">
        <v>43</v>
      </c>
      <c r="R80" s="212">
        <v>79</v>
      </c>
      <c r="S80" s="479">
        <v>44217</v>
      </c>
      <c r="T80" s="212" t="s">
        <v>2816</v>
      </c>
      <c r="U80" s="475">
        <v>8295237</v>
      </c>
      <c r="V80" s="406"/>
      <c r="W80" s="362"/>
      <c r="X80" s="211">
        <v>50</v>
      </c>
      <c r="Y80" s="472">
        <v>44224</v>
      </c>
      <c r="Z80" s="472">
        <v>44227</v>
      </c>
      <c r="AA80" s="472">
        <v>44289</v>
      </c>
      <c r="AB80" s="2" t="s">
        <v>2650</v>
      </c>
      <c r="AC80" s="211">
        <v>452</v>
      </c>
      <c r="AD80" s="2">
        <v>1022366551</v>
      </c>
      <c r="AE80" s="212" t="s">
        <v>2817</v>
      </c>
      <c r="AF80" s="473">
        <v>8295237</v>
      </c>
      <c r="AG80" s="474">
        <f t="shared" si="1"/>
        <v>0</v>
      </c>
      <c r="AJ80" s="475">
        <v>3950113</v>
      </c>
      <c r="AK80" s="475">
        <v>3950113</v>
      </c>
      <c r="AL80" s="475">
        <v>395011</v>
      </c>
      <c r="AM80" s="212"/>
    </row>
    <row r="81" spans="1:39" hidden="1" x14ac:dyDescent="0.3">
      <c r="B81" s="477" t="s">
        <v>2683</v>
      </c>
      <c r="C81" s="212" t="s">
        <v>2646</v>
      </c>
      <c r="D81" s="212">
        <v>79</v>
      </c>
      <c r="E81" s="478">
        <v>20211300002373</v>
      </c>
      <c r="F81" s="479">
        <v>44218</v>
      </c>
      <c r="G81" s="478" t="s">
        <v>2647</v>
      </c>
      <c r="H81" s="212" t="s">
        <v>2648</v>
      </c>
      <c r="I81" s="212" t="s">
        <v>210</v>
      </c>
      <c r="J81" s="475">
        <v>17259563</v>
      </c>
      <c r="K81" s="212" t="s">
        <v>138</v>
      </c>
      <c r="L81" s="212" t="s">
        <v>139</v>
      </c>
      <c r="M81" s="212" t="s">
        <v>44</v>
      </c>
      <c r="N81" s="212" t="s">
        <v>45</v>
      </c>
      <c r="O81" s="212" t="s">
        <v>142</v>
      </c>
      <c r="P81" s="212" t="s">
        <v>43</v>
      </c>
      <c r="R81" s="212">
        <v>81</v>
      </c>
      <c r="S81" s="479">
        <v>44218</v>
      </c>
      <c r="T81" s="212" t="s">
        <v>2818</v>
      </c>
      <c r="U81" s="475">
        <v>17259563</v>
      </c>
      <c r="V81" s="406"/>
      <c r="W81" s="362"/>
      <c r="X81" s="308">
        <v>62</v>
      </c>
      <c r="Y81" s="472">
        <v>44229</v>
      </c>
      <c r="Z81" s="472">
        <v>44230</v>
      </c>
      <c r="AA81" s="472">
        <v>44294</v>
      </c>
      <c r="AB81" s="2" t="s">
        <v>2650</v>
      </c>
      <c r="AC81" s="211">
        <v>424</v>
      </c>
      <c r="AD81" s="2">
        <v>52164280</v>
      </c>
      <c r="AE81" s="212" t="s">
        <v>2819</v>
      </c>
      <c r="AF81" s="473">
        <v>17259563</v>
      </c>
      <c r="AG81" s="474">
        <f t="shared" si="1"/>
        <v>0</v>
      </c>
      <c r="AJ81" s="475">
        <v>7845256</v>
      </c>
      <c r="AK81" s="475">
        <v>7845256</v>
      </c>
      <c r="AL81" s="475">
        <v>1569051</v>
      </c>
      <c r="AM81" s="212"/>
    </row>
    <row r="82" spans="1:39" hidden="1" x14ac:dyDescent="0.3">
      <c r="B82" s="477" t="s">
        <v>2683</v>
      </c>
      <c r="C82" s="212" t="s">
        <v>2646</v>
      </c>
      <c r="D82" s="212">
        <v>80</v>
      </c>
      <c r="E82" s="478">
        <v>20217000002393</v>
      </c>
      <c r="F82" s="479">
        <v>44218</v>
      </c>
      <c r="G82" s="478" t="s">
        <v>2647</v>
      </c>
      <c r="H82" s="212" t="s">
        <v>2648</v>
      </c>
      <c r="I82" s="212" t="s">
        <v>164</v>
      </c>
      <c r="J82" s="475">
        <v>3950109</v>
      </c>
      <c r="K82" s="212" t="s">
        <v>138</v>
      </c>
      <c r="L82" s="212" t="s">
        <v>139</v>
      </c>
      <c r="M82" s="212" t="s">
        <v>44</v>
      </c>
      <c r="N82" s="212" t="s">
        <v>45</v>
      </c>
      <c r="O82" s="212" t="s">
        <v>142</v>
      </c>
      <c r="P82" s="212" t="s">
        <v>43</v>
      </c>
      <c r="R82" s="212">
        <v>82</v>
      </c>
      <c r="S82" s="479">
        <v>44218</v>
      </c>
      <c r="T82" s="212" t="s">
        <v>2820</v>
      </c>
      <c r="U82" s="475">
        <v>3950109</v>
      </c>
      <c r="V82" s="406"/>
      <c r="W82" s="362"/>
      <c r="X82" s="211">
        <v>34</v>
      </c>
      <c r="Y82" s="472">
        <v>44223</v>
      </c>
      <c r="Z82" s="472">
        <v>44223</v>
      </c>
      <c r="AA82" s="472">
        <v>44268</v>
      </c>
      <c r="AB82" s="2" t="s">
        <v>2650</v>
      </c>
      <c r="AC82" s="211">
        <v>539</v>
      </c>
      <c r="AD82" s="2">
        <v>1000018614</v>
      </c>
      <c r="AE82" s="212" t="s">
        <v>2821</v>
      </c>
      <c r="AF82" s="473">
        <v>3950109</v>
      </c>
      <c r="AG82" s="474">
        <f t="shared" si="1"/>
        <v>0</v>
      </c>
      <c r="AI82" s="475">
        <v>2633406</v>
      </c>
      <c r="AJ82" s="475">
        <v>438901</v>
      </c>
      <c r="AK82" s="475">
        <v>877802</v>
      </c>
      <c r="AM82" s="212"/>
    </row>
    <row r="83" spans="1:39" hidden="1" x14ac:dyDescent="0.3">
      <c r="B83" s="477" t="s">
        <v>2683</v>
      </c>
      <c r="C83" s="212" t="s">
        <v>2646</v>
      </c>
      <c r="D83" s="212">
        <v>81</v>
      </c>
      <c r="E83" s="478">
        <v>20217000002953</v>
      </c>
      <c r="F83" s="479">
        <v>44221</v>
      </c>
      <c r="G83" s="478" t="s">
        <v>2647</v>
      </c>
      <c r="H83" s="212" t="s">
        <v>2648</v>
      </c>
      <c r="I83" s="212" t="s">
        <v>164</v>
      </c>
      <c r="J83" s="475">
        <v>6144614</v>
      </c>
      <c r="K83" s="212" t="s">
        <v>138</v>
      </c>
      <c r="L83" s="212" t="s">
        <v>139</v>
      </c>
      <c r="M83" s="212" t="s">
        <v>44</v>
      </c>
      <c r="N83" s="212" t="s">
        <v>45</v>
      </c>
      <c r="O83" s="212" t="s">
        <v>142</v>
      </c>
      <c r="P83" s="212" t="s">
        <v>43</v>
      </c>
      <c r="R83" s="212">
        <v>86</v>
      </c>
      <c r="S83" s="479">
        <v>44221</v>
      </c>
      <c r="T83" s="212" t="s">
        <v>2822</v>
      </c>
      <c r="U83" s="475">
        <v>6144614</v>
      </c>
      <c r="V83" s="406"/>
      <c r="W83" s="362"/>
      <c r="X83" s="211">
        <v>38</v>
      </c>
      <c r="Y83" s="472">
        <v>44223</v>
      </c>
      <c r="Z83" s="472">
        <v>44224</v>
      </c>
      <c r="AA83" s="472">
        <v>44282</v>
      </c>
      <c r="AB83" s="2" t="s">
        <v>2650</v>
      </c>
      <c r="AC83" s="211">
        <v>462</v>
      </c>
      <c r="AD83" s="2">
        <v>1023866928</v>
      </c>
      <c r="AE83" s="212" t="s">
        <v>2823</v>
      </c>
      <c r="AF83" s="473">
        <v>6144614</v>
      </c>
      <c r="AG83" s="474">
        <f t="shared" si="1"/>
        <v>0</v>
      </c>
      <c r="AI83" s="475">
        <v>307230</v>
      </c>
      <c r="AJ83" s="475">
        <v>3072307</v>
      </c>
      <c r="AK83" s="475">
        <v>2765077</v>
      </c>
      <c r="AM83" s="212"/>
    </row>
    <row r="84" spans="1:39" hidden="1" x14ac:dyDescent="0.3">
      <c r="A84" s="476" t="s">
        <v>2373</v>
      </c>
      <c r="B84" s="477">
        <v>34978255</v>
      </c>
      <c r="C84" s="212" t="s">
        <v>2646</v>
      </c>
      <c r="D84" s="212">
        <v>82</v>
      </c>
      <c r="E84" s="478">
        <v>20211300002983</v>
      </c>
      <c r="F84" s="479">
        <v>44221</v>
      </c>
      <c r="G84" s="478" t="s">
        <v>2647</v>
      </c>
      <c r="H84" s="212" t="s">
        <v>2648</v>
      </c>
      <c r="I84" s="212" t="s">
        <v>210</v>
      </c>
      <c r="J84" s="475">
        <v>29981361</v>
      </c>
      <c r="K84" s="212" t="s">
        <v>138</v>
      </c>
      <c r="L84" s="212" t="s">
        <v>139</v>
      </c>
      <c r="M84" s="212" t="s">
        <v>44</v>
      </c>
      <c r="N84" s="212" t="s">
        <v>45</v>
      </c>
      <c r="O84" s="212" t="s">
        <v>142</v>
      </c>
      <c r="P84" s="212" t="s">
        <v>43</v>
      </c>
      <c r="R84" s="212">
        <v>87</v>
      </c>
      <c r="S84" s="479">
        <v>44221</v>
      </c>
      <c r="T84" s="212" t="s">
        <v>2824</v>
      </c>
      <c r="U84" s="475">
        <v>29981361</v>
      </c>
      <c r="V84" s="406"/>
      <c r="W84" s="362"/>
      <c r="X84" s="308">
        <v>71</v>
      </c>
      <c r="Y84" s="472">
        <v>44230</v>
      </c>
      <c r="Z84" s="472">
        <v>44230</v>
      </c>
      <c r="AA84" s="472">
        <v>44411</v>
      </c>
      <c r="AB84" s="2" t="s">
        <v>2650</v>
      </c>
      <c r="AC84" s="211">
        <v>37</v>
      </c>
      <c r="AD84" s="2">
        <v>52951520</v>
      </c>
      <c r="AE84" s="212" t="s">
        <v>2825</v>
      </c>
      <c r="AF84" s="473">
        <v>29981358</v>
      </c>
      <c r="AG84" s="474">
        <f t="shared" si="1"/>
        <v>3</v>
      </c>
      <c r="AJ84" s="475">
        <v>4164078</v>
      </c>
      <c r="AK84" s="475">
        <v>4996893</v>
      </c>
      <c r="AL84" s="475">
        <v>4996893</v>
      </c>
      <c r="AM84" s="306">
        <v>4996893</v>
      </c>
    </row>
    <row r="85" spans="1:39" hidden="1" x14ac:dyDescent="0.3">
      <c r="B85" s="477" t="s">
        <v>2683</v>
      </c>
      <c r="C85" s="212" t="s">
        <v>2646</v>
      </c>
      <c r="D85" s="212">
        <v>83</v>
      </c>
      <c r="E85" s="478">
        <v>20217000002933</v>
      </c>
      <c r="F85" s="479">
        <v>44221</v>
      </c>
      <c r="G85" s="478" t="s">
        <v>2647</v>
      </c>
      <c r="H85" s="212" t="s">
        <v>2648</v>
      </c>
      <c r="I85" s="212" t="s">
        <v>164</v>
      </c>
      <c r="J85" s="475">
        <v>10665294</v>
      </c>
      <c r="K85" s="212" t="s">
        <v>138</v>
      </c>
      <c r="L85" s="212" t="s">
        <v>139</v>
      </c>
      <c r="M85" s="212" t="s">
        <v>44</v>
      </c>
      <c r="N85" s="212" t="s">
        <v>45</v>
      </c>
      <c r="O85" s="212" t="s">
        <v>142</v>
      </c>
      <c r="P85" s="212" t="s">
        <v>43</v>
      </c>
      <c r="R85" s="212">
        <v>85</v>
      </c>
      <c r="S85" s="479">
        <v>44221</v>
      </c>
      <c r="T85" s="212" t="s">
        <v>2826</v>
      </c>
      <c r="U85" s="475">
        <v>10665294</v>
      </c>
      <c r="V85" s="406"/>
      <c r="W85" s="362"/>
      <c r="X85" s="308">
        <v>54</v>
      </c>
      <c r="Y85" s="472">
        <v>44228</v>
      </c>
      <c r="Z85" s="472">
        <v>44228</v>
      </c>
      <c r="AA85" s="472">
        <v>44307</v>
      </c>
      <c r="AB85" s="2" t="s">
        <v>2650</v>
      </c>
      <c r="AC85" s="211">
        <v>366</v>
      </c>
      <c r="AD85" s="2">
        <v>1030555134</v>
      </c>
      <c r="AE85" s="212" t="s">
        <v>2827</v>
      </c>
      <c r="AF85" s="473">
        <v>10665294</v>
      </c>
      <c r="AG85" s="474">
        <f t="shared" si="1"/>
        <v>0</v>
      </c>
      <c r="AJ85" s="475">
        <v>3950109</v>
      </c>
      <c r="AK85" s="475">
        <v>3950109</v>
      </c>
      <c r="AL85" s="475">
        <v>2765076</v>
      </c>
      <c r="AM85" s="212"/>
    </row>
    <row r="86" spans="1:39" hidden="1" x14ac:dyDescent="0.3">
      <c r="B86" s="477" t="s">
        <v>2683</v>
      </c>
      <c r="C86" s="212" t="s">
        <v>2646</v>
      </c>
      <c r="D86" s="212">
        <v>84</v>
      </c>
      <c r="E86" s="478">
        <v>20213000002733</v>
      </c>
      <c r="F86" s="479">
        <v>44221</v>
      </c>
      <c r="G86" s="478" t="s">
        <v>2640</v>
      </c>
      <c r="H86" s="212" t="s">
        <v>2641</v>
      </c>
      <c r="I86" s="212" t="s">
        <v>432</v>
      </c>
      <c r="J86" s="475">
        <v>14000000</v>
      </c>
      <c r="K86" s="212" t="s">
        <v>358</v>
      </c>
      <c r="L86" s="212" t="s">
        <v>2791</v>
      </c>
      <c r="M86" s="212" t="s">
        <v>44</v>
      </c>
      <c r="N86" s="212" t="s">
        <v>45</v>
      </c>
      <c r="O86" s="212" t="s">
        <v>63</v>
      </c>
      <c r="P86" s="212" t="s">
        <v>674</v>
      </c>
      <c r="R86" s="212">
        <v>83</v>
      </c>
      <c r="S86" s="479">
        <v>44221</v>
      </c>
      <c r="T86" s="212" t="s">
        <v>2828</v>
      </c>
      <c r="U86" s="475">
        <v>14000000</v>
      </c>
      <c r="V86" s="406"/>
      <c r="W86" s="362"/>
      <c r="X86" s="211">
        <v>43</v>
      </c>
      <c r="Y86" s="472">
        <v>44224</v>
      </c>
      <c r="Z86" s="472">
        <v>44225</v>
      </c>
      <c r="AA86" s="472">
        <v>44283</v>
      </c>
      <c r="AB86" s="2" t="s">
        <v>2650</v>
      </c>
      <c r="AC86" s="211">
        <v>473</v>
      </c>
      <c r="AD86" s="2">
        <v>79861695</v>
      </c>
      <c r="AE86" s="212" t="s">
        <v>2829</v>
      </c>
      <c r="AF86" s="473">
        <v>14000000</v>
      </c>
      <c r="AG86" s="474">
        <f t="shared" si="1"/>
        <v>0</v>
      </c>
      <c r="AI86" s="480">
        <v>7000000</v>
      </c>
      <c r="AJ86" s="475">
        <v>7000000</v>
      </c>
      <c r="AM86" s="212"/>
    </row>
    <row r="87" spans="1:39" hidden="1" x14ac:dyDescent="0.3">
      <c r="B87" s="477" t="s">
        <v>2683</v>
      </c>
      <c r="C87" s="212" t="s">
        <v>2646</v>
      </c>
      <c r="D87" s="212">
        <v>85</v>
      </c>
      <c r="E87" s="478">
        <v>20213000002743</v>
      </c>
      <c r="F87" s="479">
        <v>44221</v>
      </c>
      <c r="G87" s="478" t="s">
        <v>2640</v>
      </c>
      <c r="H87" s="212" t="s">
        <v>2641</v>
      </c>
      <c r="I87" s="212" t="s">
        <v>432</v>
      </c>
      <c r="J87" s="475">
        <v>16000000</v>
      </c>
      <c r="K87" s="212" t="s">
        <v>358</v>
      </c>
      <c r="L87" s="212" t="s">
        <v>2791</v>
      </c>
      <c r="M87" s="212" t="s">
        <v>44</v>
      </c>
      <c r="N87" s="212" t="s">
        <v>45</v>
      </c>
      <c r="O87" s="212" t="s">
        <v>63</v>
      </c>
      <c r="P87" s="212" t="s">
        <v>674</v>
      </c>
      <c r="R87" s="212">
        <v>84</v>
      </c>
      <c r="S87" s="479">
        <v>44221</v>
      </c>
      <c r="T87" s="212" t="s">
        <v>2830</v>
      </c>
      <c r="U87" s="475">
        <v>16000000</v>
      </c>
      <c r="V87" s="406"/>
      <c r="W87" s="362"/>
      <c r="X87" s="211">
        <v>37</v>
      </c>
      <c r="Y87" s="472">
        <v>44223</v>
      </c>
      <c r="Z87" s="472">
        <v>44224</v>
      </c>
      <c r="AA87" s="472">
        <v>44282</v>
      </c>
      <c r="AB87" s="2" t="s">
        <v>2650</v>
      </c>
      <c r="AC87" s="211">
        <v>464</v>
      </c>
      <c r="AD87" s="2">
        <v>79913115</v>
      </c>
      <c r="AE87" s="212" t="s">
        <v>2831</v>
      </c>
      <c r="AF87" s="473">
        <v>16000000</v>
      </c>
      <c r="AG87" s="474">
        <f t="shared" si="1"/>
        <v>0</v>
      </c>
      <c r="AI87" s="480">
        <v>8000000</v>
      </c>
      <c r="AJ87" s="475">
        <v>8000000</v>
      </c>
      <c r="AM87" s="212"/>
    </row>
    <row r="88" spans="1:39" hidden="1" x14ac:dyDescent="0.3">
      <c r="A88" s="476" t="s">
        <v>2138</v>
      </c>
      <c r="B88" s="477">
        <v>32706000</v>
      </c>
      <c r="C88" s="212" t="s">
        <v>2646</v>
      </c>
      <c r="D88" s="212">
        <v>86</v>
      </c>
      <c r="E88" s="478">
        <v>20211400001513</v>
      </c>
      <c r="F88" s="479">
        <v>44214</v>
      </c>
      <c r="G88" s="478" t="s">
        <v>2647</v>
      </c>
      <c r="H88" s="212" t="s">
        <v>2648</v>
      </c>
      <c r="I88" s="212" t="s">
        <v>184</v>
      </c>
      <c r="J88" s="475">
        <v>32706000</v>
      </c>
      <c r="K88" s="212" t="s">
        <v>138</v>
      </c>
      <c r="L88" s="212" t="s">
        <v>2652</v>
      </c>
      <c r="M88" s="212" t="s">
        <v>44</v>
      </c>
      <c r="N88" s="212" t="s">
        <v>45</v>
      </c>
      <c r="O88" s="212" t="s">
        <v>142</v>
      </c>
      <c r="P88" s="212" t="s">
        <v>43</v>
      </c>
      <c r="R88" s="212">
        <v>63</v>
      </c>
      <c r="S88" s="479">
        <v>44214</v>
      </c>
      <c r="T88" s="212" t="s">
        <v>2832</v>
      </c>
      <c r="U88" s="475">
        <v>32706000</v>
      </c>
      <c r="V88" s="406"/>
      <c r="W88" s="362"/>
      <c r="X88" s="308">
        <v>211</v>
      </c>
      <c r="Y88" s="484">
        <v>44256</v>
      </c>
      <c r="Z88" s="484">
        <v>44256</v>
      </c>
      <c r="AA88" s="484">
        <v>44499</v>
      </c>
      <c r="AB88" s="485" t="s">
        <v>2650</v>
      </c>
      <c r="AC88" s="211">
        <v>140</v>
      </c>
      <c r="AD88" s="485" t="s">
        <v>2833</v>
      </c>
      <c r="AE88" s="486" t="s">
        <v>2834</v>
      </c>
      <c r="AF88" s="473">
        <v>32706000</v>
      </c>
      <c r="AG88" s="474">
        <f t="shared" si="1"/>
        <v>0</v>
      </c>
      <c r="AK88" s="475">
        <v>4088250</v>
      </c>
      <c r="AL88" s="475">
        <v>4088250</v>
      </c>
      <c r="AM88" s="306">
        <v>4088250</v>
      </c>
    </row>
    <row r="89" spans="1:39" hidden="1" x14ac:dyDescent="0.3">
      <c r="B89" s="477" t="s">
        <v>2683</v>
      </c>
      <c r="C89" s="212" t="s">
        <v>2835</v>
      </c>
      <c r="D89" s="212">
        <v>87</v>
      </c>
      <c r="E89" s="478">
        <v>20214000003193</v>
      </c>
      <c r="F89" s="479">
        <v>44222</v>
      </c>
      <c r="G89" s="478" t="s">
        <v>2680</v>
      </c>
      <c r="H89" s="212" t="s">
        <v>2681</v>
      </c>
      <c r="I89" s="212" t="s">
        <v>47</v>
      </c>
      <c r="J89" s="475">
        <v>497451486</v>
      </c>
      <c r="K89" s="212" t="s">
        <v>37</v>
      </c>
      <c r="L89" s="212" t="s">
        <v>2682</v>
      </c>
      <c r="M89" s="212" t="s">
        <v>44</v>
      </c>
      <c r="N89" s="212" t="s">
        <v>45</v>
      </c>
      <c r="O89" s="212" t="s">
        <v>310</v>
      </c>
      <c r="P89" s="212" t="s">
        <v>43</v>
      </c>
      <c r="R89" s="212">
        <v>90</v>
      </c>
      <c r="S89" s="479">
        <v>44222</v>
      </c>
      <c r="T89" s="212" t="s">
        <v>2836</v>
      </c>
      <c r="U89" s="489">
        <v>497451486</v>
      </c>
      <c r="V89" s="406"/>
      <c r="W89" s="362"/>
      <c r="X89" s="308">
        <v>56</v>
      </c>
      <c r="Y89" s="472">
        <v>44228</v>
      </c>
      <c r="Z89" s="472">
        <v>44228</v>
      </c>
      <c r="AA89" s="472">
        <v>44407</v>
      </c>
      <c r="AB89" s="2" t="s">
        <v>2837</v>
      </c>
      <c r="AC89" s="211">
        <v>244</v>
      </c>
      <c r="AD89" s="2">
        <v>860041968</v>
      </c>
      <c r="AE89" s="212" t="s">
        <v>2838</v>
      </c>
      <c r="AF89" s="473">
        <v>497451486</v>
      </c>
      <c r="AG89" s="474">
        <f t="shared" si="1"/>
        <v>0</v>
      </c>
      <c r="AJ89" s="475">
        <v>91879295</v>
      </c>
      <c r="AL89" s="475">
        <v>95370708</v>
      </c>
      <c r="AM89" s="212"/>
    </row>
    <row r="90" spans="1:39" hidden="1" x14ac:dyDescent="0.3">
      <c r="B90" s="477" t="s">
        <v>2683</v>
      </c>
      <c r="C90" s="212" t="s">
        <v>2646</v>
      </c>
      <c r="D90" s="212">
        <v>88</v>
      </c>
      <c r="E90" s="478">
        <v>20217000002083</v>
      </c>
      <c r="F90" s="479">
        <v>44223</v>
      </c>
      <c r="G90" s="478" t="s">
        <v>2647</v>
      </c>
      <c r="H90" s="212" t="s">
        <v>2648</v>
      </c>
      <c r="I90" s="212" t="s">
        <v>164</v>
      </c>
      <c r="J90" s="475">
        <v>6656672</v>
      </c>
      <c r="K90" s="212" t="s">
        <v>138</v>
      </c>
      <c r="L90" s="212" t="s">
        <v>139</v>
      </c>
      <c r="M90" s="212" t="s">
        <v>44</v>
      </c>
      <c r="N90" s="212" t="s">
        <v>45</v>
      </c>
      <c r="O90" s="212" t="s">
        <v>142</v>
      </c>
      <c r="P90" s="212" t="s">
        <v>43</v>
      </c>
      <c r="R90" s="212">
        <v>91</v>
      </c>
      <c r="S90" s="479">
        <v>44223</v>
      </c>
      <c r="T90" s="212" t="s">
        <v>2839</v>
      </c>
      <c r="U90" s="475">
        <v>6656672</v>
      </c>
      <c r="V90" s="406"/>
      <c r="W90" s="362"/>
      <c r="X90" s="211">
        <v>53</v>
      </c>
      <c r="Y90" s="472">
        <v>44225</v>
      </c>
      <c r="Z90" s="472">
        <v>44227</v>
      </c>
      <c r="AA90" s="472">
        <v>44290</v>
      </c>
      <c r="AB90" s="2" t="s">
        <v>2650</v>
      </c>
      <c r="AC90" s="211">
        <v>421</v>
      </c>
      <c r="AD90" s="2">
        <v>52207507</v>
      </c>
      <c r="AE90" s="212" t="s">
        <v>2840</v>
      </c>
      <c r="AF90" s="473">
        <v>6656672</v>
      </c>
      <c r="AG90" s="474">
        <f t="shared" si="1"/>
        <v>0</v>
      </c>
      <c r="AJ90" s="475">
        <v>3072310</v>
      </c>
      <c r="AK90" s="475">
        <v>3072310</v>
      </c>
      <c r="AL90" s="475">
        <v>512052</v>
      </c>
      <c r="AM90" s="212"/>
    </row>
    <row r="91" spans="1:39" hidden="1" x14ac:dyDescent="0.3">
      <c r="C91" s="212" t="s">
        <v>2841</v>
      </c>
      <c r="D91" s="212">
        <v>89</v>
      </c>
      <c r="E91" s="478">
        <v>20211400003253</v>
      </c>
      <c r="F91" s="479">
        <v>44223</v>
      </c>
      <c r="G91" s="478" t="s">
        <v>2647</v>
      </c>
      <c r="H91" s="212" t="s">
        <v>2648</v>
      </c>
      <c r="I91" s="212" t="s">
        <v>184</v>
      </c>
      <c r="J91" s="475">
        <v>27877000</v>
      </c>
      <c r="K91" s="212" t="s">
        <v>138</v>
      </c>
      <c r="L91" s="212" t="s">
        <v>2652</v>
      </c>
      <c r="M91" s="212" t="s">
        <v>2842</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2692</v>
      </c>
      <c r="AC91" s="211">
        <v>3543</v>
      </c>
      <c r="AD91" s="2">
        <v>899999115</v>
      </c>
      <c r="AE91" s="212" t="s">
        <v>2843</v>
      </c>
      <c r="AF91" s="473">
        <v>27877000</v>
      </c>
      <c r="AG91" s="474">
        <f t="shared" si="1"/>
        <v>0</v>
      </c>
      <c r="AJ91" s="481">
        <v>2884090</v>
      </c>
      <c r="AL91" s="475">
        <v>2114184</v>
      </c>
      <c r="AM91" s="306">
        <v>4220633</v>
      </c>
    </row>
    <row r="92" spans="1:39" hidden="1" x14ac:dyDescent="0.3">
      <c r="A92" s="476" t="s">
        <v>2508</v>
      </c>
      <c r="B92" s="477">
        <v>169075413</v>
      </c>
      <c r="C92" s="212" t="s">
        <v>2646</v>
      </c>
      <c r="D92" s="212">
        <v>90</v>
      </c>
      <c r="E92" s="478">
        <v>20212000001663</v>
      </c>
      <c r="F92" s="479">
        <v>44225</v>
      </c>
      <c r="G92" s="478" t="s">
        <v>2640</v>
      </c>
      <c r="H92" s="212" t="s">
        <v>2641</v>
      </c>
      <c r="I92" s="212" t="s">
        <v>391</v>
      </c>
      <c r="J92" s="475">
        <v>155814175</v>
      </c>
      <c r="K92" s="210" t="s">
        <v>2711</v>
      </c>
      <c r="L92" s="212" t="s">
        <v>2712</v>
      </c>
      <c r="M92" s="212" t="s">
        <v>44</v>
      </c>
      <c r="N92" s="212" t="s">
        <v>45</v>
      </c>
      <c r="O92" s="212" t="s">
        <v>63</v>
      </c>
      <c r="P92" s="212" t="s">
        <v>674</v>
      </c>
      <c r="R92" s="212">
        <v>94</v>
      </c>
      <c r="S92" s="479">
        <v>44225</v>
      </c>
      <c r="T92" s="212" t="s">
        <v>2844</v>
      </c>
      <c r="U92" s="475">
        <f>155814175-7082463</f>
        <v>148731712</v>
      </c>
      <c r="V92" s="411">
        <v>7082463</v>
      </c>
      <c r="W92" s="397"/>
      <c r="X92" s="308">
        <v>106</v>
      </c>
      <c r="Y92" s="484">
        <v>44236</v>
      </c>
      <c r="Z92" s="484">
        <v>44236</v>
      </c>
      <c r="AA92" s="484">
        <v>44561</v>
      </c>
      <c r="AB92" s="485" t="s">
        <v>2650</v>
      </c>
      <c r="AC92" s="211">
        <v>53</v>
      </c>
      <c r="AD92" s="487">
        <v>79577619</v>
      </c>
      <c r="AE92" s="486" t="s">
        <v>2845</v>
      </c>
      <c r="AF92" s="473">
        <v>148731712</v>
      </c>
      <c r="AG92" s="474">
        <f t="shared" si="1"/>
        <v>0</v>
      </c>
      <c r="AJ92" s="475">
        <v>8971119</v>
      </c>
      <c r="AK92" s="475">
        <v>14164925</v>
      </c>
      <c r="AL92" s="475">
        <v>14164925</v>
      </c>
      <c r="AM92" s="306">
        <v>14164925</v>
      </c>
    </row>
    <row r="93" spans="1:39" hidden="1" x14ac:dyDescent="0.3">
      <c r="A93" s="476" t="s">
        <v>2498</v>
      </c>
      <c r="B93" s="477">
        <v>64900000</v>
      </c>
      <c r="C93" s="212" t="s">
        <v>2646</v>
      </c>
      <c r="D93" s="212">
        <v>91</v>
      </c>
      <c r="E93" s="478">
        <v>20212000001673</v>
      </c>
      <c r="F93" s="479">
        <v>44225</v>
      </c>
      <c r="G93" s="478" t="s">
        <v>2640</v>
      </c>
      <c r="H93" s="212" t="s">
        <v>2641</v>
      </c>
      <c r="I93" s="212" t="s">
        <v>391</v>
      </c>
      <c r="J93" s="475">
        <v>64900000</v>
      </c>
      <c r="K93" s="210" t="s">
        <v>2711</v>
      </c>
      <c r="L93" s="212" t="s">
        <v>2712</v>
      </c>
      <c r="M93" s="212" t="s">
        <v>44</v>
      </c>
      <c r="N93" s="212" t="s">
        <v>45</v>
      </c>
      <c r="O93" s="212" t="s">
        <v>63</v>
      </c>
      <c r="P93" s="212" t="s">
        <v>674</v>
      </c>
      <c r="R93" s="212">
        <v>95</v>
      </c>
      <c r="S93" s="479">
        <v>44225</v>
      </c>
      <c r="T93" s="212" t="s">
        <v>2846</v>
      </c>
      <c r="U93" s="475">
        <f>64900000-2950000</f>
        <v>61950000</v>
      </c>
      <c r="V93" s="411">
        <v>2950000</v>
      </c>
      <c r="W93" s="397"/>
      <c r="X93" s="308">
        <v>92</v>
      </c>
      <c r="Y93" s="484">
        <v>44235</v>
      </c>
      <c r="Z93" s="484">
        <v>44235</v>
      </c>
      <c r="AA93" s="484">
        <v>44561</v>
      </c>
      <c r="AB93" s="485" t="s">
        <v>2650</v>
      </c>
      <c r="AC93" s="211">
        <v>50</v>
      </c>
      <c r="AD93" s="487">
        <v>79940456</v>
      </c>
      <c r="AE93" s="486" t="s">
        <v>2847</v>
      </c>
      <c r="AF93" s="473">
        <v>61950000</v>
      </c>
      <c r="AG93" s="474">
        <f t="shared" si="1"/>
        <v>0</v>
      </c>
      <c r="AJ93" s="475">
        <v>4130000</v>
      </c>
      <c r="AK93" s="475">
        <v>5900000</v>
      </c>
      <c r="AL93" s="475">
        <v>5900000</v>
      </c>
      <c r="AM93" s="306">
        <v>5900000</v>
      </c>
    </row>
    <row r="94" spans="1:39" hidden="1" x14ac:dyDescent="0.3">
      <c r="A94" s="476" t="s">
        <v>2500</v>
      </c>
      <c r="B94" s="477">
        <v>134074420</v>
      </c>
      <c r="C94" s="212" t="s">
        <v>2646</v>
      </c>
      <c r="D94" s="212">
        <v>92</v>
      </c>
      <c r="E94" s="478">
        <v>20212000001693</v>
      </c>
      <c r="F94" s="479">
        <v>44225</v>
      </c>
      <c r="G94" s="478" t="s">
        <v>2640</v>
      </c>
      <c r="H94" s="212" t="s">
        <v>2641</v>
      </c>
      <c r="I94" s="212" t="s">
        <v>391</v>
      </c>
      <c r="J94" s="475">
        <v>124984629</v>
      </c>
      <c r="K94" s="210" t="s">
        <v>2711</v>
      </c>
      <c r="L94" s="212" t="s">
        <v>2712</v>
      </c>
      <c r="M94" s="212" t="s">
        <v>44</v>
      </c>
      <c r="N94" s="212" t="s">
        <v>45</v>
      </c>
      <c r="O94" s="212" t="s">
        <v>63</v>
      </c>
      <c r="P94" s="212" t="s">
        <v>674</v>
      </c>
      <c r="R94" s="212">
        <v>96</v>
      </c>
      <c r="S94" s="479">
        <v>44225</v>
      </c>
      <c r="T94" s="212" t="s">
        <v>2848</v>
      </c>
      <c r="U94" s="475">
        <f>124984629-5681120</f>
        <v>119303509</v>
      </c>
      <c r="V94" s="406">
        <v>5681120</v>
      </c>
      <c r="W94" s="362"/>
      <c r="X94" s="308">
        <v>108</v>
      </c>
      <c r="Y94" s="484">
        <v>44237</v>
      </c>
      <c r="Z94" s="484">
        <v>44237</v>
      </c>
      <c r="AA94" s="484">
        <v>44561</v>
      </c>
      <c r="AB94" s="485" t="s">
        <v>2650</v>
      </c>
      <c r="AC94" s="211">
        <v>55</v>
      </c>
      <c r="AD94" s="487">
        <v>38256092</v>
      </c>
      <c r="AE94" s="486" t="s">
        <v>2849</v>
      </c>
      <c r="AF94" s="473">
        <v>119303509</v>
      </c>
      <c r="AG94" s="474">
        <f t="shared" si="1"/>
        <v>0</v>
      </c>
      <c r="AJ94" s="475">
        <v>7196085</v>
      </c>
      <c r="AK94" s="475">
        <v>11362239</v>
      </c>
      <c r="AL94" s="475">
        <v>11362239</v>
      </c>
      <c r="AM94" s="306">
        <v>11362239</v>
      </c>
    </row>
    <row r="95" spans="1:39" hidden="1" x14ac:dyDescent="0.3">
      <c r="A95" s="476" t="s">
        <v>2509</v>
      </c>
      <c r="B95" s="477">
        <v>84838051</v>
      </c>
      <c r="C95" s="212" t="s">
        <v>2646</v>
      </c>
      <c r="D95" s="212">
        <v>93</v>
      </c>
      <c r="E95" s="478">
        <v>20212000001703</v>
      </c>
      <c r="F95" s="479">
        <v>44225</v>
      </c>
      <c r="G95" s="478" t="s">
        <v>2640</v>
      </c>
      <c r="H95" s="212" t="s">
        <v>2641</v>
      </c>
      <c r="I95" s="212" t="s">
        <v>391</v>
      </c>
      <c r="J95" s="475">
        <v>83323086</v>
      </c>
      <c r="K95" s="210" t="s">
        <v>2711</v>
      </c>
      <c r="L95" s="212" t="s">
        <v>2712</v>
      </c>
      <c r="M95" s="212" t="s">
        <v>44</v>
      </c>
      <c r="N95" s="212" t="s">
        <v>45</v>
      </c>
      <c r="O95" s="212" t="s">
        <v>63</v>
      </c>
      <c r="P95" s="212" t="s">
        <v>674</v>
      </c>
      <c r="R95" s="212">
        <v>97</v>
      </c>
      <c r="S95" s="479">
        <v>44225</v>
      </c>
      <c r="T95" s="212" t="s">
        <v>2850</v>
      </c>
      <c r="U95" s="475">
        <f>83323086-3787413</f>
        <v>79535673</v>
      </c>
      <c r="V95" s="406">
        <v>3787413</v>
      </c>
      <c r="W95" s="362"/>
      <c r="X95" s="308">
        <v>89</v>
      </c>
      <c r="Y95" s="484">
        <v>44235</v>
      </c>
      <c r="Z95" s="484">
        <v>44235</v>
      </c>
      <c r="AA95" s="484">
        <v>44561</v>
      </c>
      <c r="AB95" s="485" t="s">
        <v>2650</v>
      </c>
      <c r="AC95" s="211">
        <v>45</v>
      </c>
      <c r="AD95" s="487">
        <v>51895054</v>
      </c>
      <c r="AE95" s="486" t="s">
        <v>2851</v>
      </c>
      <c r="AF95" s="473">
        <v>79535673</v>
      </c>
      <c r="AG95" s="474">
        <f t="shared" si="1"/>
        <v>0</v>
      </c>
      <c r="AJ95" s="475">
        <v>5302378</v>
      </c>
      <c r="AK95" s="475">
        <v>7574826</v>
      </c>
      <c r="AL95" s="475">
        <v>7574826</v>
      </c>
      <c r="AM95" s="306">
        <v>7574826</v>
      </c>
    </row>
    <row r="96" spans="1:39" hidden="1" x14ac:dyDescent="0.3">
      <c r="A96" s="476" t="s">
        <v>1996</v>
      </c>
      <c r="B96" s="477">
        <v>44319000</v>
      </c>
      <c r="C96" s="212" t="s">
        <v>2646</v>
      </c>
      <c r="D96" s="212">
        <v>94</v>
      </c>
      <c r="E96" s="478">
        <v>20212000002243</v>
      </c>
      <c r="F96" s="479">
        <v>44225</v>
      </c>
      <c r="G96" s="478" t="s">
        <v>2640</v>
      </c>
      <c r="H96" s="212" t="s">
        <v>2641</v>
      </c>
      <c r="I96" s="212" t="s">
        <v>391</v>
      </c>
      <c r="J96" s="475">
        <v>44319000</v>
      </c>
      <c r="K96" s="210" t="s">
        <v>2711</v>
      </c>
      <c r="L96" s="212" t="s">
        <v>2712</v>
      </c>
      <c r="M96" s="212" t="s">
        <v>44</v>
      </c>
      <c r="N96" s="212" t="s">
        <v>45</v>
      </c>
      <c r="O96" s="212" t="s">
        <v>63</v>
      </c>
      <c r="P96" s="212" t="s">
        <v>674</v>
      </c>
      <c r="R96" s="212">
        <v>98</v>
      </c>
      <c r="S96" s="479">
        <v>44225</v>
      </c>
      <c r="T96" s="212" t="s">
        <v>2852</v>
      </c>
      <c r="U96" s="475">
        <f>44319000-2014500</f>
        <v>42304500</v>
      </c>
      <c r="V96" s="406">
        <v>2014500</v>
      </c>
      <c r="W96" s="362"/>
      <c r="X96" s="483">
        <v>127</v>
      </c>
      <c r="Y96" s="484">
        <v>44239</v>
      </c>
      <c r="Z96" s="484">
        <v>44239</v>
      </c>
      <c r="AA96" s="484">
        <v>44561</v>
      </c>
      <c r="AB96" s="485" t="s">
        <v>2650</v>
      </c>
      <c r="AC96" s="483">
        <v>74</v>
      </c>
      <c r="AD96" s="485">
        <v>1026282363</v>
      </c>
      <c r="AE96" s="486" t="s">
        <v>2853</v>
      </c>
      <c r="AF96" s="473">
        <v>42304500</v>
      </c>
      <c r="AG96" s="474">
        <f t="shared" si="1"/>
        <v>0</v>
      </c>
      <c r="AJ96" s="475">
        <v>2283100</v>
      </c>
      <c r="AK96" s="475">
        <v>4029000</v>
      </c>
      <c r="AL96" s="475">
        <v>4029000</v>
      </c>
      <c r="AM96" s="306">
        <v>4029000</v>
      </c>
    </row>
    <row r="97" spans="1:39" hidden="1" x14ac:dyDescent="0.3">
      <c r="A97" s="476" t="s">
        <v>2511</v>
      </c>
      <c r="B97" s="477">
        <v>56202000</v>
      </c>
      <c r="C97" s="212" t="s">
        <v>2646</v>
      </c>
      <c r="D97" s="212">
        <v>95</v>
      </c>
      <c r="E97" s="478">
        <v>20212000002303</v>
      </c>
      <c r="F97" s="479">
        <v>44225</v>
      </c>
      <c r="G97" s="478" t="s">
        <v>2640</v>
      </c>
      <c r="H97" s="212" t="s">
        <v>2641</v>
      </c>
      <c r="I97" s="212" t="s">
        <v>391</v>
      </c>
      <c r="J97" s="475">
        <v>34800000</v>
      </c>
      <c r="K97" s="210" t="s">
        <v>2711</v>
      </c>
      <c r="L97" s="212" t="s">
        <v>2712</v>
      </c>
      <c r="M97" s="212" t="s">
        <v>44</v>
      </c>
      <c r="N97" s="212" t="s">
        <v>45</v>
      </c>
      <c r="O97" s="212" t="s">
        <v>63</v>
      </c>
      <c r="P97" s="212" t="s">
        <v>674</v>
      </c>
      <c r="R97" s="212">
        <v>99</v>
      </c>
      <c r="S97" s="479">
        <v>44225</v>
      </c>
      <c r="T97" s="212" t="s">
        <v>2854</v>
      </c>
      <c r="U97" s="475">
        <v>34800000</v>
      </c>
      <c r="V97" s="406"/>
      <c r="W97" s="362"/>
      <c r="X97" s="308">
        <v>104</v>
      </c>
      <c r="Y97" s="484">
        <v>44236</v>
      </c>
      <c r="Z97" s="484">
        <v>44236</v>
      </c>
      <c r="AA97" s="484">
        <v>44417</v>
      </c>
      <c r="AB97" s="485" t="s">
        <v>2650</v>
      </c>
      <c r="AC97" s="211">
        <v>52</v>
      </c>
      <c r="AD97" s="487">
        <v>1014176435</v>
      </c>
      <c r="AE97" s="486" t="s">
        <v>2855</v>
      </c>
      <c r="AF97" s="473">
        <v>34800000</v>
      </c>
      <c r="AG97" s="474">
        <f t="shared" si="1"/>
        <v>0</v>
      </c>
      <c r="AJ97" s="475">
        <v>3866667</v>
      </c>
      <c r="AK97" s="475">
        <v>5800000</v>
      </c>
      <c r="AL97" s="475">
        <v>5800000</v>
      </c>
      <c r="AM97" s="306">
        <v>5800000</v>
      </c>
    </row>
    <row r="98" spans="1:39" hidden="1" x14ac:dyDescent="0.3">
      <c r="A98" s="476" t="s">
        <v>2510</v>
      </c>
      <c r="B98" s="477">
        <v>39395799</v>
      </c>
      <c r="C98" s="212" t="s">
        <v>2646</v>
      </c>
      <c r="D98" s="212">
        <v>96</v>
      </c>
      <c r="E98" s="478">
        <v>20212000002313</v>
      </c>
      <c r="F98" s="479">
        <v>44225</v>
      </c>
      <c r="G98" s="478" t="s">
        <v>2640</v>
      </c>
      <c r="H98" s="212" t="s">
        <v>2641</v>
      </c>
      <c r="I98" s="212" t="s">
        <v>391</v>
      </c>
      <c r="J98" s="475">
        <v>39395796</v>
      </c>
      <c r="K98" s="210" t="s">
        <v>2711</v>
      </c>
      <c r="L98" s="212" t="s">
        <v>2712</v>
      </c>
      <c r="M98" s="212" t="s">
        <v>44</v>
      </c>
      <c r="N98" s="212" t="s">
        <v>45</v>
      </c>
      <c r="O98" s="212" t="s">
        <v>63</v>
      </c>
      <c r="P98" s="212" t="s">
        <v>674</v>
      </c>
      <c r="R98" s="212">
        <v>100</v>
      </c>
      <c r="S98" s="479">
        <v>44225</v>
      </c>
      <c r="T98" s="212" t="s">
        <v>2856</v>
      </c>
      <c r="U98" s="475">
        <f>39395796-3581436</f>
        <v>35814360</v>
      </c>
      <c r="V98" s="411">
        <v>3581436</v>
      </c>
      <c r="W98" s="397"/>
      <c r="X98" s="483">
        <v>173</v>
      </c>
      <c r="Y98" s="484">
        <v>44246</v>
      </c>
      <c r="Z98" s="484">
        <v>44246</v>
      </c>
      <c r="AA98" s="484">
        <v>44549</v>
      </c>
      <c r="AB98" s="485" t="s">
        <v>2650</v>
      </c>
      <c r="AC98" s="483">
        <v>120</v>
      </c>
      <c r="AD98" s="485">
        <v>7176892</v>
      </c>
      <c r="AE98" s="486" t="s">
        <v>2857</v>
      </c>
      <c r="AF98" s="473">
        <v>35814360</v>
      </c>
      <c r="AG98" s="474">
        <f t="shared" si="1"/>
        <v>0</v>
      </c>
      <c r="AK98" s="475">
        <v>4417104</v>
      </c>
      <c r="AL98" s="475">
        <v>3581436</v>
      </c>
      <c r="AM98" s="306">
        <v>3581436</v>
      </c>
    </row>
    <row r="99" spans="1:39" hidden="1" x14ac:dyDescent="0.3">
      <c r="A99" s="476" t="s">
        <v>2512</v>
      </c>
      <c r="B99" s="477">
        <v>48478886</v>
      </c>
      <c r="C99" s="212" t="s">
        <v>2646</v>
      </c>
      <c r="D99" s="212">
        <v>97</v>
      </c>
      <c r="E99" s="478">
        <v>20212000002323</v>
      </c>
      <c r="F99" s="479">
        <v>44225</v>
      </c>
      <c r="G99" s="478" t="s">
        <v>2640</v>
      </c>
      <c r="H99" s="212" t="s">
        <v>2641</v>
      </c>
      <c r="I99" s="212" t="s">
        <v>391</v>
      </c>
      <c r="J99" s="475">
        <v>47613192</v>
      </c>
      <c r="K99" s="210" t="s">
        <v>2711</v>
      </c>
      <c r="L99" s="212" t="s">
        <v>2712</v>
      </c>
      <c r="M99" s="212" t="s">
        <v>44</v>
      </c>
      <c r="N99" s="212" t="s">
        <v>45</v>
      </c>
      <c r="O99" s="212" t="s">
        <v>63</v>
      </c>
      <c r="P99" s="212" t="s">
        <v>674</v>
      </c>
      <c r="R99" s="212">
        <v>101</v>
      </c>
      <c r="S99" s="479">
        <v>44225</v>
      </c>
      <c r="T99" s="212" t="s">
        <v>2858</v>
      </c>
      <c r="U99" s="475">
        <f>47613192-2164236</f>
        <v>45448956</v>
      </c>
      <c r="V99" s="411">
        <v>2164236</v>
      </c>
      <c r="W99" s="397"/>
      <c r="X99" s="483">
        <v>138</v>
      </c>
      <c r="Y99" s="484">
        <v>44243</v>
      </c>
      <c r="Z99" s="484">
        <v>44243</v>
      </c>
      <c r="AA99" s="484">
        <v>44561</v>
      </c>
      <c r="AB99" s="485" t="s">
        <v>2650</v>
      </c>
      <c r="AC99" s="483">
        <v>99</v>
      </c>
      <c r="AD99" s="485">
        <v>79841545</v>
      </c>
      <c r="AE99" s="486" t="s">
        <v>2859</v>
      </c>
      <c r="AF99" s="473">
        <v>45448956</v>
      </c>
      <c r="AG99" s="474">
        <f t="shared" si="1"/>
        <v>0</v>
      </c>
      <c r="AJ99" s="475">
        <v>1731388</v>
      </c>
      <c r="AK99" s="475">
        <v>4328472</v>
      </c>
      <c r="AL99" s="475">
        <v>4328472</v>
      </c>
      <c r="AM99" s="306">
        <v>4328472</v>
      </c>
    </row>
    <row r="100" spans="1:39" hidden="1" x14ac:dyDescent="0.3">
      <c r="A100" s="476" t="s">
        <v>2499</v>
      </c>
      <c r="B100" s="477">
        <v>80896200</v>
      </c>
      <c r="C100" s="212" t="s">
        <v>2646</v>
      </c>
      <c r="D100" s="212">
        <v>98</v>
      </c>
      <c r="E100" s="478">
        <v>20212000002333</v>
      </c>
      <c r="F100" s="479">
        <v>44225</v>
      </c>
      <c r="G100" s="478" t="s">
        <v>2640</v>
      </c>
      <c r="H100" s="212" t="s">
        <v>2641</v>
      </c>
      <c r="I100" s="212" t="s">
        <v>391</v>
      </c>
      <c r="J100" s="475">
        <v>80896200</v>
      </c>
      <c r="K100" s="210" t="s">
        <v>2711</v>
      </c>
      <c r="L100" s="212" t="s">
        <v>2712</v>
      </c>
      <c r="M100" s="212" t="s">
        <v>44</v>
      </c>
      <c r="N100" s="212" t="s">
        <v>45</v>
      </c>
      <c r="O100" s="212" t="s">
        <v>63</v>
      </c>
      <c r="P100" s="212" t="s">
        <v>674</v>
      </c>
      <c r="R100" s="212">
        <v>102</v>
      </c>
      <c r="S100" s="479">
        <v>44225</v>
      </c>
      <c r="T100" s="212" t="s">
        <v>2860</v>
      </c>
      <c r="U100" s="475">
        <f>80896200-3677100</f>
        <v>77219100</v>
      </c>
      <c r="V100" s="411">
        <v>3677100</v>
      </c>
      <c r="W100" s="397"/>
      <c r="X100" s="308">
        <v>111</v>
      </c>
      <c r="Y100" s="484">
        <v>44237</v>
      </c>
      <c r="Z100" s="484">
        <v>44237</v>
      </c>
      <c r="AA100" s="484">
        <v>44561</v>
      </c>
      <c r="AB100" s="485" t="s">
        <v>2650</v>
      </c>
      <c r="AC100" s="211">
        <v>66</v>
      </c>
      <c r="AD100" s="487">
        <v>7184760</v>
      </c>
      <c r="AE100" s="486" t="s">
        <v>2861</v>
      </c>
      <c r="AF100" s="473">
        <v>77219100</v>
      </c>
      <c r="AG100" s="474">
        <f t="shared" si="1"/>
        <v>0</v>
      </c>
      <c r="AJ100" s="475">
        <v>4657660</v>
      </c>
      <c r="AK100" s="475">
        <v>7354200</v>
      </c>
      <c r="AL100" s="475">
        <v>7354200</v>
      </c>
      <c r="AM100" s="306">
        <v>7354200</v>
      </c>
    </row>
    <row r="101" spans="1:39" hidden="1" x14ac:dyDescent="0.3">
      <c r="A101" s="476" t="s">
        <v>2501</v>
      </c>
      <c r="B101" s="477">
        <v>127689924</v>
      </c>
      <c r="C101" s="212" t="s">
        <v>2646</v>
      </c>
      <c r="D101" s="212">
        <v>99</v>
      </c>
      <c r="E101" s="478">
        <v>20212000002343</v>
      </c>
      <c r="F101" s="479">
        <v>44225</v>
      </c>
      <c r="G101" s="478" t="s">
        <v>2640</v>
      </c>
      <c r="H101" s="212" t="s">
        <v>2641</v>
      </c>
      <c r="I101" s="212" t="s">
        <v>391</v>
      </c>
      <c r="J101" s="475">
        <v>119032980</v>
      </c>
      <c r="K101" s="210" t="s">
        <v>2711</v>
      </c>
      <c r="L101" s="212" t="s">
        <v>2712</v>
      </c>
      <c r="M101" s="212" t="s">
        <v>44</v>
      </c>
      <c r="N101" s="212" t="s">
        <v>45</v>
      </c>
      <c r="O101" s="212" t="s">
        <v>63</v>
      </c>
      <c r="P101" s="212" t="s">
        <v>674</v>
      </c>
      <c r="R101" s="212">
        <v>103</v>
      </c>
      <c r="S101" s="479">
        <v>44225</v>
      </c>
      <c r="T101" s="212" t="s">
        <v>2862</v>
      </c>
      <c r="U101" s="475">
        <f>119032980-5410590</f>
        <v>113622390</v>
      </c>
      <c r="V101" s="411">
        <v>5410590</v>
      </c>
      <c r="W101" s="397"/>
      <c r="X101" s="308">
        <v>112</v>
      </c>
      <c r="Y101" s="484">
        <v>44237</v>
      </c>
      <c r="Z101" s="484">
        <v>44237</v>
      </c>
      <c r="AA101" s="484">
        <v>44561</v>
      </c>
      <c r="AB101" s="485" t="s">
        <v>2650</v>
      </c>
      <c r="AC101" s="211">
        <v>67</v>
      </c>
      <c r="AD101" s="487">
        <v>24337567</v>
      </c>
      <c r="AE101" s="486" t="s">
        <v>2863</v>
      </c>
      <c r="AF101" s="473">
        <v>113622390</v>
      </c>
      <c r="AG101" s="474">
        <f t="shared" si="1"/>
        <v>0</v>
      </c>
      <c r="AK101" s="475">
        <v>6853414</v>
      </c>
      <c r="AL101" s="475">
        <v>10821180</v>
      </c>
      <c r="AM101" s="306">
        <f>10821180+10821180</f>
        <v>21642360</v>
      </c>
    </row>
    <row r="102" spans="1:39" s="312" customFormat="1" hidden="1" x14ac:dyDescent="0.3">
      <c r="A102" s="361" t="s">
        <v>2252</v>
      </c>
      <c r="B102" s="417">
        <v>59054190</v>
      </c>
      <c r="C102" s="312" t="s">
        <v>2646</v>
      </c>
      <c r="D102" s="312">
        <v>100</v>
      </c>
      <c r="E102" s="325">
        <v>20217000003363</v>
      </c>
      <c r="F102" s="315">
        <v>44225</v>
      </c>
      <c r="G102" s="325" t="s">
        <v>2647</v>
      </c>
      <c r="H102" s="312" t="s">
        <v>2648</v>
      </c>
      <c r="I102" s="312" t="s">
        <v>164</v>
      </c>
      <c r="J102" s="405">
        <v>59054190</v>
      </c>
      <c r="K102" s="312" t="s">
        <v>138</v>
      </c>
      <c r="L102" s="312" t="s">
        <v>139</v>
      </c>
      <c r="M102" s="312" t="s">
        <v>44</v>
      </c>
      <c r="N102" s="312" t="s">
        <v>45</v>
      </c>
      <c r="O102" s="312" t="s">
        <v>142</v>
      </c>
      <c r="P102" s="312" t="s">
        <v>43</v>
      </c>
      <c r="R102" s="312">
        <v>105</v>
      </c>
      <c r="S102" s="315">
        <v>44225</v>
      </c>
      <c r="T102" s="312" t="s">
        <v>2728</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3">
      <c r="A103" s="476" t="s">
        <v>2393</v>
      </c>
      <c r="B103" s="477">
        <v>58145664</v>
      </c>
      <c r="C103" s="212" t="s">
        <v>2646</v>
      </c>
      <c r="D103" s="212">
        <v>101</v>
      </c>
      <c r="E103" s="478">
        <v>20217000000713</v>
      </c>
      <c r="F103" s="479">
        <v>44225</v>
      </c>
      <c r="G103" s="478" t="s">
        <v>2647</v>
      </c>
      <c r="H103" s="212" t="s">
        <v>2648</v>
      </c>
      <c r="I103" s="212" t="s">
        <v>164</v>
      </c>
      <c r="J103" s="475">
        <v>58145664</v>
      </c>
      <c r="K103" s="212" t="s">
        <v>138</v>
      </c>
      <c r="L103" s="212" t="s">
        <v>139</v>
      </c>
      <c r="M103" s="212" t="s">
        <v>44</v>
      </c>
      <c r="N103" s="212" t="s">
        <v>45</v>
      </c>
      <c r="O103" s="212" t="s">
        <v>142</v>
      </c>
      <c r="P103" s="212" t="s">
        <v>43</v>
      </c>
      <c r="R103" s="212">
        <v>93</v>
      </c>
      <c r="S103" s="479">
        <v>44225</v>
      </c>
      <c r="T103" s="212" t="s">
        <v>2864</v>
      </c>
      <c r="U103" s="475">
        <v>58145664</v>
      </c>
      <c r="V103" s="406"/>
      <c r="W103" s="362"/>
      <c r="X103" s="308">
        <v>67</v>
      </c>
      <c r="Y103" s="484">
        <v>44230</v>
      </c>
      <c r="Z103" s="472">
        <v>44230</v>
      </c>
      <c r="AA103" s="472">
        <v>44472</v>
      </c>
      <c r="AB103" s="2" t="s">
        <v>2650</v>
      </c>
      <c r="AC103" s="211">
        <v>31</v>
      </c>
      <c r="AD103" s="2">
        <v>51782375</v>
      </c>
      <c r="AE103" s="212" t="s">
        <v>2865</v>
      </c>
      <c r="AF103" s="473">
        <v>58145664</v>
      </c>
      <c r="AG103" s="474">
        <f t="shared" si="1"/>
        <v>0</v>
      </c>
      <c r="AJ103" s="475">
        <v>6299114</v>
      </c>
      <c r="AK103" s="475">
        <v>7268208</v>
      </c>
      <c r="AL103" s="475">
        <v>7268208</v>
      </c>
      <c r="AM103" s="306">
        <v>7268208</v>
      </c>
    </row>
    <row r="104" spans="1:39" hidden="1" x14ac:dyDescent="0.3">
      <c r="A104" s="476" t="s">
        <v>2253</v>
      </c>
      <c r="B104" s="477">
        <v>32979493</v>
      </c>
      <c r="C104" s="212" t="s">
        <v>2646</v>
      </c>
      <c r="D104" s="212">
        <v>102</v>
      </c>
      <c r="E104" s="478">
        <v>20217000003313</v>
      </c>
      <c r="F104" s="479">
        <v>44225</v>
      </c>
      <c r="G104" s="478" t="s">
        <v>2647</v>
      </c>
      <c r="H104" s="212" t="s">
        <v>2648</v>
      </c>
      <c r="I104" s="212" t="s">
        <v>164</v>
      </c>
      <c r="J104" s="475">
        <v>19079046</v>
      </c>
      <c r="K104" s="212" t="s">
        <v>138</v>
      </c>
      <c r="L104" s="212" t="s">
        <v>139</v>
      </c>
      <c r="M104" s="212" t="s">
        <v>44</v>
      </c>
      <c r="N104" s="212" t="s">
        <v>45</v>
      </c>
      <c r="O104" s="212" t="s">
        <v>142</v>
      </c>
      <c r="P104" s="212" t="s">
        <v>43</v>
      </c>
      <c r="R104" s="212">
        <v>104</v>
      </c>
      <c r="S104" s="479">
        <v>44225</v>
      </c>
      <c r="T104" s="212" t="s">
        <v>2866</v>
      </c>
      <c r="U104" s="475">
        <v>19079046</v>
      </c>
      <c r="V104" s="406"/>
      <c r="W104" s="362"/>
      <c r="X104" s="308">
        <v>59</v>
      </c>
      <c r="Y104" s="484">
        <v>44229</v>
      </c>
      <c r="Z104" s="472">
        <v>44229</v>
      </c>
      <c r="AA104" s="472">
        <v>44410</v>
      </c>
      <c r="AB104" s="2" t="s">
        <v>2650</v>
      </c>
      <c r="AC104" s="211">
        <v>23</v>
      </c>
      <c r="AD104" s="2">
        <v>79987799</v>
      </c>
      <c r="AE104" s="212" t="s">
        <v>2867</v>
      </c>
      <c r="AF104" s="473">
        <v>19079046</v>
      </c>
      <c r="AG104" s="474">
        <f t="shared" si="1"/>
        <v>0</v>
      </c>
      <c r="AJ104" s="475">
        <v>2861857</v>
      </c>
      <c r="AK104" s="475">
        <v>3179841</v>
      </c>
      <c r="AL104" s="475">
        <v>3179841</v>
      </c>
      <c r="AM104" s="306">
        <v>3179841</v>
      </c>
    </row>
    <row r="105" spans="1:39" hidden="1" x14ac:dyDescent="0.3">
      <c r="A105" s="476" t="s">
        <v>2256</v>
      </c>
      <c r="B105" s="477">
        <v>29972448</v>
      </c>
      <c r="C105" s="212" t="s">
        <v>2646</v>
      </c>
      <c r="D105" s="212">
        <v>103</v>
      </c>
      <c r="E105" s="478">
        <v>20217000003793</v>
      </c>
      <c r="F105" s="479">
        <v>44225</v>
      </c>
      <c r="G105" s="478" t="s">
        <v>2647</v>
      </c>
      <c r="H105" s="212" t="s">
        <v>2648</v>
      </c>
      <c r="I105" s="212" t="s">
        <v>164</v>
      </c>
      <c r="J105" s="475">
        <v>16400000</v>
      </c>
      <c r="K105" s="212" t="s">
        <v>138</v>
      </c>
      <c r="L105" s="212" t="s">
        <v>139</v>
      </c>
      <c r="M105" s="212" t="s">
        <v>44</v>
      </c>
      <c r="N105" s="212" t="s">
        <v>45</v>
      </c>
      <c r="O105" s="212" t="s">
        <v>142</v>
      </c>
      <c r="P105" s="212" t="s">
        <v>43</v>
      </c>
      <c r="R105" s="212">
        <v>106</v>
      </c>
      <c r="S105" s="479">
        <v>44225</v>
      </c>
      <c r="T105" s="212" t="s">
        <v>2868</v>
      </c>
      <c r="U105" s="475">
        <v>16400000</v>
      </c>
      <c r="V105" s="406"/>
      <c r="W105" s="362"/>
      <c r="X105" s="308">
        <v>90</v>
      </c>
      <c r="Y105" s="484">
        <v>44235</v>
      </c>
      <c r="Z105" s="484">
        <v>44235</v>
      </c>
      <c r="AA105" s="484">
        <v>44416</v>
      </c>
      <c r="AB105" s="485" t="s">
        <v>2650</v>
      </c>
      <c r="AC105" s="211">
        <v>44</v>
      </c>
      <c r="AD105" s="487">
        <v>17638268</v>
      </c>
      <c r="AE105" s="486" t="s">
        <v>2869</v>
      </c>
      <c r="AF105" s="473">
        <v>16348608</v>
      </c>
      <c r="AG105" s="474">
        <f t="shared" si="1"/>
        <v>51392</v>
      </c>
      <c r="AJ105" s="475">
        <v>1907338</v>
      </c>
      <c r="AK105" s="475">
        <v>2724768</v>
      </c>
      <c r="AL105" s="475">
        <v>2724768</v>
      </c>
      <c r="AM105" s="306">
        <v>2724768</v>
      </c>
    </row>
    <row r="106" spans="1:39" hidden="1" x14ac:dyDescent="0.3">
      <c r="A106" s="476" t="s">
        <v>2870</v>
      </c>
      <c r="B106" s="477">
        <v>33900000</v>
      </c>
      <c r="C106" s="212" t="s">
        <v>2646</v>
      </c>
      <c r="D106" s="212">
        <v>104</v>
      </c>
      <c r="E106" s="478">
        <v>20214000002353</v>
      </c>
      <c r="F106" s="479">
        <v>44225</v>
      </c>
      <c r="G106" s="478" t="s">
        <v>2680</v>
      </c>
      <c r="H106" s="212" t="s">
        <v>2681</v>
      </c>
      <c r="I106" s="212" t="s">
        <v>47</v>
      </c>
      <c r="J106" s="475">
        <v>27000000</v>
      </c>
      <c r="K106" s="212" t="s">
        <v>37</v>
      </c>
      <c r="L106" s="212" t="s">
        <v>2682</v>
      </c>
      <c r="M106" s="212" t="s">
        <v>44</v>
      </c>
      <c r="N106" s="212" t="s">
        <v>45</v>
      </c>
      <c r="O106" s="212" t="s">
        <v>310</v>
      </c>
      <c r="P106" s="212" t="s">
        <v>43</v>
      </c>
      <c r="R106" s="212">
        <v>107</v>
      </c>
      <c r="S106" s="479">
        <v>44225</v>
      </c>
      <c r="T106" s="212" t="s">
        <v>2871</v>
      </c>
      <c r="U106" s="475">
        <v>27000000</v>
      </c>
      <c r="V106" s="406"/>
      <c r="W106" s="362"/>
      <c r="X106" s="308">
        <v>58</v>
      </c>
      <c r="Y106" s="484">
        <v>44229</v>
      </c>
      <c r="Z106" s="472">
        <v>44229</v>
      </c>
      <c r="AA106" s="472">
        <v>44502</v>
      </c>
      <c r="AB106" s="2" t="s">
        <v>2650</v>
      </c>
      <c r="AC106" s="211">
        <v>26</v>
      </c>
      <c r="AD106" s="2">
        <v>1000855091</v>
      </c>
      <c r="AE106" s="212" t="s">
        <v>2872</v>
      </c>
      <c r="AF106" s="473">
        <v>27000000</v>
      </c>
      <c r="AG106" s="474">
        <f t="shared" si="1"/>
        <v>0</v>
      </c>
      <c r="AJ106" s="475">
        <v>2600000</v>
      </c>
      <c r="AK106" s="475">
        <v>3000000</v>
      </c>
      <c r="AL106" s="475">
        <v>3000000</v>
      </c>
      <c r="AM106" s="306">
        <v>3000000</v>
      </c>
    </row>
    <row r="107" spans="1:39" hidden="1" x14ac:dyDescent="0.3">
      <c r="A107" s="476" t="s">
        <v>2486</v>
      </c>
      <c r="B107" s="477">
        <v>12000000</v>
      </c>
      <c r="C107" s="212" t="s">
        <v>2646</v>
      </c>
      <c r="D107" s="212">
        <v>105</v>
      </c>
      <c r="E107" s="478">
        <v>20214000003753</v>
      </c>
      <c r="F107" s="479">
        <v>44225</v>
      </c>
      <c r="G107" s="478" t="s">
        <v>2680</v>
      </c>
      <c r="H107" s="212" t="s">
        <v>2681</v>
      </c>
      <c r="I107" s="212" t="s">
        <v>47</v>
      </c>
      <c r="J107" s="475">
        <v>12000000</v>
      </c>
      <c r="K107" s="212" t="s">
        <v>37</v>
      </c>
      <c r="L107" s="212" t="s">
        <v>2682</v>
      </c>
      <c r="M107" s="212" t="s">
        <v>44</v>
      </c>
      <c r="N107" s="212" t="s">
        <v>45</v>
      </c>
      <c r="O107" s="212" t="s">
        <v>310</v>
      </c>
      <c r="P107" s="212" t="s">
        <v>43</v>
      </c>
      <c r="R107" s="212">
        <v>108</v>
      </c>
      <c r="S107" s="479">
        <v>44225</v>
      </c>
      <c r="T107" s="212" t="s">
        <v>2873</v>
      </c>
      <c r="U107" s="475">
        <v>12000000</v>
      </c>
      <c r="V107" s="406"/>
      <c r="W107" s="362"/>
      <c r="X107" s="483">
        <v>158</v>
      </c>
      <c r="Y107" s="484">
        <v>44245</v>
      </c>
      <c r="Z107" s="484">
        <v>44245</v>
      </c>
      <c r="AA107" s="484">
        <v>44365</v>
      </c>
      <c r="AB107" s="485" t="s">
        <v>2650</v>
      </c>
      <c r="AC107" s="483">
        <v>106</v>
      </c>
      <c r="AD107" s="485">
        <v>4165926</v>
      </c>
      <c r="AE107" s="486" t="s">
        <v>2874</v>
      </c>
      <c r="AF107" s="473">
        <v>12000000</v>
      </c>
      <c r="AG107" s="474">
        <f t="shared" si="1"/>
        <v>0</v>
      </c>
      <c r="AJ107" s="475">
        <v>1100000</v>
      </c>
      <c r="AM107" s="212"/>
    </row>
    <row r="108" spans="1:39" hidden="1" x14ac:dyDescent="0.3">
      <c r="A108" s="476" t="s">
        <v>2390</v>
      </c>
      <c r="B108" s="477">
        <v>56000000</v>
      </c>
      <c r="C108" s="212" t="s">
        <v>2646</v>
      </c>
      <c r="D108" s="212">
        <v>106</v>
      </c>
      <c r="E108" s="478">
        <v>20213000003803</v>
      </c>
      <c r="F108" s="479">
        <v>44225</v>
      </c>
      <c r="G108" s="478" t="s">
        <v>2640</v>
      </c>
      <c r="H108" s="212" t="s">
        <v>2641</v>
      </c>
      <c r="I108" s="212" t="s">
        <v>432</v>
      </c>
      <c r="J108" s="475">
        <v>56000000</v>
      </c>
      <c r="K108" s="212" t="s">
        <v>358</v>
      </c>
      <c r="L108" s="212" t="s">
        <v>2791</v>
      </c>
      <c r="M108" s="212" t="s">
        <v>44</v>
      </c>
      <c r="N108" s="212" t="s">
        <v>45</v>
      </c>
      <c r="O108" s="212" t="s">
        <v>63</v>
      </c>
      <c r="P108" s="212" t="s">
        <v>674</v>
      </c>
      <c r="R108" s="212">
        <v>109</v>
      </c>
      <c r="S108" s="479">
        <v>44225</v>
      </c>
      <c r="T108" s="212" t="s">
        <v>2875</v>
      </c>
      <c r="U108" s="475">
        <v>56000000</v>
      </c>
      <c r="V108" s="406"/>
      <c r="W108" s="362"/>
      <c r="X108" s="483">
        <v>143</v>
      </c>
      <c r="Y108" s="484">
        <v>44243</v>
      </c>
      <c r="Z108" s="484">
        <v>44243</v>
      </c>
      <c r="AA108" s="484">
        <v>44485</v>
      </c>
      <c r="AB108" s="485" t="s">
        <v>2650</v>
      </c>
      <c r="AC108" s="483">
        <v>88</v>
      </c>
      <c r="AD108" s="485">
        <v>1118534346</v>
      </c>
      <c r="AE108" s="486" t="s">
        <v>2876</v>
      </c>
      <c r="AF108" s="473">
        <v>56000000</v>
      </c>
      <c r="AG108" s="474">
        <f t="shared" si="1"/>
        <v>0</v>
      </c>
      <c r="AK108" s="475">
        <v>9800000</v>
      </c>
      <c r="AL108" s="475">
        <v>7000000</v>
      </c>
      <c r="AM108" s="306">
        <v>7000000</v>
      </c>
    </row>
    <row r="109" spans="1:39" hidden="1" x14ac:dyDescent="0.3">
      <c r="A109" s="476" t="s">
        <v>2109</v>
      </c>
      <c r="B109" s="477">
        <v>18568000</v>
      </c>
      <c r="C109" s="212" t="s">
        <v>2646</v>
      </c>
      <c r="D109" s="212">
        <v>107</v>
      </c>
      <c r="E109" s="478">
        <v>20213000003823</v>
      </c>
      <c r="F109" s="479">
        <v>44225</v>
      </c>
      <c r="G109" s="478" t="s">
        <v>2640</v>
      </c>
      <c r="H109" s="212" t="s">
        <v>2641</v>
      </c>
      <c r="I109" s="212" t="s">
        <v>432</v>
      </c>
      <c r="J109" s="475">
        <v>18170520</v>
      </c>
      <c r="K109" s="212" t="s">
        <v>358</v>
      </c>
      <c r="L109" s="212" t="s">
        <v>2791</v>
      </c>
      <c r="M109" s="212" t="s">
        <v>44</v>
      </c>
      <c r="N109" s="212" t="s">
        <v>45</v>
      </c>
      <c r="O109" s="212" t="s">
        <v>63</v>
      </c>
      <c r="P109" s="212" t="s">
        <v>674</v>
      </c>
      <c r="R109" s="212">
        <v>110</v>
      </c>
      <c r="S109" s="479">
        <v>44225</v>
      </c>
      <c r="T109" s="212" t="s">
        <v>2877</v>
      </c>
      <c r="U109" s="475">
        <v>18170520</v>
      </c>
      <c r="V109" s="406"/>
      <c r="W109" s="362"/>
      <c r="X109" s="308">
        <v>110</v>
      </c>
      <c r="Y109" s="484">
        <v>44237</v>
      </c>
      <c r="Z109" s="484">
        <v>44237</v>
      </c>
      <c r="AA109" s="484">
        <v>44479</v>
      </c>
      <c r="AB109" s="485" t="s">
        <v>2650</v>
      </c>
      <c r="AC109" s="211">
        <v>68</v>
      </c>
      <c r="AD109" s="487">
        <v>1024490172</v>
      </c>
      <c r="AE109" s="486" t="s">
        <v>2878</v>
      </c>
      <c r="AF109" s="473">
        <v>18170520</v>
      </c>
      <c r="AG109" s="474">
        <f t="shared" si="1"/>
        <v>0</v>
      </c>
      <c r="AJ109" s="475">
        <v>1362789</v>
      </c>
      <c r="AK109" s="475">
        <v>2271315</v>
      </c>
      <c r="AL109" s="475">
        <v>2271315</v>
      </c>
      <c r="AM109" s="306">
        <v>2271315</v>
      </c>
    </row>
    <row r="110" spans="1:39" hidden="1" x14ac:dyDescent="0.3">
      <c r="A110" s="476" t="s">
        <v>2150</v>
      </c>
      <c r="B110" s="477">
        <v>46400000</v>
      </c>
      <c r="C110" s="212" t="s">
        <v>2646</v>
      </c>
      <c r="D110" s="212">
        <v>108</v>
      </c>
      <c r="E110" s="478">
        <v>20213000003843</v>
      </c>
      <c r="F110" s="479">
        <v>44225</v>
      </c>
      <c r="G110" s="478" t="s">
        <v>2640</v>
      </c>
      <c r="H110" s="212" t="s">
        <v>2641</v>
      </c>
      <c r="I110" s="212" t="s">
        <v>432</v>
      </c>
      <c r="J110" s="475">
        <v>46400000</v>
      </c>
      <c r="K110" s="212" t="s">
        <v>358</v>
      </c>
      <c r="L110" s="212" t="s">
        <v>2791</v>
      </c>
      <c r="M110" s="212" t="s">
        <v>44</v>
      </c>
      <c r="N110" s="212" t="s">
        <v>45</v>
      </c>
      <c r="O110" s="212" t="s">
        <v>63</v>
      </c>
      <c r="P110" s="212" t="s">
        <v>674</v>
      </c>
      <c r="R110" s="212">
        <v>111</v>
      </c>
      <c r="S110" s="479">
        <v>44225</v>
      </c>
      <c r="T110" s="212" t="s">
        <v>2879</v>
      </c>
      <c r="U110" s="475">
        <v>46400000</v>
      </c>
      <c r="V110" s="406"/>
      <c r="W110" s="362"/>
      <c r="X110" s="308">
        <v>80</v>
      </c>
      <c r="Y110" s="484">
        <v>44232</v>
      </c>
      <c r="Z110" s="484">
        <v>44232</v>
      </c>
      <c r="AA110" s="484">
        <v>44474</v>
      </c>
      <c r="AB110" s="485" t="s">
        <v>2650</v>
      </c>
      <c r="AC110" s="211">
        <v>38</v>
      </c>
      <c r="AD110" s="487">
        <v>52235999</v>
      </c>
      <c r="AE110" s="486" t="s">
        <v>2880</v>
      </c>
      <c r="AF110" s="473">
        <v>46400000</v>
      </c>
      <c r="AG110" s="474">
        <f t="shared" si="1"/>
        <v>0</v>
      </c>
      <c r="AJ110" s="475">
        <v>3866667</v>
      </c>
      <c r="AK110" s="475">
        <v>5800000</v>
      </c>
      <c r="AL110" s="475">
        <v>5800000</v>
      </c>
      <c r="AM110" s="306">
        <v>5800000</v>
      </c>
    </row>
    <row r="111" spans="1:39" hidden="1" x14ac:dyDescent="0.3">
      <c r="A111" s="476" t="s">
        <v>2108</v>
      </c>
      <c r="B111" s="477">
        <v>68000000</v>
      </c>
      <c r="C111" s="212" t="s">
        <v>2646</v>
      </c>
      <c r="D111" s="212">
        <v>109</v>
      </c>
      <c r="E111" s="478">
        <v>20213000003863</v>
      </c>
      <c r="F111" s="479">
        <v>44225</v>
      </c>
      <c r="G111" s="478" t="s">
        <v>2640</v>
      </c>
      <c r="H111" s="212" t="s">
        <v>2641</v>
      </c>
      <c r="I111" s="212" t="s">
        <v>432</v>
      </c>
      <c r="J111" s="475">
        <v>68000000</v>
      </c>
      <c r="K111" s="212" t="s">
        <v>358</v>
      </c>
      <c r="L111" s="212" t="s">
        <v>2791</v>
      </c>
      <c r="M111" s="212" t="s">
        <v>44</v>
      </c>
      <c r="N111" s="212" t="s">
        <v>45</v>
      </c>
      <c r="O111" s="212" t="s">
        <v>63</v>
      </c>
      <c r="P111" s="212" t="s">
        <v>674</v>
      </c>
      <c r="R111" s="212">
        <v>112</v>
      </c>
      <c r="S111" s="479">
        <v>44225</v>
      </c>
      <c r="T111" s="212" t="s">
        <v>2881</v>
      </c>
      <c r="U111" s="475">
        <v>68000000</v>
      </c>
      <c r="V111" s="406"/>
      <c r="W111" s="362"/>
      <c r="X111" s="308">
        <v>70</v>
      </c>
      <c r="Y111" s="472">
        <v>44230</v>
      </c>
      <c r="Z111" s="472">
        <v>44230</v>
      </c>
      <c r="AA111" s="472">
        <v>44472</v>
      </c>
      <c r="AB111" s="2" t="s">
        <v>2650</v>
      </c>
      <c r="AC111" s="211">
        <v>33</v>
      </c>
      <c r="AD111" s="2">
        <v>51938975</v>
      </c>
      <c r="AE111" s="212" t="s">
        <v>2882</v>
      </c>
      <c r="AF111" s="473">
        <v>68000000</v>
      </c>
      <c r="AG111" s="474">
        <f t="shared" si="1"/>
        <v>0</v>
      </c>
      <c r="AJ111" s="475">
        <v>7366667</v>
      </c>
      <c r="AK111" s="475">
        <v>8500000</v>
      </c>
      <c r="AL111" s="475">
        <v>8500000</v>
      </c>
      <c r="AM111" s="306">
        <v>8500000</v>
      </c>
    </row>
    <row r="112" spans="1:39" hidden="1" x14ac:dyDescent="0.3">
      <c r="A112" s="476" t="s">
        <v>2883</v>
      </c>
      <c r="B112" s="477">
        <v>64000000</v>
      </c>
      <c r="C112" s="212" t="s">
        <v>2646</v>
      </c>
      <c r="D112" s="212">
        <v>110</v>
      </c>
      <c r="E112" s="478">
        <v>20213000003873</v>
      </c>
      <c r="F112" s="479">
        <v>44225</v>
      </c>
      <c r="G112" s="478" t="s">
        <v>2640</v>
      </c>
      <c r="H112" s="212" t="s">
        <v>2641</v>
      </c>
      <c r="I112" s="212" t="s">
        <v>432</v>
      </c>
      <c r="J112" s="475">
        <v>64000000</v>
      </c>
      <c r="K112" s="212" t="s">
        <v>358</v>
      </c>
      <c r="L112" s="212" t="s">
        <v>2791</v>
      </c>
      <c r="M112" s="212" t="s">
        <v>44</v>
      </c>
      <c r="N112" s="212" t="s">
        <v>45</v>
      </c>
      <c r="O112" s="212" t="s">
        <v>63</v>
      </c>
      <c r="P112" s="212" t="s">
        <v>674</v>
      </c>
      <c r="R112" s="212">
        <v>113</v>
      </c>
      <c r="S112" s="479">
        <v>44225</v>
      </c>
      <c r="T112" s="212" t="s">
        <v>2884</v>
      </c>
      <c r="U112" s="475">
        <v>64000000</v>
      </c>
      <c r="V112" s="406"/>
      <c r="W112" s="362"/>
      <c r="X112" s="308">
        <v>105</v>
      </c>
      <c r="Y112" s="484">
        <v>44236</v>
      </c>
      <c r="Z112" s="484">
        <v>44236</v>
      </c>
      <c r="AA112" s="484">
        <v>44478</v>
      </c>
      <c r="AB112" s="485" t="s">
        <v>2650</v>
      </c>
      <c r="AC112" s="211">
        <v>58</v>
      </c>
      <c r="AD112" s="487">
        <v>14396115</v>
      </c>
      <c r="AE112" s="486" t="s">
        <v>2885</v>
      </c>
      <c r="AF112" s="473">
        <v>64000000</v>
      </c>
      <c r="AG112" s="474">
        <f t="shared" si="1"/>
        <v>0</v>
      </c>
      <c r="AJ112" s="475">
        <v>5066667</v>
      </c>
      <c r="AK112" s="475">
        <v>8000000</v>
      </c>
      <c r="AL112" s="475">
        <v>8000000</v>
      </c>
      <c r="AM112" s="306">
        <v>8000000</v>
      </c>
    </row>
    <row r="113" spans="1:39" ht="15" hidden="1" customHeight="1" x14ac:dyDescent="0.3">
      <c r="A113" s="476" t="s">
        <v>2148</v>
      </c>
      <c r="B113" s="477">
        <v>84000000</v>
      </c>
      <c r="C113" s="212" t="s">
        <v>2646</v>
      </c>
      <c r="D113" s="212">
        <v>111</v>
      </c>
      <c r="E113" s="478">
        <v>20213000003893</v>
      </c>
      <c r="F113" s="479">
        <v>44225</v>
      </c>
      <c r="G113" s="478" t="s">
        <v>2640</v>
      </c>
      <c r="H113" s="212" t="s">
        <v>2641</v>
      </c>
      <c r="I113" s="212" t="s">
        <v>432</v>
      </c>
      <c r="J113" s="475">
        <v>84000000</v>
      </c>
      <c r="K113" s="212" t="s">
        <v>358</v>
      </c>
      <c r="L113" s="212" t="s">
        <v>2791</v>
      </c>
      <c r="M113" s="212" t="s">
        <v>44</v>
      </c>
      <c r="N113" s="212" t="s">
        <v>45</v>
      </c>
      <c r="O113" s="212" t="s">
        <v>63</v>
      </c>
      <c r="P113" s="212" t="s">
        <v>674</v>
      </c>
      <c r="R113" s="212">
        <v>114</v>
      </c>
      <c r="S113" s="479">
        <v>44225</v>
      </c>
      <c r="T113" s="212" t="s">
        <v>2886</v>
      </c>
      <c r="U113" s="475">
        <v>84000000</v>
      </c>
      <c r="V113" s="406"/>
      <c r="W113" s="362"/>
      <c r="X113" s="483">
        <v>137</v>
      </c>
      <c r="Y113" s="484">
        <v>44243</v>
      </c>
      <c r="Z113" s="484">
        <v>44243</v>
      </c>
      <c r="AA113" s="484">
        <v>44485</v>
      </c>
      <c r="AB113" s="485" t="s">
        <v>2650</v>
      </c>
      <c r="AC113" s="483">
        <v>93</v>
      </c>
      <c r="AD113" s="485">
        <v>79353181</v>
      </c>
      <c r="AE113" s="486" t="s">
        <v>2887</v>
      </c>
      <c r="AF113" s="473">
        <v>84000000</v>
      </c>
      <c r="AG113" s="474">
        <f t="shared" si="1"/>
        <v>0</v>
      </c>
      <c r="AM113" s="212"/>
    </row>
    <row r="114" spans="1:39" ht="15" hidden="1" customHeight="1" x14ac:dyDescent="0.3">
      <c r="A114" s="476" t="s">
        <v>2392</v>
      </c>
      <c r="B114" s="477">
        <v>42000000</v>
      </c>
      <c r="C114" s="212" t="s">
        <v>2646</v>
      </c>
      <c r="D114" s="212">
        <v>112</v>
      </c>
      <c r="E114" s="478">
        <v>20213000003913</v>
      </c>
      <c r="F114" s="479">
        <v>44225</v>
      </c>
      <c r="G114" s="478" t="s">
        <v>2640</v>
      </c>
      <c r="H114" s="212" t="s">
        <v>2641</v>
      </c>
      <c r="I114" s="212" t="s">
        <v>432</v>
      </c>
      <c r="J114" s="475">
        <v>42000000</v>
      </c>
      <c r="K114" s="212" t="s">
        <v>358</v>
      </c>
      <c r="L114" s="212" t="s">
        <v>2791</v>
      </c>
      <c r="M114" s="212" t="s">
        <v>44</v>
      </c>
      <c r="N114" s="212" t="s">
        <v>45</v>
      </c>
      <c r="O114" s="212" t="s">
        <v>63</v>
      </c>
      <c r="P114" s="212" t="s">
        <v>674</v>
      </c>
      <c r="R114" s="212">
        <v>115</v>
      </c>
      <c r="S114" s="479">
        <v>44225</v>
      </c>
      <c r="T114" s="212" t="s">
        <v>2888</v>
      </c>
      <c r="U114" s="475">
        <v>42000000</v>
      </c>
      <c r="V114" s="406"/>
      <c r="W114" s="362"/>
      <c r="X114" s="483">
        <v>163</v>
      </c>
      <c r="Y114" s="484">
        <v>44246</v>
      </c>
      <c r="Z114" s="484">
        <v>44246</v>
      </c>
      <c r="AA114" s="484">
        <v>44427</v>
      </c>
      <c r="AB114" s="485" t="s">
        <v>2650</v>
      </c>
      <c r="AC114" s="483">
        <v>103</v>
      </c>
      <c r="AD114" s="485">
        <v>20880710</v>
      </c>
      <c r="AE114" s="486" t="s">
        <v>2889</v>
      </c>
      <c r="AF114" s="473">
        <v>42000000</v>
      </c>
      <c r="AG114" s="474">
        <f t="shared" si="1"/>
        <v>0</v>
      </c>
      <c r="AJ114" s="475">
        <v>2333333</v>
      </c>
      <c r="AK114" s="475">
        <v>7000000</v>
      </c>
      <c r="AL114" s="475">
        <v>7000000</v>
      </c>
      <c r="AM114" s="306">
        <v>7000000</v>
      </c>
    </row>
    <row r="115" spans="1:39" ht="15" hidden="1" customHeight="1" x14ac:dyDescent="0.3">
      <c r="A115" s="476" t="s">
        <v>2459</v>
      </c>
      <c r="B115" s="477">
        <v>13926000</v>
      </c>
      <c r="C115" s="212" t="s">
        <v>2646</v>
      </c>
      <c r="D115" s="212">
        <v>113</v>
      </c>
      <c r="E115" s="478">
        <v>20213000003923</v>
      </c>
      <c r="F115" s="479">
        <v>44225</v>
      </c>
      <c r="G115" s="478" t="s">
        <v>2640</v>
      </c>
      <c r="H115" s="212" t="s">
        <v>2641</v>
      </c>
      <c r="I115" s="212" t="s">
        <v>432</v>
      </c>
      <c r="J115" s="475">
        <v>13926000</v>
      </c>
      <c r="K115" s="212" t="s">
        <v>358</v>
      </c>
      <c r="L115" s="212" t="s">
        <v>2791</v>
      </c>
      <c r="M115" s="212" t="s">
        <v>44</v>
      </c>
      <c r="N115" s="212" t="s">
        <v>45</v>
      </c>
      <c r="O115" s="212" t="s">
        <v>63</v>
      </c>
      <c r="P115" s="212" t="s">
        <v>674</v>
      </c>
      <c r="R115" s="212">
        <v>116</v>
      </c>
      <c r="S115" s="479">
        <v>44225</v>
      </c>
      <c r="T115" s="212" t="s">
        <v>2890</v>
      </c>
      <c r="U115" s="475">
        <v>13926000</v>
      </c>
      <c r="V115" s="406"/>
      <c r="W115" s="362"/>
      <c r="X115" s="483" t="s">
        <v>2891</v>
      </c>
      <c r="Y115" s="484">
        <v>44291</v>
      </c>
      <c r="Z115" s="484">
        <v>44291</v>
      </c>
      <c r="AA115" s="484">
        <v>44475</v>
      </c>
      <c r="AB115" s="485" t="s">
        <v>2650</v>
      </c>
      <c r="AC115" s="483" t="s">
        <v>2892</v>
      </c>
      <c r="AD115" s="485" t="s">
        <v>2893</v>
      </c>
      <c r="AE115" s="486" t="s">
        <v>2894</v>
      </c>
      <c r="AF115" s="473">
        <v>13926000</v>
      </c>
      <c r="AG115" s="474">
        <f t="shared" si="1"/>
        <v>0</v>
      </c>
      <c r="AL115" s="475">
        <v>1934167</v>
      </c>
      <c r="AM115" s="306">
        <v>2321000</v>
      </c>
    </row>
    <row r="116" spans="1:39" ht="15" hidden="1" customHeight="1" x14ac:dyDescent="0.3">
      <c r="A116" s="476" t="s">
        <v>2097</v>
      </c>
      <c r="B116" s="477">
        <v>77000000</v>
      </c>
      <c r="C116" s="212" t="s">
        <v>2646</v>
      </c>
      <c r="D116" s="212">
        <v>114</v>
      </c>
      <c r="E116" s="478">
        <v>20215000000933</v>
      </c>
      <c r="F116" s="479">
        <v>44225</v>
      </c>
      <c r="G116" s="478" t="s">
        <v>2640</v>
      </c>
      <c r="H116" s="212" t="s">
        <v>2641</v>
      </c>
      <c r="I116" s="212" t="s">
        <v>228</v>
      </c>
      <c r="J116" s="475">
        <v>77000000</v>
      </c>
      <c r="K116" s="212" t="s">
        <v>223</v>
      </c>
      <c r="L116" s="212" t="s">
        <v>2758</v>
      </c>
      <c r="M116" s="212" t="s">
        <v>44</v>
      </c>
      <c r="N116" s="212" t="s">
        <v>45</v>
      </c>
      <c r="O116" s="212" t="s">
        <v>63</v>
      </c>
      <c r="P116" s="212" t="s">
        <v>674</v>
      </c>
      <c r="R116" s="212">
        <v>117</v>
      </c>
      <c r="S116" s="479">
        <v>44225</v>
      </c>
      <c r="T116" s="212" t="s">
        <v>2895</v>
      </c>
      <c r="U116" s="475">
        <f>77000000-7000000</f>
        <v>70000000</v>
      </c>
      <c r="V116" s="411">
        <v>7000000</v>
      </c>
      <c r="W116" s="397"/>
      <c r="X116" s="308">
        <v>57</v>
      </c>
      <c r="Y116" s="472">
        <v>44229</v>
      </c>
      <c r="Z116" s="472">
        <v>44229</v>
      </c>
      <c r="AA116" s="472">
        <v>44532</v>
      </c>
      <c r="AB116" s="2" t="s">
        <v>2650</v>
      </c>
      <c r="AC116" s="211">
        <v>25</v>
      </c>
      <c r="AD116" s="2">
        <v>80762638</v>
      </c>
      <c r="AE116" s="212" t="s">
        <v>2896</v>
      </c>
      <c r="AF116" s="473">
        <v>70000000</v>
      </c>
      <c r="AG116" s="474">
        <f t="shared" si="1"/>
        <v>0</v>
      </c>
      <c r="AJ116" s="475">
        <v>6300000</v>
      </c>
      <c r="AK116" s="475">
        <v>7000000</v>
      </c>
      <c r="AL116" s="475">
        <v>7000000</v>
      </c>
      <c r="AM116" s="306">
        <v>7000000</v>
      </c>
    </row>
    <row r="117" spans="1:39" ht="15" hidden="1" customHeight="1" x14ac:dyDescent="0.3">
      <c r="A117" s="476" t="s">
        <v>2395</v>
      </c>
      <c r="B117" s="477">
        <v>77000000</v>
      </c>
      <c r="C117" s="212" t="s">
        <v>2646</v>
      </c>
      <c r="D117" s="212">
        <v>115</v>
      </c>
      <c r="E117" s="478">
        <v>20215000001023</v>
      </c>
      <c r="F117" s="479">
        <v>44225</v>
      </c>
      <c r="G117" s="478" t="s">
        <v>2640</v>
      </c>
      <c r="H117" s="212" t="s">
        <v>2641</v>
      </c>
      <c r="I117" s="212" t="s">
        <v>228</v>
      </c>
      <c r="J117" s="475">
        <v>77000000</v>
      </c>
      <c r="K117" s="212" t="s">
        <v>223</v>
      </c>
      <c r="L117" s="212" t="s">
        <v>269</v>
      </c>
      <c r="M117" s="212" t="s">
        <v>44</v>
      </c>
      <c r="N117" s="212" t="s">
        <v>45</v>
      </c>
      <c r="O117" s="212" t="s">
        <v>63</v>
      </c>
      <c r="P117" s="212" t="s">
        <v>674</v>
      </c>
      <c r="R117" s="212">
        <v>118</v>
      </c>
      <c r="S117" s="479">
        <v>44225</v>
      </c>
      <c r="T117" s="212" t="s">
        <v>2897</v>
      </c>
      <c r="U117" s="475">
        <f>77000000-7000000</f>
        <v>70000000</v>
      </c>
      <c r="V117" s="411">
        <v>7000000</v>
      </c>
      <c r="W117" s="397"/>
      <c r="X117" s="483">
        <v>120</v>
      </c>
      <c r="Y117" s="484">
        <v>44238</v>
      </c>
      <c r="Z117" s="484">
        <v>44238</v>
      </c>
      <c r="AA117" s="484">
        <v>44541</v>
      </c>
      <c r="AB117" s="485" t="s">
        <v>2650</v>
      </c>
      <c r="AC117" s="211">
        <v>73</v>
      </c>
      <c r="AD117" s="485">
        <v>79939476</v>
      </c>
      <c r="AE117" s="486" t="s">
        <v>2898</v>
      </c>
      <c r="AF117" s="473">
        <v>70000000</v>
      </c>
      <c r="AG117" s="474">
        <f t="shared" si="1"/>
        <v>0</v>
      </c>
      <c r="AJ117" s="475">
        <v>3966667</v>
      </c>
      <c r="AK117" s="475">
        <v>7000000</v>
      </c>
      <c r="AL117" s="475">
        <v>7000000</v>
      </c>
      <c r="AM117" s="306">
        <v>7000000</v>
      </c>
    </row>
    <row r="118" spans="1:39" ht="15" hidden="1" customHeight="1" x14ac:dyDescent="0.3">
      <c r="A118" s="476" t="s">
        <v>2157</v>
      </c>
      <c r="B118" s="477">
        <v>48400000</v>
      </c>
      <c r="C118" s="212" t="s">
        <v>2646</v>
      </c>
      <c r="D118" s="212">
        <v>116</v>
      </c>
      <c r="E118" s="478">
        <v>20215000001113</v>
      </c>
      <c r="F118" s="479">
        <v>44225</v>
      </c>
      <c r="G118" s="478" t="s">
        <v>2640</v>
      </c>
      <c r="H118" s="212" t="s">
        <v>2641</v>
      </c>
      <c r="I118" s="212" t="s">
        <v>228</v>
      </c>
      <c r="J118" s="475">
        <v>48400000</v>
      </c>
      <c r="K118" s="212" t="s">
        <v>223</v>
      </c>
      <c r="L118" s="212" t="s">
        <v>269</v>
      </c>
      <c r="M118" s="212" t="s">
        <v>44</v>
      </c>
      <c r="N118" s="212" t="s">
        <v>45</v>
      </c>
      <c r="O118" s="212" t="s">
        <v>63</v>
      </c>
      <c r="P118" s="212" t="s">
        <v>674</v>
      </c>
      <c r="R118" s="212">
        <v>119</v>
      </c>
      <c r="S118" s="479">
        <v>44225</v>
      </c>
      <c r="T118" s="212" t="s">
        <v>2899</v>
      </c>
      <c r="U118" s="475">
        <f>48400000-4400000</f>
        <v>44000000</v>
      </c>
      <c r="V118" s="411">
        <v>4400000</v>
      </c>
      <c r="W118" s="397"/>
      <c r="X118" s="308">
        <v>82</v>
      </c>
      <c r="Y118" s="484">
        <v>44232</v>
      </c>
      <c r="Z118" s="484">
        <v>44232</v>
      </c>
      <c r="AA118" s="484">
        <v>44535</v>
      </c>
      <c r="AB118" s="485" t="s">
        <v>2650</v>
      </c>
      <c r="AC118" s="211">
        <v>41</v>
      </c>
      <c r="AD118" s="487">
        <v>80073637</v>
      </c>
      <c r="AE118" s="690" t="s">
        <v>2900</v>
      </c>
      <c r="AF118" s="473">
        <v>44000000</v>
      </c>
      <c r="AG118" s="474">
        <f t="shared" si="1"/>
        <v>0</v>
      </c>
      <c r="AJ118" s="475">
        <v>3080000</v>
      </c>
      <c r="AK118" s="475">
        <v>4400000</v>
      </c>
      <c r="AL118" s="475">
        <v>4400000</v>
      </c>
      <c r="AM118" s="306">
        <v>4400000</v>
      </c>
    </row>
    <row r="119" spans="1:39" ht="15" hidden="1" customHeight="1" x14ac:dyDescent="0.3">
      <c r="A119" s="476" t="s">
        <v>2396</v>
      </c>
      <c r="B119" s="477">
        <v>77000000</v>
      </c>
      <c r="C119" s="212" t="s">
        <v>2646</v>
      </c>
      <c r="D119" s="212">
        <v>117</v>
      </c>
      <c r="E119" s="478">
        <v>20215000001183</v>
      </c>
      <c r="F119" s="479">
        <v>44225</v>
      </c>
      <c r="G119" s="478" t="s">
        <v>2640</v>
      </c>
      <c r="H119" s="212" t="s">
        <v>2641</v>
      </c>
      <c r="I119" s="212" t="s">
        <v>228</v>
      </c>
      <c r="J119" s="475">
        <v>77000000</v>
      </c>
      <c r="K119" s="212" t="s">
        <v>223</v>
      </c>
      <c r="L119" s="212" t="s">
        <v>2758</v>
      </c>
      <c r="M119" s="212" t="s">
        <v>44</v>
      </c>
      <c r="N119" s="212" t="s">
        <v>45</v>
      </c>
      <c r="O119" s="212" t="s">
        <v>63</v>
      </c>
      <c r="P119" s="212" t="s">
        <v>674</v>
      </c>
      <c r="R119" s="212">
        <v>120</v>
      </c>
      <c r="S119" s="479">
        <v>44225</v>
      </c>
      <c r="T119" s="212" t="s">
        <v>2901</v>
      </c>
      <c r="U119" s="475">
        <f>77000000-18000000</f>
        <v>59000000</v>
      </c>
      <c r="V119" s="411">
        <v>18000000</v>
      </c>
      <c r="W119" s="397"/>
      <c r="X119" s="308">
        <v>77</v>
      </c>
      <c r="Y119" s="484">
        <v>44231</v>
      </c>
      <c r="Z119" s="484">
        <v>44231</v>
      </c>
      <c r="AA119" s="484">
        <v>44534</v>
      </c>
      <c r="AB119" s="485" t="s">
        <v>2650</v>
      </c>
      <c r="AC119" s="211">
        <v>39</v>
      </c>
      <c r="AD119" s="487">
        <v>1016033905</v>
      </c>
      <c r="AE119" s="486" t="s">
        <v>2902</v>
      </c>
      <c r="AF119" s="473">
        <v>59000000</v>
      </c>
      <c r="AG119" s="474">
        <f t="shared" si="1"/>
        <v>0</v>
      </c>
      <c r="AJ119" s="475">
        <v>4720000</v>
      </c>
      <c r="AK119" s="475">
        <v>5900000</v>
      </c>
      <c r="AL119" s="475">
        <v>5900000</v>
      </c>
      <c r="AM119" s="306">
        <v>5900000</v>
      </c>
    </row>
    <row r="120" spans="1:39" ht="15" hidden="1" customHeight="1" x14ac:dyDescent="0.3">
      <c r="A120" s="476" t="s">
        <v>2187</v>
      </c>
      <c r="B120" s="477">
        <v>37311600</v>
      </c>
      <c r="C120" s="212" t="s">
        <v>2646</v>
      </c>
      <c r="D120" s="212">
        <v>118</v>
      </c>
      <c r="E120" s="309">
        <v>20212000008473</v>
      </c>
      <c r="F120" s="479">
        <v>44244</v>
      </c>
      <c r="G120" s="478" t="s">
        <v>2640</v>
      </c>
      <c r="H120" s="212" t="s">
        <v>2641</v>
      </c>
      <c r="I120" s="212" t="s">
        <v>391</v>
      </c>
      <c r="J120" s="475">
        <v>35550000</v>
      </c>
      <c r="K120" s="210" t="s">
        <v>2711</v>
      </c>
      <c r="L120" s="212" t="s">
        <v>2712</v>
      </c>
      <c r="M120" s="212" t="s">
        <v>44</v>
      </c>
      <c r="N120" s="212" t="s">
        <v>45</v>
      </c>
      <c r="O120" s="212" t="s">
        <v>63</v>
      </c>
      <c r="P120" s="212" t="s">
        <v>674</v>
      </c>
      <c r="R120" s="486">
        <v>263</v>
      </c>
      <c r="S120" s="490">
        <v>44244</v>
      </c>
      <c r="T120" s="486" t="s">
        <v>2903</v>
      </c>
      <c r="U120" s="475">
        <v>35550000</v>
      </c>
      <c r="V120" s="406"/>
      <c r="W120" s="362"/>
      <c r="X120" s="308">
        <v>212</v>
      </c>
      <c r="Y120" s="484">
        <v>44257</v>
      </c>
      <c r="Z120" s="484">
        <v>44257</v>
      </c>
      <c r="AA120" s="484">
        <v>44532</v>
      </c>
      <c r="AB120" s="485" t="s">
        <v>2650</v>
      </c>
      <c r="AC120" s="211">
        <v>147</v>
      </c>
      <c r="AD120" s="485" t="s">
        <v>2904</v>
      </c>
      <c r="AE120" s="486" t="s">
        <v>2905</v>
      </c>
      <c r="AF120" s="473">
        <v>35550000</v>
      </c>
      <c r="AG120" s="474">
        <f t="shared" si="1"/>
        <v>0</v>
      </c>
      <c r="AK120" s="475">
        <v>3818333</v>
      </c>
      <c r="AL120" s="475">
        <v>3950000</v>
      </c>
      <c r="AM120" s="306">
        <v>3950000</v>
      </c>
    </row>
    <row r="121" spans="1:39" ht="15" hidden="1" customHeight="1" x14ac:dyDescent="0.3">
      <c r="A121" s="476" t="s">
        <v>2436</v>
      </c>
      <c r="B121" s="477">
        <v>63600000</v>
      </c>
      <c r="C121" s="212" t="s">
        <v>2646</v>
      </c>
      <c r="D121" s="212">
        <v>119</v>
      </c>
      <c r="E121" s="478">
        <v>20215000002793</v>
      </c>
      <c r="F121" s="479">
        <v>44225</v>
      </c>
      <c r="G121" s="478" t="s">
        <v>2640</v>
      </c>
      <c r="H121" s="212" t="s">
        <v>2641</v>
      </c>
      <c r="I121" s="212" t="s">
        <v>228</v>
      </c>
      <c r="J121" s="475">
        <v>63600000</v>
      </c>
      <c r="K121" s="212" t="s">
        <v>223</v>
      </c>
      <c r="L121" s="212" t="s">
        <v>283</v>
      </c>
      <c r="M121" s="212" t="s">
        <v>44</v>
      </c>
      <c r="N121" s="212" t="s">
        <v>45</v>
      </c>
      <c r="O121" s="212" t="s">
        <v>63</v>
      </c>
      <c r="P121" s="212" t="s">
        <v>674</v>
      </c>
      <c r="R121" s="212">
        <v>122</v>
      </c>
      <c r="S121" s="479">
        <v>44225</v>
      </c>
      <c r="T121" s="212" t="s">
        <v>2906</v>
      </c>
      <c r="U121" s="475">
        <f>63600000-27600000</f>
        <v>36000000</v>
      </c>
      <c r="V121" s="444">
        <v>27600000</v>
      </c>
      <c r="W121" s="398"/>
      <c r="X121" s="308">
        <v>278</v>
      </c>
      <c r="Y121" s="472">
        <v>44273</v>
      </c>
      <c r="Z121" s="491">
        <v>44273</v>
      </c>
      <c r="AA121" s="491">
        <v>44548</v>
      </c>
      <c r="AB121" s="485" t="s">
        <v>2650</v>
      </c>
      <c r="AC121" s="211">
        <v>196</v>
      </c>
      <c r="AD121" s="492">
        <v>1023019022</v>
      </c>
      <c r="AE121" s="493" t="s">
        <v>2907</v>
      </c>
      <c r="AF121" s="473">
        <v>36000000</v>
      </c>
      <c r="AG121" s="474">
        <f t="shared" si="1"/>
        <v>0</v>
      </c>
      <c r="AM121" s="306">
        <v>3733333</v>
      </c>
    </row>
    <row r="122" spans="1:39" ht="15" hidden="1" customHeight="1" x14ac:dyDescent="0.3">
      <c r="A122" s="476" t="s">
        <v>2100</v>
      </c>
      <c r="B122" s="477">
        <v>33000000</v>
      </c>
      <c r="C122" s="212" t="s">
        <v>2646</v>
      </c>
      <c r="D122" s="212">
        <v>120</v>
      </c>
      <c r="E122" s="478">
        <v>20215000002813</v>
      </c>
      <c r="F122" s="479">
        <v>44225</v>
      </c>
      <c r="G122" s="478" t="s">
        <v>2640</v>
      </c>
      <c r="H122" s="212" t="s">
        <v>2641</v>
      </c>
      <c r="I122" s="212" t="s">
        <v>228</v>
      </c>
      <c r="J122" s="475">
        <v>33000000</v>
      </c>
      <c r="K122" s="212" t="s">
        <v>223</v>
      </c>
      <c r="L122" s="212" t="s">
        <v>236</v>
      </c>
      <c r="M122" s="212" t="s">
        <v>44</v>
      </c>
      <c r="N122" s="212" t="s">
        <v>45</v>
      </c>
      <c r="O122" s="212" t="s">
        <v>63</v>
      </c>
      <c r="P122" s="212" t="s">
        <v>674</v>
      </c>
      <c r="R122" s="212">
        <v>123</v>
      </c>
      <c r="S122" s="479">
        <v>44225</v>
      </c>
      <c r="T122" s="212" t="s">
        <v>2908</v>
      </c>
      <c r="U122" s="475">
        <f>33000000-11000000</f>
        <v>22000000</v>
      </c>
      <c r="V122" s="444">
        <v>11000000</v>
      </c>
      <c r="W122" s="398"/>
      <c r="X122" s="483">
        <v>200</v>
      </c>
      <c r="Y122" s="484">
        <v>44253</v>
      </c>
      <c r="Z122" s="484">
        <v>44253</v>
      </c>
      <c r="AA122" s="484">
        <v>44556</v>
      </c>
      <c r="AB122" s="485" t="s">
        <v>2650</v>
      </c>
      <c r="AC122" s="483">
        <v>138</v>
      </c>
      <c r="AD122" s="485" t="s">
        <v>2909</v>
      </c>
      <c r="AE122" s="486" t="s">
        <v>2910</v>
      </c>
      <c r="AF122" s="473">
        <v>22000000</v>
      </c>
      <c r="AG122" s="474">
        <f t="shared" si="1"/>
        <v>0</v>
      </c>
      <c r="AK122" s="475">
        <v>2200000</v>
      </c>
      <c r="AL122" s="475">
        <v>2200000</v>
      </c>
      <c r="AM122" s="306">
        <v>2200000</v>
      </c>
    </row>
    <row r="123" spans="1:39" ht="15" hidden="1" customHeight="1" x14ac:dyDescent="0.3">
      <c r="A123" s="494" t="s">
        <v>2911</v>
      </c>
      <c r="B123" s="495">
        <v>18000000</v>
      </c>
      <c r="C123" s="212" t="s">
        <v>2646</v>
      </c>
      <c r="D123" s="212">
        <v>121</v>
      </c>
      <c r="E123" s="478">
        <v>20214000006123</v>
      </c>
      <c r="F123" s="479">
        <v>44235</v>
      </c>
      <c r="G123" s="478" t="s">
        <v>2673</v>
      </c>
      <c r="H123" s="212" t="s">
        <v>2674</v>
      </c>
      <c r="I123" s="212" t="s">
        <v>117</v>
      </c>
      <c r="J123" s="475">
        <v>18000000</v>
      </c>
      <c r="K123" s="212" t="s">
        <v>112</v>
      </c>
      <c r="L123" s="212" t="s">
        <v>2675</v>
      </c>
      <c r="M123" s="212" t="s">
        <v>44</v>
      </c>
      <c r="N123" s="212" t="s">
        <v>45</v>
      </c>
      <c r="O123" s="212" t="s">
        <v>63</v>
      </c>
      <c r="P123" s="212" t="s">
        <v>43</v>
      </c>
      <c r="R123" s="212">
        <v>208</v>
      </c>
      <c r="S123" s="479">
        <v>44235</v>
      </c>
      <c r="T123" s="212" t="s">
        <v>2912</v>
      </c>
      <c r="U123" s="475">
        <f>18000000-3464000</f>
        <v>14536000</v>
      </c>
      <c r="V123" s="406">
        <v>3464000</v>
      </c>
      <c r="W123" s="362"/>
      <c r="X123" s="308" t="s">
        <v>2913</v>
      </c>
      <c r="Y123" s="484">
        <v>44257</v>
      </c>
      <c r="Z123" s="484">
        <v>44257</v>
      </c>
      <c r="AA123" s="484">
        <v>44379</v>
      </c>
      <c r="AB123" s="485" t="s">
        <v>2650</v>
      </c>
      <c r="AC123" s="211" t="s">
        <v>2914</v>
      </c>
      <c r="AD123" s="485" t="s">
        <v>2915</v>
      </c>
      <c r="AE123" s="486" t="s">
        <v>2916</v>
      </c>
      <c r="AF123" s="473">
        <v>14536000</v>
      </c>
      <c r="AG123" s="474">
        <f t="shared" si="1"/>
        <v>0</v>
      </c>
      <c r="AK123" s="475">
        <v>3270600</v>
      </c>
      <c r="AL123" s="475">
        <v>3634000</v>
      </c>
      <c r="AM123" s="306">
        <v>3634000</v>
      </c>
    </row>
    <row r="124" spans="1:39" ht="15" hidden="1" customHeight="1" x14ac:dyDescent="0.3">
      <c r="A124" s="476" t="s">
        <v>2101</v>
      </c>
      <c r="B124" s="477">
        <v>33000000</v>
      </c>
      <c r="C124" s="212" t="s">
        <v>2646</v>
      </c>
      <c r="D124" s="212">
        <v>122</v>
      </c>
      <c r="E124" s="478">
        <v>20215000002833</v>
      </c>
      <c r="F124" s="479">
        <v>44225</v>
      </c>
      <c r="G124" s="478" t="s">
        <v>2640</v>
      </c>
      <c r="H124" s="212" t="s">
        <v>2641</v>
      </c>
      <c r="I124" s="212" t="s">
        <v>228</v>
      </c>
      <c r="J124" s="475">
        <v>33000000</v>
      </c>
      <c r="K124" s="212" t="s">
        <v>223</v>
      </c>
      <c r="L124" s="212" t="s">
        <v>236</v>
      </c>
      <c r="M124" s="212" t="s">
        <v>44</v>
      </c>
      <c r="N124" s="212" t="s">
        <v>45</v>
      </c>
      <c r="O124" s="212" t="s">
        <v>63</v>
      </c>
      <c r="P124" s="212" t="s">
        <v>674</v>
      </c>
      <c r="R124" s="212">
        <v>125</v>
      </c>
      <c r="S124" s="479">
        <v>44225</v>
      </c>
      <c r="T124" s="212" t="s">
        <v>2917</v>
      </c>
      <c r="U124" s="475">
        <f>33000000-3000000</f>
        <v>30000000</v>
      </c>
      <c r="V124" s="444">
        <v>3000000</v>
      </c>
      <c r="W124" s="398"/>
      <c r="X124" s="483">
        <v>181</v>
      </c>
      <c r="Y124" s="484">
        <v>44250</v>
      </c>
      <c r="Z124" s="484">
        <v>44250</v>
      </c>
      <c r="AA124" s="484">
        <v>44553</v>
      </c>
      <c r="AB124" s="485" t="s">
        <v>2650</v>
      </c>
      <c r="AC124" s="483">
        <v>122</v>
      </c>
      <c r="AD124" s="485">
        <v>52302200</v>
      </c>
      <c r="AE124" s="486" t="s">
        <v>2918</v>
      </c>
      <c r="AF124" s="473">
        <v>30000000</v>
      </c>
      <c r="AG124" s="474">
        <f t="shared" si="1"/>
        <v>0</v>
      </c>
      <c r="AK124" s="475">
        <f>600000+3000000</f>
        <v>3600000</v>
      </c>
      <c r="AL124" s="475">
        <v>3000000</v>
      </c>
      <c r="AM124" s="306">
        <v>3000000</v>
      </c>
    </row>
    <row r="125" spans="1:39" ht="15" hidden="1" customHeight="1" x14ac:dyDescent="0.3">
      <c r="A125" s="494" t="s">
        <v>2531</v>
      </c>
      <c r="B125" s="495">
        <v>24000000</v>
      </c>
      <c r="C125" s="212" t="s">
        <v>2762</v>
      </c>
      <c r="D125" s="212">
        <v>123</v>
      </c>
      <c r="E125" s="478">
        <v>20214000006113</v>
      </c>
      <c r="F125" s="479">
        <v>44235</v>
      </c>
      <c r="G125" s="478" t="s">
        <v>2673</v>
      </c>
      <c r="H125" s="212" t="s">
        <v>2674</v>
      </c>
      <c r="I125" s="212" t="s">
        <v>117</v>
      </c>
      <c r="J125" s="475">
        <v>24000000</v>
      </c>
      <c r="K125" s="212" t="s">
        <v>112</v>
      </c>
      <c r="L125" s="212" t="s">
        <v>2675</v>
      </c>
      <c r="M125" s="212" t="s">
        <v>44</v>
      </c>
      <c r="N125" s="212" t="s">
        <v>45</v>
      </c>
      <c r="O125" s="212" t="s">
        <v>63</v>
      </c>
      <c r="P125" s="212" t="s">
        <v>43</v>
      </c>
      <c r="R125" s="212">
        <v>207</v>
      </c>
      <c r="S125" s="479">
        <v>44235</v>
      </c>
      <c r="T125" s="212" t="s">
        <v>2919</v>
      </c>
      <c r="U125" s="475">
        <v>24000000</v>
      </c>
      <c r="V125" s="406"/>
      <c r="W125" s="362"/>
      <c r="X125" s="308">
        <v>214</v>
      </c>
      <c r="Y125" s="484">
        <v>44257</v>
      </c>
      <c r="Z125" s="484">
        <v>44257</v>
      </c>
      <c r="AA125" s="484">
        <v>44379</v>
      </c>
      <c r="AB125" s="485" t="s">
        <v>2650</v>
      </c>
      <c r="AC125" s="211">
        <v>143</v>
      </c>
      <c r="AD125" s="485" t="s">
        <v>2920</v>
      </c>
      <c r="AE125" s="486" t="s">
        <v>2921</v>
      </c>
      <c r="AF125" s="473">
        <v>24000000</v>
      </c>
      <c r="AG125" s="474">
        <f t="shared" si="1"/>
        <v>0</v>
      </c>
      <c r="AK125" s="475">
        <v>5800000</v>
      </c>
      <c r="AL125" s="475">
        <v>6000000</v>
      </c>
      <c r="AM125" s="306">
        <v>6000000</v>
      </c>
    </row>
    <row r="126" spans="1:39" ht="15" hidden="1" customHeight="1" x14ac:dyDescent="0.3">
      <c r="A126" s="476" t="s">
        <v>2221</v>
      </c>
      <c r="B126" s="477">
        <v>8000000</v>
      </c>
      <c r="C126" s="212" t="s">
        <v>2646</v>
      </c>
      <c r="D126" s="212">
        <v>124</v>
      </c>
      <c r="E126" s="309">
        <v>20214000008293</v>
      </c>
      <c r="F126" s="310">
        <v>44243</v>
      </c>
      <c r="G126" s="478" t="s">
        <v>2680</v>
      </c>
      <c r="H126" s="212" t="s">
        <v>2681</v>
      </c>
      <c r="I126" s="212" t="s">
        <v>47</v>
      </c>
      <c r="J126" s="475">
        <v>8000000</v>
      </c>
      <c r="K126" s="212" t="s">
        <v>37</v>
      </c>
      <c r="L126" s="212" t="s">
        <v>2682</v>
      </c>
      <c r="M126" s="212" t="s">
        <v>44</v>
      </c>
      <c r="N126" s="212" t="s">
        <v>45</v>
      </c>
      <c r="O126" s="212" t="s">
        <v>310</v>
      </c>
      <c r="P126" s="212" t="s">
        <v>43</v>
      </c>
      <c r="R126" s="212">
        <v>257</v>
      </c>
      <c r="S126" s="479">
        <v>44244</v>
      </c>
      <c r="T126" s="212" t="s">
        <v>2922</v>
      </c>
      <c r="U126" s="475">
        <v>8000000</v>
      </c>
      <c r="V126" s="406"/>
      <c r="W126" s="362"/>
      <c r="X126" s="308">
        <v>215</v>
      </c>
      <c r="Y126" s="484">
        <v>44257</v>
      </c>
      <c r="Z126" s="484">
        <v>44257</v>
      </c>
      <c r="AA126" s="484">
        <v>44502</v>
      </c>
      <c r="AB126" s="485" t="s">
        <v>2650</v>
      </c>
      <c r="AC126" s="211">
        <v>144</v>
      </c>
      <c r="AD126" s="485" t="s">
        <v>2923</v>
      </c>
      <c r="AE126" s="486" t="s">
        <v>2924</v>
      </c>
      <c r="AF126" s="473">
        <v>8000000</v>
      </c>
      <c r="AG126" s="474">
        <f t="shared" si="1"/>
        <v>0</v>
      </c>
      <c r="AK126" s="475">
        <v>966667</v>
      </c>
      <c r="AL126" s="475">
        <v>1000000</v>
      </c>
      <c r="AM126" s="212"/>
    </row>
    <row r="127" spans="1:39" ht="15" hidden="1" customHeight="1" x14ac:dyDescent="0.3">
      <c r="A127" s="476" t="s">
        <v>2536</v>
      </c>
      <c r="B127" s="477">
        <v>72000000</v>
      </c>
      <c r="C127" s="212" t="s">
        <v>2762</v>
      </c>
      <c r="D127" s="212">
        <v>125</v>
      </c>
      <c r="E127" s="309">
        <v>20214000008293</v>
      </c>
      <c r="F127" s="310">
        <v>44243</v>
      </c>
      <c r="G127" s="478" t="s">
        <v>2673</v>
      </c>
      <c r="H127" s="212" t="s">
        <v>2674</v>
      </c>
      <c r="I127" s="212" t="s">
        <v>117</v>
      </c>
      <c r="J127" s="475">
        <v>56000000</v>
      </c>
      <c r="K127" s="212" t="s">
        <v>112</v>
      </c>
      <c r="L127" s="212" t="s">
        <v>2675</v>
      </c>
      <c r="M127" s="212" t="s">
        <v>44</v>
      </c>
      <c r="N127" s="212" t="s">
        <v>45</v>
      </c>
      <c r="O127" s="212" t="s">
        <v>63</v>
      </c>
      <c r="P127" s="212" t="s">
        <v>43</v>
      </c>
      <c r="R127" s="486">
        <v>257</v>
      </c>
      <c r="S127" s="490">
        <v>44244</v>
      </c>
      <c r="T127" s="486" t="s">
        <v>2922</v>
      </c>
      <c r="U127" s="475">
        <v>56000000</v>
      </c>
      <c r="V127" s="406"/>
      <c r="W127" s="362"/>
      <c r="X127" s="308">
        <v>215</v>
      </c>
      <c r="Y127" s="484">
        <v>44257</v>
      </c>
      <c r="Z127" s="484">
        <v>44257</v>
      </c>
      <c r="AA127" s="484">
        <v>44502</v>
      </c>
      <c r="AB127" s="485" t="s">
        <v>2650</v>
      </c>
      <c r="AC127" s="211">
        <v>144</v>
      </c>
      <c r="AD127" s="485" t="s">
        <v>2923</v>
      </c>
      <c r="AE127" s="486" t="s">
        <v>2924</v>
      </c>
      <c r="AF127" s="473">
        <v>56000000</v>
      </c>
      <c r="AG127" s="474">
        <f t="shared" si="1"/>
        <v>0</v>
      </c>
      <c r="AK127" s="475">
        <v>6766666</v>
      </c>
      <c r="AL127" s="475">
        <v>7000000</v>
      </c>
      <c r="AM127" s="212"/>
    </row>
    <row r="128" spans="1:39" ht="15" hidden="1" customHeight="1" x14ac:dyDescent="0.3">
      <c r="A128" s="476" t="s">
        <v>2033</v>
      </c>
      <c r="B128" s="477">
        <v>33000000</v>
      </c>
      <c r="C128" s="212" t="s">
        <v>2646</v>
      </c>
      <c r="D128" s="212">
        <v>126</v>
      </c>
      <c r="E128" s="478">
        <v>20215000002893</v>
      </c>
      <c r="F128" s="479">
        <v>44225</v>
      </c>
      <c r="G128" s="478" t="s">
        <v>2640</v>
      </c>
      <c r="H128" s="212" t="s">
        <v>2641</v>
      </c>
      <c r="I128" s="212" t="s">
        <v>228</v>
      </c>
      <c r="J128" s="475">
        <v>33000000</v>
      </c>
      <c r="K128" s="212" t="s">
        <v>223</v>
      </c>
      <c r="L128" s="212" t="s">
        <v>236</v>
      </c>
      <c r="M128" s="212" t="s">
        <v>44</v>
      </c>
      <c r="N128" s="212" t="s">
        <v>45</v>
      </c>
      <c r="O128" s="212" t="s">
        <v>63</v>
      </c>
      <c r="P128" s="212" t="s">
        <v>674</v>
      </c>
      <c r="R128" s="212">
        <v>130</v>
      </c>
      <c r="S128" s="479">
        <v>44225</v>
      </c>
      <c r="T128" s="212" t="s">
        <v>2925</v>
      </c>
      <c r="U128" s="475">
        <f>33000000-9000000</f>
        <v>24000000</v>
      </c>
      <c r="V128" s="406">
        <v>9000000</v>
      </c>
      <c r="W128" s="362"/>
      <c r="X128" s="483" t="s">
        <v>2926</v>
      </c>
      <c r="Y128" s="484">
        <v>44306</v>
      </c>
      <c r="Z128" s="484">
        <v>44306</v>
      </c>
      <c r="AA128" s="484">
        <v>44549</v>
      </c>
      <c r="AB128" s="485" t="s">
        <v>2650</v>
      </c>
      <c r="AC128" s="483" t="s">
        <v>2927</v>
      </c>
      <c r="AD128" s="485" t="s">
        <v>2928</v>
      </c>
      <c r="AE128" s="486" t="s">
        <v>2929</v>
      </c>
      <c r="AF128" s="473">
        <v>24000000</v>
      </c>
      <c r="AG128" s="474">
        <f t="shared" si="1"/>
        <v>0</v>
      </c>
      <c r="AL128" s="475">
        <v>900000</v>
      </c>
      <c r="AM128" s="306">
        <v>3000000</v>
      </c>
    </row>
    <row r="129" spans="1:39" hidden="1" x14ac:dyDescent="0.3">
      <c r="A129" s="476" t="s">
        <v>2037</v>
      </c>
      <c r="B129" s="477">
        <v>33000000</v>
      </c>
      <c r="C129" s="212" t="s">
        <v>2646</v>
      </c>
      <c r="D129" s="212">
        <v>127</v>
      </c>
      <c r="E129" s="478">
        <v>20215000002903</v>
      </c>
      <c r="F129" s="479">
        <v>44225</v>
      </c>
      <c r="G129" s="478" t="s">
        <v>2640</v>
      </c>
      <c r="H129" s="212" t="s">
        <v>2641</v>
      </c>
      <c r="I129" s="212" t="s">
        <v>228</v>
      </c>
      <c r="J129" s="475">
        <v>33000000</v>
      </c>
      <c r="K129" s="212" t="s">
        <v>223</v>
      </c>
      <c r="L129" s="212" t="s">
        <v>236</v>
      </c>
      <c r="M129" s="212" t="s">
        <v>44</v>
      </c>
      <c r="N129" s="212" t="s">
        <v>45</v>
      </c>
      <c r="O129" s="212" t="s">
        <v>63</v>
      </c>
      <c r="P129" s="212" t="s">
        <v>674</v>
      </c>
      <c r="R129" s="212">
        <v>131</v>
      </c>
      <c r="S129" s="479">
        <v>44225</v>
      </c>
      <c r="T129" s="212" t="s">
        <v>2930</v>
      </c>
      <c r="U129" s="475">
        <f>33000000-11400000</f>
        <v>21600000</v>
      </c>
      <c r="V129" s="406">
        <v>11400000</v>
      </c>
      <c r="W129" s="362"/>
      <c r="X129" s="483" t="s">
        <v>2931</v>
      </c>
      <c r="Y129" s="484">
        <v>44307</v>
      </c>
      <c r="Z129" s="484">
        <v>44307</v>
      </c>
      <c r="AA129" s="484">
        <v>44550</v>
      </c>
      <c r="AB129" s="485" t="s">
        <v>2650</v>
      </c>
      <c r="AC129" s="483" t="s">
        <v>2932</v>
      </c>
      <c r="AD129" s="485" t="s">
        <v>2933</v>
      </c>
      <c r="AE129" s="486" t="s">
        <v>2934</v>
      </c>
      <c r="AF129" s="473">
        <v>21600000</v>
      </c>
      <c r="AG129" s="474">
        <f t="shared" si="1"/>
        <v>0</v>
      </c>
      <c r="AL129" s="475">
        <v>900000</v>
      </c>
      <c r="AM129" s="306">
        <v>2700000</v>
      </c>
    </row>
    <row r="130" spans="1:39" s="312" customFormat="1" hidden="1" x14ac:dyDescent="0.3">
      <c r="A130" s="361" t="s">
        <v>2935</v>
      </c>
      <c r="B130" s="417">
        <v>55000000</v>
      </c>
      <c r="C130" s="312" t="s">
        <v>2646</v>
      </c>
      <c r="D130" s="312">
        <v>128</v>
      </c>
      <c r="E130" s="325">
        <v>20215000002913</v>
      </c>
      <c r="F130" s="315">
        <v>44225</v>
      </c>
      <c r="G130" s="325" t="s">
        <v>2640</v>
      </c>
      <c r="H130" s="312" t="s">
        <v>2641</v>
      </c>
      <c r="I130" s="312" t="s">
        <v>228</v>
      </c>
      <c r="J130" s="405">
        <v>55000000</v>
      </c>
      <c r="K130" s="312" t="s">
        <v>223</v>
      </c>
      <c r="L130" s="312" t="s">
        <v>257</v>
      </c>
      <c r="M130" s="312" t="s">
        <v>44</v>
      </c>
      <c r="N130" s="312" t="s">
        <v>2936</v>
      </c>
      <c r="O130" s="312" t="s">
        <v>255</v>
      </c>
      <c r="P130" s="312" t="s">
        <v>674</v>
      </c>
      <c r="R130" s="312">
        <v>132</v>
      </c>
      <c r="S130" s="315">
        <v>44225</v>
      </c>
      <c r="T130" s="312" t="s">
        <v>2937</v>
      </c>
      <c r="U130" s="405">
        <f>55000000-55000000</f>
        <v>0</v>
      </c>
      <c r="V130" s="406">
        <v>55000000</v>
      </c>
      <c r="W130" s="362" t="s">
        <v>1509</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3">
      <c r="A131" s="476" t="s">
        <v>2480</v>
      </c>
      <c r="B131" s="477">
        <v>54712000</v>
      </c>
      <c r="C131" s="212" t="s">
        <v>2646</v>
      </c>
      <c r="D131" s="212">
        <v>129</v>
      </c>
      <c r="E131" s="478">
        <v>20215000002943</v>
      </c>
      <c r="F131" s="479">
        <v>44225</v>
      </c>
      <c r="G131" s="478" t="s">
        <v>2640</v>
      </c>
      <c r="H131" s="212" t="s">
        <v>2641</v>
      </c>
      <c r="I131" s="212" t="s">
        <v>228</v>
      </c>
      <c r="J131" s="475">
        <v>54712000</v>
      </c>
      <c r="K131" s="212" t="s">
        <v>288</v>
      </c>
      <c r="L131" s="212" t="s">
        <v>294</v>
      </c>
      <c r="M131" s="212" t="s">
        <v>44</v>
      </c>
      <c r="N131" s="212" t="s">
        <v>45</v>
      </c>
      <c r="O131" s="212" t="s">
        <v>63</v>
      </c>
      <c r="P131" s="212" t="s">
        <v>674</v>
      </c>
      <c r="R131" s="212">
        <v>140</v>
      </c>
      <c r="S131" s="479">
        <v>44228</v>
      </c>
      <c r="T131" s="212" t="s">
        <v>2938</v>
      </c>
      <c r="U131" s="475">
        <f>54712000-17292000</f>
        <v>37420000</v>
      </c>
      <c r="V131" s="411">
        <v>17292000</v>
      </c>
      <c r="W131" s="397"/>
      <c r="X131" s="483">
        <v>117</v>
      </c>
      <c r="Y131" s="484">
        <v>44238</v>
      </c>
      <c r="Z131" s="484">
        <v>44238</v>
      </c>
      <c r="AA131" s="484">
        <v>44541</v>
      </c>
      <c r="AB131" s="485" t="s">
        <v>2650</v>
      </c>
      <c r="AC131" s="211">
        <v>70</v>
      </c>
      <c r="AD131" s="485">
        <v>80149008</v>
      </c>
      <c r="AE131" s="486" t="s">
        <v>2939</v>
      </c>
      <c r="AF131" s="473">
        <v>37420000</v>
      </c>
      <c r="AG131" s="474">
        <f t="shared" si="2"/>
        <v>0</v>
      </c>
      <c r="AJ131" s="475">
        <v>2245200</v>
      </c>
      <c r="AK131" s="475">
        <v>3742000</v>
      </c>
      <c r="AL131" s="475">
        <v>3742000</v>
      </c>
      <c r="AM131" s="306">
        <v>3742000</v>
      </c>
    </row>
    <row r="132" spans="1:39" hidden="1" x14ac:dyDescent="0.3">
      <c r="A132" s="476" t="s">
        <v>2155</v>
      </c>
      <c r="B132" s="477">
        <v>52800000</v>
      </c>
      <c r="C132" s="212" t="s">
        <v>2646</v>
      </c>
      <c r="D132" s="212">
        <v>130</v>
      </c>
      <c r="E132" s="478">
        <v>20215000003683</v>
      </c>
      <c r="F132" s="479">
        <v>44225</v>
      </c>
      <c r="G132" s="478" t="s">
        <v>2640</v>
      </c>
      <c r="H132" s="212" t="s">
        <v>2641</v>
      </c>
      <c r="I132" s="212" t="s">
        <v>228</v>
      </c>
      <c r="J132" s="475">
        <v>52800000</v>
      </c>
      <c r="K132" s="212" t="s">
        <v>223</v>
      </c>
      <c r="L132" s="212" t="s">
        <v>269</v>
      </c>
      <c r="M132" s="212" t="s">
        <v>44</v>
      </c>
      <c r="N132" s="212" t="s">
        <v>45</v>
      </c>
      <c r="O132" s="212" t="s">
        <v>63</v>
      </c>
      <c r="P132" s="212" t="s">
        <v>674</v>
      </c>
      <c r="R132" s="212">
        <v>133</v>
      </c>
      <c r="S132" s="479">
        <v>44225</v>
      </c>
      <c r="T132" s="212" t="s">
        <v>2940</v>
      </c>
      <c r="U132" s="475">
        <f>52800000-8800000</f>
        <v>44000000</v>
      </c>
      <c r="V132" s="411">
        <v>8800000</v>
      </c>
      <c r="W132" s="397"/>
      <c r="X132" s="483">
        <v>121</v>
      </c>
      <c r="Y132" s="484">
        <v>44238</v>
      </c>
      <c r="Z132" s="484">
        <v>44238</v>
      </c>
      <c r="AA132" s="484">
        <v>44541</v>
      </c>
      <c r="AB132" s="485" t="s">
        <v>2650</v>
      </c>
      <c r="AC132" s="483">
        <v>71</v>
      </c>
      <c r="AD132" s="485">
        <v>1033729303</v>
      </c>
      <c r="AE132" s="486" t="s">
        <v>2941</v>
      </c>
      <c r="AF132" s="473">
        <v>44000000</v>
      </c>
      <c r="AG132" s="474">
        <f t="shared" si="2"/>
        <v>0</v>
      </c>
      <c r="AJ132" s="475">
        <v>2640000</v>
      </c>
      <c r="AK132" s="475">
        <v>4400000</v>
      </c>
      <c r="AL132" s="475">
        <v>4400000</v>
      </c>
      <c r="AM132" s="306">
        <v>4400000</v>
      </c>
    </row>
    <row r="133" spans="1:39" hidden="1" x14ac:dyDescent="0.3">
      <c r="A133" s="476" t="s">
        <v>2158</v>
      </c>
      <c r="B133" s="477">
        <v>64900000</v>
      </c>
      <c r="C133" s="212" t="s">
        <v>2646</v>
      </c>
      <c r="D133" s="212">
        <v>131</v>
      </c>
      <c r="E133" s="478">
        <v>20215000003693</v>
      </c>
      <c r="F133" s="479">
        <v>44225</v>
      </c>
      <c r="G133" s="478" t="s">
        <v>2640</v>
      </c>
      <c r="H133" s="212" t="s">
        <v>2641</v>
      </c>
      <c r="I133" s="212" t="s">
        <v>228</v>
      </c>
      <c r="J133" s="475">
        <v>64900000</v>
      </c>
      <c r="K133" s="212" t="s">
        <v>223</v>
      </c>
      <c r="L133" s="212" t="s">
        <v>233</v>
      </c>
      <c r="M133" s="212" t="s">
        <v>44</v>
      </c>
      <c r="N133" s="212" t="s">
        <v>45</v>
      </c>
      <c r="O133" s="212" t="s">
        <v>63</v>
      </c>
      <c r="P133" s="212" t="s">
        <v>674</v>
      </c>
      <c r="R133" s="212">
        <v>134</v>
      </c>
      <c r="S133" s="479">
        <v>44225</v>
      </c>
      <c r="T133" s="212" t="s">
        <v>2942</v>
      </c>
      <c r="U133" s="475">
        <f>64900000-24900000</f>
        <v>40000000</v>
      </c>
      <c r="V133" s="411">
        <v>24900000</v>
      </c>
      <c r="W133" s="397"/>
      <c r="X133" s="308">
        <v>101</v>
      </c>
      <c r="Y133" s="484">
        <v>44236</v>
      </c>
      <c r="Z133" s="484">
        <v>44236</v>
      </c>
      <c r="AA133" s="484">
        <v>44539</v>
      </c>
      <c r="AB133" s="485" t="s">
        <v>2650</v>
      </c>
      <c r="AC133" s="211">
        <v>62</v>
      </c>
      <c r="AD133" s="487">
        <v>1032432961</v>
      </c>
      <c r="AE133" s="486" t="s">
        <v>2943</v>
      </c>
      <c r="AF133" s="473">
        <v>40000000</v>
      </c>
      <c r="AG133" s="474">
        <f t="shared" si="2"/>
        <v>0</v>
      </c>
      <c r="AJ133" s="475">
        <v>2666667</v>
      </c>
      <c r="AK133" s="475">
        <v>4000000</v>
      </c>
      <c r="AL133" s="475">
        <v>4000000</v>
      </c>
      <c r="AM133" s="306">
        <v>4000000</v>
      </c>
    </row>
    <row r="134" spans="1:39" hidden="1" x14ac:dyDescent="0.3">
      <c r="A134" s="476" t="s">
        <v>1825</v>
      </c>
      <c r="B134" s="477">
        <v>44000000</v>
      </c>
      <c r="C134" s="212" t="s">
        <v>2646</v>
      </c>
      <c r="D134" s="212">
        <v>132</v>
      </c>
      <c r="E134" s="478">
        <v>20215000003713</v>
      </c>
      <c r="F134" s="479">
        <v>44225</v>
      </c>
      <c r="G134" s="478" t="s">
        <v>2640</v>
      </c>
      <c r="H134" s="212" t="s">
        <v>2641</v>
      </c>
      <c r="I134" s="212" t="s">
        <v>228</v>
      </c>
      <c r="J134" s="475">
        <v>44000000</v>
      </c>
      <c r="K134" s="212" t="s">
        <v>223</v>
      </c>
      <c r="L134" s="212" t="s">
        <v>269</v>
      </c>
      <c r="M134" s="212" t="s">
        <v>44</v>
      </c>
      <c r="N134" s="212" t="s">
        <v>45</v>
      </c>
      <c r="O134" s="212" t="s">
        <v>63</v>
      </c>
      <c r="P134" s="212" t="s">
        <v>674</v>
      </c>
      <c r="R134" s="212">
        <v>135</v>
      </c>
      <c r="S134" s="479">
        <v>44225</v>
      </c>
      <c r="T134" s="212" t="s">
        <v>2944</v>
      </c>
      <c r="U134" s="475">
        <f>44000000-13400000</f>
        <v>30600000</v>
      </c>
      <c r="V134" s="406">
        <v>13400000</v>
      </c>
      <c r="W134" s="362"/>
      <c r="X134" s="483" t="s">
        <v>2945</v>
      </c>
      <c r="Y134" s="484">
        <v>44302</v>
      </c>
      <c r="Z134" s="484">
        <v>44302</v>
      </c>
      <c r="AA134" s="484">
        <v>44561</v>
      </c>
      <c r="AB134" s="485" t="s">
        <v>2650</v>
      </c>
      <c r="AC134" s="483" t="s">
        <v>2946</v>
      </c>
      <c r="AD134" s="485" t="s">
        <v>2947</v>
      </c>
      <c r="AE134" s="486" t="s">
        <v>2948</v>
      </c>
      <c r="AF134" s="473">
        <v>30600000</v>
      </c>
      <c r="AG134" s="474">
        <f t="shared" si="2"/>
        <v>0</v>
      </c>
      <c r="AL134" s="475">
        <v>1440000</v>
      </c>
      <c r="AM134" s="306">
        <v>3600000</v>
      </c>
    </row>
    <row r="135" spans="1:39" hidden="1" x14ac:dyDescent="0.3">
      <c r="A135" s="476" t="s">
        <v>2255</v>
      </c>
      <c r="B135" s="477">
        <v>34967856</v>
      </c>
      <c r="C135" s="212" t="s">
        <v>2646</v>
      </c>
      <c r="D135" s="212">
        <v>133</v>
      </c>
      <c r="E135" s="478">
        <v>20217000003833</v>
      </c>
      <c r="F135" s="479">
        <v>44225</v>
      </c>
      <c r="G135" s="478" t="s">
        <v>2647</v>
      </c>
      <c r="H135" s="212" t="s">
        <v>2648</v>
      </c>
      <c r="I135" s="212" t="s">
        <v>164</v>
      </c>
      <c r="J135" s="475">
        <v>19100000</v>
      </c>
      <c r="K135" s="212" t="s">
        <v>138</v>
      </c>
      <c r="L135" s="212" t="s">
        <v>139</v>
      </c>
      <c r="M135" s="212" t="s">
        <v>44</v>
      </c>
      <c r="N135" s="212" t="s">
        <v>45</v>
      </c>
      <c r="O135" s="212" t="s">
        <v>142</v>
      </c>
      <c r="P135" s="212" t="s">
        <v>43</v>
      </c>
      <c r="R135" s="212">
        <v>136</v>
      </c>
      <c r="S135" s="479">
        <v>44225</v>
      </c>
      <c r="T135" s="212" t="s">
        <v>2949</v>
      </c>
      <c r="U135" s="475">
        <v>19100000</v>
      </c>
      <c r="V135" s="406"/>
      <c r="W135" s="362"/>
      <c r="X135" s="308">
        <v>74</v>
      </c>
      <c r="Y135" s="484">
        <v>44231</v>
      </c>
      <c r="Z135" s="484">
        <v>44231</v>
      </c>
      <c r="AA135" s="484">
        <v>44412</v>
      </c>
      <c r="AB135" s="485" t="s">
        <v>2650</v>
      </c>
      <c r="AC135" s="211">
        <v>35</v>
      </c>
      <c r="AD135" s="487">
        <v>1013582050</v>
      </c>
      <c r="AE135" s="486" t="s">
        <v>2950</v>
      </c>
      <c r="AF135" s="473">
        <v>19073376</v>
      </c>
      <c r="AG135" s="474">
        <f t="shared" si="2"/>
        <v>26624</v>
      </c>
      <c r="AJ135" s="475">
        <v>2543117</v>
      </c>
      <c r="AK135" s="475">
        <v>3178896</v>
      </c>
      <c r="AL135" s="475">
        <v>3178896</v>
      </c>
      <c r="AM135" s="306">
        <v>3178896</v>
      </c>
    </row>
    <row r="136" spans="1:39" hidden="1" x14ac:dyDescent="0.3">
      <c r="A136" s="476" t="s">
        <v>2254</v>
      </c>
      <c r="B136" s="477">
        <v>29972448</v>
      </c>
      <c r="C136" s="212" t="s">
        <v>2646</v>
      </c>
      <c r="D136" s="212">
        <v>134</v>
      </c>
      <c r="E136" s="478">
        <v>20217000002483</v>
      </c>
      <c r="F136" s="479">
        <v>44225</v>
      </c>
      <c r="G136" s="478" t="s">
        <v>2647</v>
      </c>
      <c r="H136" s="212" t="s">
        <v>2648</v>
      </c>
      <c r="I136" s="212" t="s">
        <v>164</v>
      </c>
      <c r="J136" s="475">
        <v>19079046</v>
      </c>
      <c r="K136" s="212" t="s">
        <v>138</v>
      </c>
      <c r="L136" s="212" t="s">
        <v>139</v>
      </c>
      <c r="M136" s="212" t="s">
        <v>44</v>
      </c>
      <c r="N136" s="212" t="s">
        <v>45</v>
      </c>
      <c r="O136" s="212" t="s">
        <v>142</v>
      </c>
      <c r="P136" s="212" t="s">
        <v>43</v>
      </c>
      <c r="R136" s="212">
        <v>127</v>
      </c>
      <c r="S136" s="479">
        <v>44225</v>
      </c>
      <c r="T136" s="212" t="s">
        <v>2951</v>
      </c>
      <c r="U136" s="475">
        <v>19079046</v>
      </c>
      <c r="V136" s="406"/>
      <c r="W136" s="362"/>
      <c r="X136" s="308">
        <v>216</v>
      </c>
      <c r="Y136" s="484">
        <v>44257</v>
      </c>
      <c r="Z136" s="484">
        <v>44257</v>
      </c>
      <c r="AA136" s="484">
        <v>44438</v>
      </c>
      <c r="AB136" s="485" t="s">
        <v>2650</v>
      </c>
      <c r="AC136" s="211">
        <v>153</v>
      </c>
      <c r="AD136" s="485" t="s">
        <v>2952</v>
      </c>
      <c r="AE136" s="486" t="s">
        <v>2953</v>
      </c>
      <c r="AF136" s="473">
        <v>19079046</v>
      </c>
      <c r="AG136" s="474">
        <f t="shared" si="2"/>
        <v>0</v>
      </c>
      <c r="AK136" s="475">
        <v>3179841</v>
      </c>
      <c r="AL136" s="475">
        <v>3179841</v>
      </c>
      <c r="AM136" s="306">
        <v>3179841</v>
      </c>
    </row>
    <row r="137" spans="1:39" hidden="1" x14ac:dyDescent="0.3">
      <c r="A137" s="476" t="s">
        <v>2394</v>
      </c>
      <c r="B137" s="477">
        <v>19987572</v>
      </c>
      <c r="C137" s="212" t="s">
        <v>2646</v>
      </c>
      <c r="D137" s="212">
        <v>135</v>
      </c>
      <c r="E137" s="478">
        <v>20217000002363</v>
      </c>
      <c r="F137" s="479">
        <v>44225</v>
      </c>
      <c r="G137" s="478" t="s">
        <v>2647</v>
      </c>
      <c r="H137" s="212" t="s">
        <v>2648</v>
      </c>
      <c r="I137" s="212" t="s">
        <v>164</v>
      </c>
      <c r="J137" s="475">
        <v>7268208</v>
      </c>
      <c r="K137" s="212" t="s">
        <v>138</v>
      </c>
      <c r="L137" s="212" t="s">
        <v>139</v>
      </c>
      <c r="M137" s="212" t="s">
        <v>44</v>
      </c>
      <c r="N137" s="212" t="s">
        <v>45</v>
      </c>
      <c r="O137" s="212" t="s">
        <v>142</v>
      </c>
      <c r="P137" s="212" t="s">
        <v>43</v>
      </c>
      <c r="R137" s="212">
        <v>137</v>
      </c>
      <c r="S137" s="479">
        <v>44225</v>
      </c>
      <c r="T137" s="212" t="s">
        <v>2954</v>
      </c>
      <c r="U137" s="475">
        <v>7268208</v>
      </c>
      <c r="V137" s="406"/>
      <c r="W137" s="362"/>
      <c r="X137" s="32">
        <v>88</v>
      </c>
      <c r="Y137" s="484">
        <v>44235</v>
      </c>
      <c r="Z137" s="484">
        <v>44235</v>
      </c>
      <c r="AA137" s="484">
        <v>44355</v>
      </c>
      <c r="AB137" s="485" t="s">
        <v>2650</v>
      </c>
      <c r="AC137" s="211">
        <v>51</v>
      </c>
      <c r="AD137" s="487">
        <v>1014307538</v>
      </c>
      <c r="AE137" s="486" t="s">
        <v>2955</v>
      </c>
      <c r="AF137" s="473">
        <v>7268208</v>
      </c>
      <c r="AG137" s="474">
        <f t="shared" si="2"/>
        <v>0</v>
      </c>
      <c r="AJ137" s="475">
        <v>1271936</v>
      </c>
      <c r="AK137" s="475">
        <v>1817052</v>
      </c>
      <c r="AL137" s="475">
        <v>1817052</v>
      </c>
      <c r="AM137" s="212"/>
    </row>
    <row r="138" spans="1:39" hidden="1" x14ac:dyDescent="0.3">
      <c r="A138" s="476" t="s">
        <v>2105</v>
      </c>
      <c r="B138" s="477">
        <v>39718800</v>
      </c>
      <c r="C138" s="212" t="s">
        <v>2646</v>
      </c>
      <c r="D138" s="212">
        <v>136</v>
      </c>
      <c r="E138" s="478">
        <v>20212000001333</v>
      </c>
      <c r="F138" s="479">
        <v>44228</v>
      </c>
      <c r="G138" s="478" t="s">
        <v>2640</v>
      </c>
      <c r="H138" s="212" t="s">
        <v>2641</v>
      </c>
      <c r="I138" s="212" t="s">
        <v>391</v>
      </c>
      <c r="J138" s="475">
        <v>39500000</v>
      </c>
      <c r="K138" s="210" t="s">
        <v>2711</v>
      </c>
      <c r="L138" s="212" t="s">
        <v>2712</v>
      </c>
      <c r="M138" s="212" t="s">
        <v>44</v>
      </c>
      <c r="N138" s="212" t="s">
        <v>45</v>
      </c>
      <c r="O138" s="212" t="s">
        <v>63</v>
      </c>
      <c r="P138" s="212" t="s">
        <v>674</v>
      </c>
      <c r="R138" s="212">
        <v>139</v>
      </c>
      <c r="S138" s="479">
        <v>44228</v>
      </c>
      <c r="T138" s="212" t="s">
        <v>2956</v>
      </c>
      <c r="U138" s="475">
        <v>39500000</v>
      </c>
      <c r="V138" s="406"/>
      <c r="W138" s="362"/>
      <c r="X138" s="483">
        <v>155</v>
      </c>
      <c r="Y138" s="484">
        <v>44244</v>
      </c>
      <c r="Z138" s="484">
        <v>44244</v>
      </c>
      <c r="AA138" s="484">
        <v>44547</v>
      </c>
      <c r="AB138" s="485" t="s">
        <v>2650</v>
      </c>
      <c r="AC138" s="483">
        <v>101</v>
      </c>
      <c r="AD138" s="485">
        <v>1014262560</v>
      </c>
      <c r="AE138" s="486" t="s">
        <v>2957</v>
      </c>
      <c r="AF138" s="473">
        <v>39500000</v>
      </c>
      <c r="AG138" s="474">
        <f t="shared" si="2"/>
        <v>0</v>
      </c>
      <c r="AJ138" s="475">
        <v>1448333</v>
      </c>
      <c r="AK138" s="475">
        <v>3950000</v>
      </c>
      <c r="AL138" s="475">
        <v>3950000</v>
      </c>
      <c r="AM138" s="306">
        <v>3950000</v>
      </c>
    </row>
    <row r="139" spans="1:39" hidden="1" x14ac:dyDescent="0.3">
      <c r="A139" s="476" t="s">
        <v>2497</v>
      </c>
      <c r="B139" s="477">
        <v>84766080</v>
      </c>
      <c r="C139" s="212" t="s">
        <v>2646</v>
      </c>
      <c r="D139" s="212">
        <v>137</v>
      </c>
      <c r="E139" s="478">
        <v>20212000004023</v>
      </c>
      <c r="F139" s="479">
        <v>44228</v>
      </c>
      <c r="G139" s="478" t="s">
        <v>2640</v>
      </c>
      <c r="H139" s="212" t="s">
        <v>2641</v>
      </c>
      <c r="I139" s="212" t="s">
        <v>391</v>
      </c>
      <c r="J139" s="475">
        <v>83252400</v>
      </c>
      <c r="K139" s="210" t="s">
        <v>2711</v>
      </c>
      <c r="L139" s="212" t="s">
        <v>2712</v>
      </c>
      <c r="M139" s="212" t="s">
        <v>44</v>
      </c>
      <c r="N139" s="212" t="s">
        <v>45</v>
      </c>
      <c r="O139" s="212" t="s">
        <v>63</v>
      </c>
      <c r="P139" s="212" t="s">
        <v>674</v>
      </c>
      <c r="R139" s="212">
        <v>149</v>
      </c>
      <c r="S139" s="479">
        <v>44228</v>
      </c>
      <c r="T139" s="212" t="s">
        <v>2958</v>
      </c>
      <c r="U139" s="475">
        <f>83252400-7568400</f>
        <v>75684000</v>
      </c>
      <c r="V139" s="411">
        <v>7568400</v>
      </c>
      <c r="W139" s="397"/>
      <c r="X139" s="483">
        <v>185</v>
      </c>
      <c r="Y139" s="484">
        <v>44251</v>
      </c>
      <c r="Z139" s="484">
        <v>44251</v>
      </c>
      <c r="AA139" s="484">
        <v>44554</v>
      </c>
      <c r="AB139" s="485" t="s">
        <v>2650</v>
      </c>
      <c r="AC139" s="483">
        <v>129</v>
      </c>
      <c r="AD139" s="485">
        <v>1022941209</v>
      </c>
      <c r="AE139" s="486" t="s">
        <v>2959</v>
      </c>
      <c r="AF139" s="473">
        <v>75684000</v>
      </c>
      <c r="AG139" s="474">
        <f t="shared" si="2"/>
        <v>0</v>
      </c>
      <c r="AK139" s="475">
        <v>8577520</v>
      </c>
      <c r="AL139" s="475">
        <v>7568400</v>
      </c>
      <c r="AM139" s="306">
        <v>7568400</v>
      </c>
    </row>
    <row r="140" spans="1:39" s="312" customFormat="1" hidden="1" x14ac:dyDescent="0.3">
      <c r="A140" s="361" t="s">
        <v>2960</v>
      </c>
      <c r="B140" s="417">
        <v>51408000</v>
      </c>
      <c r="C140" s="312" t="s">
        <v>2646</v>
      </c>
      <c r="D140" s="312">
        <v>138</v>
      </c>
      <c r="E140" s="325">
        <v>20212000004033</v>
      </c>
      <c r="F140" s="315">
        <v>44228</v>
      </c>
      <c r="G140" s="325" t="s">
        <v>2640</v>
      </c>
      <c r="H140" s="312" t="s">
        <v>2641</v>
      </c>
      <c r="I140" s="312" t="s">
        <v>391</v>
      </c>
      <c r="J140" s="405">
        <v>50490000</v>
      </c>
      <c r="K140" s="312" t="s">
        <v>2711</v>
      </c>
      <c r="L140" s="312" t="s">
        <v>2712</v>
      </c>
      <c r="M140" s="312" t="s">
        <v>44</v>
      </c>
      <c r="N140" s="312" t="s">
        <v>45</v>
      </c>
      <c r="O140" s="312" t="s">
        <v>63</v>
      </c>
      <c r="P140" s="312" t="s">
        <v>674</v>
      </c>
      <c r="R140" s="312">
        <v>150</v>
      </c>
      <c r="S140" s="315">
        <v>44228</v>
      </c>
      <c r="T140" s="312" t="s">
        <v>2961</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3">
      <c r="A141" s="361" t="s">
        <v>2962</v>
      </c>
      <c r="B141" s="417">
        <v>62832000</v>
      </c>
      <c r="C141" s="312" t="s">
        <v>2646</v>
      </c>
      <c r="D141" s="312">
        <v>139</v>
      </c>
      <c r="E141" s="325">
        <v>20212000004043</v>
      </c>
      <c r="F141" s="315">
        <v>44228</v>
      </c>
      <c r="G141" s="325" t="s">
        <v>2640</v>
      </c>
      <c r="H141" s="312" t="s">
        <v>2641</v>
      </c>
      <c r="I141" s="312" t="s">
        <v>391</v>
      </c>
      <c r="J141" s="405">
        <v>28050000</v>
      </c>
      <c r="K141" s="312" t="s">
        <v>2711</v>
      </c>
      <c r="L141" s="312" t="s">
        <v>2712</v>
      </c>
      <c r="M141" s="312" t="s">
        <v>44</v>
      </c>
      <c r="N141" s="312" t="s">
        <v>45</v>
      </c>
      <c r="O141" s="312" t="s">
        <v>63</v>
      </c>
      <c r="P141" s="312" t="s">
        <v>674</v>
      </c>
      <c r="R141" s="312">
        <v>151</v>
      </c>
      <c r="S141" s="315">
        <v>44228</v>
      </c>
      <c r="T141" s="312" t="s">
        <v>2963</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3">
      <c r="A142" s="476" t="s">
        <v>2503</v>
      </c>
      <c r="B142" s="477">
        <v>66198000</v>
      </c>
      <c r="C142" s="212" t="s">
        <v>2646</v>
      </c>
      <c r="D142" s="212">
        <v>140</v>
      </c>
      <c r="E142" s="478">
        <v>20212000004053</v>
      </c>
      <c r="F142" s="479">
        <v>44228</v>
      </c>
      <c r="G142" s="478" t="s">
        <v>2640</v>
      </c>
      <c r="H142" s="212" t="s">
        <v>2641</v>
      </c>
      <c r="I142" s="212" t="s">
        <v>391</v>
      </c>
      <c r="J142" s="475">
        <v>61710000</v>
      </c>
      <c r="K142" s="210" t="s">
        <v>2711</v>
      </c>
      <c r="L142" s="212" t="s">
        <v>2712</v>
      </c>
      <c r="M142" s="212" t="s">
        <v>44</v>
      </c>
      <c r="N142" s="212" t="s">
        <v>45</v>
      </c>
      <c r="O142" s="212" t="s">
        <v>63</v>
      </c>
      <c r="P142" s="212" t="s">
        <v>674</v>
      </c>
      <c r="R142" s="212">
        <v>152</v>
      </c>
      <c r="S142" s="479">
        <v>44228</v>
      </c>
      <c r="T142" s="212" t="s">
        <v>2964</v>
      </c>
      <c r="U142" s="475">
        <f>61710000-5610000</f>
        <v>56100000</v>
      </c>
      <c r="V142" s="411">
        <v>5610000</v>
      </c>
      <c r="W142" s="397"/>
      <c r="X142" s="483">
        <v>178</v>
      </c>
      <c r="Y142" s="484">
        <v>44249</v>
      </c>
      <c r="Z142" s="484">
        <v>44249</v>
      </c>
      <c r="AA142" s="484">
        <v>44552</v>
      </c>
      <c r="AB142" s="485" t="s">
        <v>2650</v>
      </c>
      <c r="AC142" s="483">
        <v>114</v>
      </c>
      <c r="AD142" s="485">
        <v>53093666</v>
      </c>
      <c r="AE142" s="486" t="s">
        <v>2965</v>
      </c>
      <c r="AF142" s="473">
        <v>56100000</v>
      </c>
      <c r="AG142" s="474">
        <f t="shared" si="2"/>
        <v>0</v>
      </c>
      <c r="AJ142" s="475">
        <v>1309000</v>
      </c>
      <c r="AK142" s="475">
        <v>5610000</v>
      </c>
      <c r="AL142" s="475">
        <v>5610000</v>
      </c>
      <c r="AM142" s="306">
        <v>5610000</v>
      </c>
    </row>
    <row r="143" spans="1:39" s="312" customFormat="1" hidden="1" x14ac:dyDescent="0.3">
      <c r="A143" s="361" t="s">
        <v>2505</v>
      </c>
      <c r="B143" s="417">
        <v>81844800</v>
      </c>
      <c r="C143" s="312" t="s">
        <v>2646</v>
      </c>
      <c r="D143" s="312">
        <v>141</v>
      </c>
      <c r="E143" s="325">
        <v>20212000004063</v>
      </c>
      <c r="F143" s="315">
        <v>44228</v>
      </c>
      <c r="G143" s="325" t="s">
        <v>2640</v>
      </c>
      <c r="H143" s="312" t="s">
        <v>2641</v>
      </c>
      <c r="I143" s="312" t="s">
        <v>391</v>
      </c>
      <c r="J143" s="405">
        <v>76296000</v>
      </c>
      <c r="K143" s="312" t="s">
        <v>2711</v>
      </c>
      <c r="L143" s="312" t="s">
        <v>2712</v>
      </c>
      <c r="M143" s="312" t="s">
        <v>44</v>
      </c>
      <c r="N143" s="312" t="s">
        <v>45</v>
      </c>
      <c r="O143" s="312" t="s">
        <v>63</v>
      </c>
      <c r="P143" s="312" t="s">
        <v>674</v>
      </c>
      <c r="R143" s="312">
        <v>153</v>
      </c>
      <c r="S143" s="315">
        <v>44228</v>
      </c>
      <c r="T143" s="312" t="s">
        <v>2966</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3">
      <c r="A144" s="476" t="s">
        <v>2506</v>
      </c>
      <c r="B144" s="477">
        <v>44319000</v>
      </c>
      <c r="C144" s="212" t="s">
        <v>2646</v>
      </c>
      <c r="D144" s="212">
        <v>142</v>
      </c>
      <c r="E144" s="478">
        <v>20212000004073</v>
      </c>
      <c r="F144" s="479">
        <v>44228</v>
      </c>
      <c r="G144" s="478" t="s">
        <v>2640</v>
      </c>
      <c r="H144" s="212" t="s">
        <v>2641</v>
      </c>
      <c r="I144" s="212" t="s">
        <v>391</v>
      </c>
      <c r="J144" s="475">
        <v>44319000</v>
      </c>
      <c r="K144" s="210" t="s">
        <v>2711</v>
      </c>
      <c r="L144" s="212" t="s">
        <v>2712</v>
      </c>
      <c r="M144" s="212" t="s">
        <v>44</v>
      </c>
      <c r="N144" s="212" t="s">
        <v>45</v>
      </c>
      <c r="O144" s="212" t="s">
        <v>63</v>
      </c>
      <c r="P144" s="212" t="s">
        <v>674</v>
      </c>
      <c r="R144" s="212">
        <v>154</v>
      </c>
      <c r="S144" s="479">
        <v>44228</v>
      </c>
      <c r="T144" s="212" t="s">
        <v>2967</v>
      </c>
      <c r="U144" s="475">
        <f>44319000-4029000</f>
        <v>40290000</v>
      </c>
      <c r="V144" s="411">
        <v>4029000</v>
      </c>
      <c r="W144" s="397"/>
      <c r="X144" s="483">
        <v>161</v>
      </c>
      <c r="Y144" s="484">
        <v>44245</v>
      </c>
      <c r="Z144" s="484">
        <v>44245</v>
      </c>
      <c r="AA144" s="484">
        <v>44548</v>
      </c>
      <c r="AB144" s="485" t="s">
        <v>2650</v>
      </c>
      <c r="AC144" s="483">
        <v>108</v>
      </c>
      <c r="AD144" s="485">
        <v>1020832710</v>
      </c>
      <c r="AE144" s="486" t="s">
        <v>2968</v>
      </c>
      <c r="AF144" s="473">
        <v>40290000</v>
      </c>
      <c r="AG144" s="474">
        <f t="shared" si="2"/>
        <v>0</v>
      </c>
      <c r="AJ144" s="475">
        <v>1343000</v>
      </c>
      <c r="AK144" s="475">
        <v>4029000</v>
      </c>
      <c r="AL144" s="475">
        <v>4029000</v>
      </c>
      <c r="AM144" s="306">
        <v>4029000</v>
      </c>
    </row>
    <row r="145" spans="1:39" hidden="1" x14ac:dyDescent="0.3">
      <c r="A145" s="476" t="s">
        <v>1995</v>
      </c>
      <c r="B145" s="477">
        <v>99000000</v>
      </c>
      <c r="C145" s="212" t="s">
        <v>2646</v>
      </c>
      <c r="D145" s="212">
        <v>143</v>
      </c>
      <c r="E145" s="478">
        <v>20212000004083</v>
      </c>
      <c r="F145" s="479">
        <v>44228</v>
      </c>
      <c r="G145" s="478" t="s">
        <v>2640</v>
      </c>
      <c r="H145" s="212" t="s">
        <v>2641</v>
      </c>
      <c r="I145" s="212" t="s">
        <v>391</v>
      </c>
      <c r="J145" s="475">
        <v>99000000</v>
      </c>
      <c r="K145" s="210" t="s">
        <v>2711</v>
      </c>
      <c r="L145" s="212" t="s">
        <v>2712</v>
      </c>
      <c r="M145" s="212" t="s">
        <v>44</v>
      </c>
      <c r="N145" s="212" t="s">
        <v>45</v>
      </c>
      <c r="O145" s="212" t="s">
        <v>63</v>
      </c>
      <c r="P145" s="212" t="s">
        <v>674</v>
      </c>
      <c r="R145" s="212">
        <v>155</v>
      </c>
      <c r="S145" s="479">
        <v>44228</v>
      </c>
      <c r="T145" s="212" t="s">
        <v>2969</v>
      </c>
      <c r="U145" s="475">
        <f>99000000-4500000</f>
        <v>94500000</v>
      </c>
      <c r="V145" s="411">
        <v>4500000</v>
      </c>
      <c r="W145" s="397"/>
      <c r="X145" s="483">
        <v>133</v>
      </c>
      <c r="Y145" s="484">
        <v>44242</v>
      </c>
      <c r="Z145" s="484">
        <v>44242</v>
      </c>
      <c r="AA145" s="484">
        <v>44561</v>
      </c>
      <c r="AB145" s="485" t="s">
        <v>2650</v>
      </c>
      <c r="AC145" s="483">
        <v>82</v>
      </c>
      <c r="AD145" s="485">
        <v>9430711</v>
      </c>
      <c r="AE145" s="486" t="s">
        <v>2970</v>
      </c>
      <c r="AF145" s="473">
        <v>94500000</v>
      </c>
      <c r="AG145" s="474">
        <f t="shared" si="2"/>
        <v>0</v>
      </c>
      <c r="AM145" s="212"/>
    </row>
    <row r="146" spans="1:39" hidden="1" x14ac:dyDescent="0.3">
      <c r="A146" s="476" t="s">
        <v>2391</v>
      </c>
      <c r="B146" s="477">
        <v>13926000</v>
      </c>
      <c r="C146" s="212" t="s">
        <v>2646</v>
      </c>
      <c r="D146" s="212">
        <v>144</v>
      </c>
      <c r="E146" s="478">
        <v>20213000003813</v>
      </c>
      <c r="F146" s="479">
        <v>44228</v>
      </c>
      <c r="G146" s="478" t="s">
        <v>2640</v>
      </c>
      <c r="H146" s="212" t="s">
        <v>2641</v>
      </c>
      <c r="I146" s="212" t="s">
        <v>432</v>
      </c>
      <c r="J146" s="475">
        <v>13926000</v>
      </c>
      <c r="K146" s="212" t="s">
        <v>358</v>
      </c>
      <c r="L146" s="212" t="s">
        <v>2791</v>
      </c>
      <c r="M146" s="212" t="s">
        <v>44</v>
      </c>
      <c r="N146" s="212" t="s">
        <v>45</v>
      </c>
      <c r="O146" s="212" t="s">
        <v>63</v>
      </c>
      <c r="P146" s="212" t="s">
        <v>674</v>
      </c>
      <c r="R146" s="212">
        <v>141</v>
      </c>
      <c r="S146" s="479">
        <v>44228</v>
      </c>
      <c r="T146" s="212" t="s">
        <v>2971</v>
      </c>
      <c r="U146" s="475">
        <v>13926000</v>
      </c>
      <c r="V146" s="406"/>
      <c r="W146" s="362"/>
      <c r="X146" s="483">
        <v>171</v>
      </c>
      <c r="Y146" s="484">
        <v>44246</v>
      </c>
      <c r="Z146" s="484">
        <v>44246</v>
      </c>
      <c r="AA146" s="484">
        <v>44427</v>
      </c>
      <c r="AB146" s="485" t="s">
        <v>2650</v>
      </c>
      <c r="AC146" s="483">
        <v>118</v>
      </c>
      <c r="AD146" s="485">
        <v>71332821</v>
      </c>
      <c r="AE146" s="486" t="s">
        <v>2972</v>
      </c>
      <c r="AF146" s="473">
        <v>13926000</v>
      </c>
      <c r="AG146" s="474">
        <f t="shared" si="2"/>
        <v>0</v>
      </c>
      <c r="AJ146" s="475">
        <v>541567</v>
      </c>
      <c r="AK146" s="475">
        <v>2321000</v>
      </c>
      <c r="AL146" s="475">
        <v>2321000</v>
      </c>
      <c r="AM146" s="306">
        <v>2321000</v>
      </c>
    </row>
    <row r="147" spans="1:39" hidden="1" x14ac:dyDescent="0.3">
      <c r="A147" s="476" t="s">
        <v>2141</v>
      </c>
      <c r="B147" s="477">
        <v>68000000</v>
      </c>
      <c r="C147" s="212" t="s">
        <v>2646</v>
      </c>
      <c r="D147" s="212">
        <v>145</v>
      </c>
      <c r="E147" s="478">
        <v>20213000003853</v>
      </c>
      <c r="F147" s="479">
        <v>44228</v>
      </c>
      <c r="G147" s="478" t="s">
        <v>2640</v>
      </c>
      <c r="H147" s="212" t="s">
        <v>2641</v>
      </c>
      <c r="I147" s="212" t="s">
        <v>432</v>
      </c>
      <c r="J147" s="475">
        <v>68000000</v>
      </c>
      <c r="K147" s="212" t="s">
        <v>358</v>
      </c>
      <c r="L147" s="212" t="s">
        <v>2791</v>
      </c>
      <c r="M147" s="212" t="s">
        <v>44</v>
      </c>
      <c r="N147" s="212" t="s">
        <v>45</v>
      </c>
      <c r="O147" s="212" t="s">
        <v>63</v>
      </c>
      <c r="P147" s="212" t="s">
        <v>674</v>
      </c>
      <c r="R147" s="212">
        <v>142</v>
      </c>
      <c r="S147" s="479">
        <v>44228</v>
      </c>
      <c r="T147" s="212" t="s">
        <v>2973</v>
      </c>
      <c r="U147" s="475">
        <v>68000000</v>
      </c>
      <c r="V147" s="406"/>
      <c r="W147" s="362"/>
      <c r="X147" s="308">
        <v>107</v>
      </c>
      <c r="Y147" s="484">
        <v>44236</v>
      </c>
      <c r="Z147" s="484">
        <v>44236</v>
      </c>
      <c r="AA147" s="484">
        <v>44478</v>
      </c>
      <c r="AB147" s="485" t="s">
        <v>2650</v>
      </c>
      <c r="AC147" s="211">
        <v>54</v>
      </c>
      <c r="AD147" s="487">
        <v>80053511</v>
      </c>
      <c r="AE147" s="486" t="s">
        <v>2974</v>
      </c>
      <c r="AF147" s="473">
        <v>68000000</v>
      </c>
      <c r="AG147" s="474">
        <f t="shared" si="2"/>
        <v>0</v>
      </c>
      <c r="AJ147" s="475">
        <v>5666667</v>
      </c>
      <c r="AK147" s="475">
        <v>8500000</v>
      </c>
      <c r="AL147" s="475">
        <v>8500000</v>
      </c>
      <c r="AM147" s="306">
        <v>8500000</v>
      </c>
    </row>
    <row r="148" spans="1:39" hidden="1" x14ac:dyDescent="0.3">
      <c r="A148" s="476" t="s">
        <v>2146</v>
      </c>
      <c r="B148" s="477">
        <v>39975144</v>
      </c>
      <c r="C148" s="212" t="s">
        <v>2646</v>
      </c>
      <c r="D148" s="212">
        <v>146</v>
      </c>
      <c r="E148" s="478">
        <v>20213000003883</v>
      </c>
      <c r="F148" s="479">
        <v>44228</v>
      </c>
      <c r="G148" s="478" t="s">
        <v>2640</v>
      </c>
      <c r="H148" s="212" t="s">
        <v>2641</v>
      </c>
      <c r="I148" s="212" t="s">
        <v>432</v>
      </c>
      <c r="J148" s="475">
        <v>39975144</v>
      </c>
      <c r="K148" s="212" t="s">
        <v>358</v>
      </c>
      <c r="L148" s="212" t="s">
        <v>2791</v>
      </c>
      <c r="M148" s="212" t="s">
        <v>44</v>
      </c>
      <c r="N148" s="212" t="s">
        <v>45</v>
      </c>
      <c r="O148" s="212" t="s">
        <v>63</v>
      </c>
      <c r="P148" s="212" t="s">
        <v>674</v>
      </c>
      <c r="R148" s="212">
        <v>143</v>
      </c>
      <c r="S148" s="479">
        <v>44228</v>
      </c>
      <c r="T148" s="212" t="s">
        <v>2975</v>
      </c>
      <c r="U148" s="475">
        <v>39975144</v>
      </c>
      <c r="V148" s="406"/>
      <c r="W148" s="362"/>
      <c r="X148" s="308">
        <v>103</v>
      </c>
      <c r="Y148" s="484">
        <v>44236</v>
      </c>
      <c r="Z148" s="484">
        <v>44236</v>
      </c>
      <c r="AA148" s="484">
        <v>44478</v>
      </c>
      <c r="AB148" s="485" t="s">
        <v>2650</v>
      </c>
      <c r="AC148" s="211">
        <v>56</v>
      </c>
      <c r="AD148" s="487">
        <v>1014215801</v>
      </c>
      <c r="AE148" s="486" t="s">
        <v>2976</v>
      </c>
      <c r="AF148" s="473">
        <v>39975144</v>
      </c>
      <c r="AG148" s="474">
        <f t="shared" si="2"/>
        <v>0</v>
      </c>
      <c r="AJ148" s="475">
        <v>3164699</v>
      </c>
      <c r="AK148" s="475">
        <v>4996893</v>
      </c>
      <c r="AL148" s="475">
        <v>4996893</v>
      </c>
      <c r="AM148" s="306">
        <v>4996893</v>
      </c>
    </row>
    <row r="149" spans="1:39" hidden="1" x14ac:dyDescent="0.3">
      <c r="A149" s="476" t="s">
        <v>2977</v>
      </c>
      <c r="B149" s="477">
        <v>12000000</v>
      </c>
      <c r="C149" s="212" t="s">
        <v>2646</v>
      </c>
      <c r="D149" s="212">
        <v>147</v>
      </c>
      <c r="E149" s="478">
        <v>20213000003903</v>
      </c>
      <c r="F149" s="479">
        <v>44228</v>
      </c>
      <c r="G149" s="478" t="s">
        <v>2640</v>
      </c>
      <c r="H149" s="212" t="s">
        <v>2641</v>
      </c>
      <c r="I149" s="212" t="s">
        <v>432</v>
      </c>
      <c r="J149" s="475">
        <v>12000000</v>
      </c>
      <c r="K149" s="212" t="s">
        <v>358</v>
      </c>
      <c r="L149" s="212" t="s">
        <v>2791</v>
      </c>
      <c r="M149" s="212" t="s">
        <v>44</v>
      </c>
      <c r="N149" s="212" t="s">
        <v>45</v>
      </c>
      <c r="O149" s="212" t="s">
        <v>63</v>
      </c>
      <c r="P149" s="212" t="s">
        <v>674</v>
      </c>
      <c r="R149" s="212">
        <v>144</v>
      </c>
      <c r="S149" s="479">
        <v>44228</v>
      </c>
      <c r="T149" s="212" t="s">
        <v>2978</v>
      </c>
      <c r="U149" s="475">
        <v>12000000</v>
      </c>
      <c r="V149" s="406"/>
      <c r="W149" s="362"/>
      <c r="X149" s="308">
        <v>99</v>
      </c>
      <c r="Y149" s="484">
        <v>44236</v>
      </c>
      <c r="Z149" s="484">
        <v>44236</v>
      </c>
      <c r="AA149" s="484">
        <v>44356</v>
      </c>
      <c r="AB149" s="485" t="s">
        <v>2650</v>
      </c>
      <c r="AC149" s="211">
        <v>60</v>
      </c>
      <c r="AD149" s="487">
        <v>1033777087</v>
      </c>
      <c r="AE149" s="486" t="s">
        <v>2979</v>
      </c>
      <c r="AF149" s="473">
        <v>12000000</v>
      </c>
      <c r="AG149" s="474">
        <f t="shared" si="2"/>
        <v>0</v>
      </c>
      <c r="AJ149" s="475">
        <v>2000000</v>
      </c>
      <c r="AK149" s="475">
        <v>3000000</v>
      </c>
      <c r="AL149" s="475">
        <v>3000000</v>
      </c>
      <c r="AM149" s="306">
        <v>3000000</v>
      </c>
    </row>
    <row r="150" spans="1:39" hidden="1" x14ac:dyDescent="0.3">
      <c r="A150" s="476" t="s">
        <v>2149</v>
      </c>
      <c r="B150" s="477">
        <v>16353468</v>
      </c>
      <c r="C150" s="212" t="s">
        <v>2646</v>
      </c>
      <c r="D150" s="212">
        <v>148</v>
      </c>
      <c r="E150" s="478">
        <v>20213000003933</v>
      </c>
      <c r="F150" s="479">
        <v>44228</v>
      </c>
      <c r="G150" s="478" t="s">
        <v>2640</v>
      </c>
      <c r="H150" s="212" t="s">
        <v>2641</v>
      </c>
      <c r="I150" s="212" t="s">
        <v>432</v>
      </c>
      <c r="J150" s="475">
        <v>16353468</v>
      </c>
      <c r="K150" s="212" t="s">
        <v>358</v>
      </c>
      <c r="L150" s="212" t="s">
        <v>2791</v>
      </c>
      <c r="M150" s="212" t="s">
        <v>44</v>
      </c>
      <c r="N150" s="212" t="s">
        <v>45</v>
      </c>
      <c r="O150" s="212" t="s">
        <v>63</v>
      </c>
      <c r="P150" s="212" t="s">
        <v>674</v>
      </c>
      <c r="R150" s="212">
        <v>145</v>
      </c>
      <c r="S150" s="479">
        <v>44228</v>
      </c>
      <c r="T150" s="212" t="s">
        <v>2980</v>
      </c>
      <c r="U150" s="475">
        <v>16353468</v>
      </c>
      <c r="V150" s="406"/>
      <c r="W150" s="362"/>
      <c r="X150" s="308">
        <v>100</v>
      </c>
      <c r="Y150" s="484">
        <v>44236</v>
      </c>
      <c r="Z150" s="484">
        <v>44236</v>
      </c>
      <c r="AA150" s="484">
        <v>44356</v>
      </c>
      <c r="AB150" s="485" t="s">
        <v>2650</v>
      </c>
      <c r="AC150" s="211">
        <v>63</v>
      </c>
      <c r="AD150" s="487">
        <v>1133929197</v>
      </c>
      <c r="AE150" s="486" t="s">
        <v>2981</v>
      </c>
      <c r="AF150" s="473">
        <v>16353468</v>
      </c>
      <c r="AG150" s="474">
        <f t="shared" si="2"/>
        <v>0</v>
      </c>
      <c r="AJ150" s="475">
        <v>2725578</v>
      </c>
      <c r="AK150" s="475">
        <v>4088367</v>
      </c>
      <c r="AL150" s="475">
        <v>4088367</v>
      </c>
      <c r="AM150" s="306">
        <v>4088367</v>
      </c>
    </row>
    <row r="151" spans="1:39" hidden="1" x14ac:dyDescent="0.3">
      <c r="A151" s="476" t="s">
        <v>2147</v>
      </c>
      <c r="B151" s="477">
        <v>64000000</v>
      </c>
      <c r="C151" s="212" t="s">
        <v>2646</v>
      </c>
      <c r="D151" s="212">
        <v>149</v>
      </c>
      <c r="E151" s="478">
        <v>20213000003943</v>
      </c>
      <c r="F151" s="479">
        <v>44228</v>
      </c>
      <c r="G151" s="478" t="s">
        <v>2640</v>
      </c>
      <c r="H151" s="212" t="s">
        <v>2641</v>
      </c>
      <c r="I151" s="212" t="s">
        <v>432</v>
      </c>
      <c r="J151" s="475">
        <v>64000000</v>
      </c>
      <c r="K151" s="212" t="s">
        <v>358</v>
      </c>
      <c r="L151" s="212" t="s">
        <v>2791</v>
      </c>
      <c r="M151" s="212" t="s">
        <v>44</v>
      </c>
      <c r="N151" s="212" t="s">
        <v>45</v>
      </c>
      <c r="O151" s="212" t="s">
        <v>63</v>
      </c>
      <c r="P151" s="212" t="s">
        <v>674</v>
      </c>
      <c r="R151" s="212">
        <v>146</v>
      </c>
      <c r="S151" s="479">
        <v>44228</v>
      </c>
      <c r="T151" s="212" t="s">
        <v>2982</v>
      </c>
      <c r="U151" s="475">
        <v>64000000</v>
      </c>
      <c r="V151" s="406"/>
      <c r="W151" s="362"/>
      <c r="X151" s="483">
        <v>157</v>
      </c>
      <c r="Y151" s="484">
        <v>44245</v>
      </c>
      <c r="Z151" s="484">
        <v>44245</v>
      </c>
      <c r="AA151" s="484">
        <v>44487</v>
      </c>
      <c r="AB151" s="485" t="s">
        <v>2650</v>
      </c>
      <c r="AC151" s="483">
        <v>104</v>
      </c>
      <c r="AD151" s="485">
        <v>1020714204</v>
      </c>
      <c r="AE151" s="486" t="s">
        <v>2983</v>
      </c>
      <c r="AF151" s="473">
        <v>64000000</v>
      </c>
      <c r="AG151" s="474">
        <f t="shared" si="2"/>
        <v>0</v>
      </c>
      <c r="AJ151" s="475">
        <v>2933333</v>
      </c>
      <c r="AK151" s="475">
        <v>8000000</v>
      </c>
      <c r="AL151" s="475">
        <v>8000000</v>
      </c>
      <c r="AM151" s="306">
        <v>8000000</v>
      </c>
    </row>
    <row r="152" spans="1:39" hidden="1" x14ac:dyDescent="0.3">
      <c r="A152" s="476" t="s">
        <v>2106</v>
      </c>
      <c r="B152" s="477">
        <v>39975144</v>
      </c>
      <c r="C152" s="212" t="s">
        <v>2646</v>
      </c>
      <c r="D152" s="212">
        <v>150</v>
      </c>
      <c r="E152" s="478">
        <v>20213000003963</v>
      </c>
      <c r="F152" s="479">
        <v>44228</v>
      </c>
      <c r="G152" s="478" t="s">
        <v>2640</v>
      </c>
      <c r="H152" s="212" t="s">
        <v>2641</v>
      </c>
      <c r="I152" s="212" t="s">
        <v>432</v>
      </c>
      <c r="J152" s="475">
        <v>39975144</v>
      </c>
      <c r="K152" s="212" t="s">
        <v>358</v>
      </c>
      <c r="L152" s="212" t="s">
        <v>2791</v>
      </c>
      <c r="M152" s="212" t="s">
        <v>44</v>
      </c>
      <c r="N152" s="212" t="s">
        <v>45</v>
      </c>
      <c r="O152" s="212" t="s">
        <v>63</v>
      </c>
      <c r="P152" s="212" t="s">
        <v>674</v>
      </c>
      <c r="R152" s="212">
        <v>147</v>
      </c>
      <c r="S152" s="479">
        <v>44228</v>
      </c>
      <c r="T152" s="212" t="s">
        <v>2984</v>
      </c>
      <c r="U152" s="475">
        <v>39975144</v>
      </c>
      <c r="V152" s="406"/>
      <c r="W152" s="362"/>
      <c r="X152" s="483">
        <v>187</v>
      </c>
      <c r="Y152" s="484">
        <v>44251</v>
      </c>
      <c r="Z152" s="484">
        <v>44251</v>
      </c>
      <c r="AA152" s="484">
        <v>44493</v>
      </c>
      <c r="AB152" s="485" t="s">
        <v>2650</v>
      </c>
      <c r="AC152" s="483">
        <v>128</v>
      </c>
      <c r="AD152" s="485">
        <v>52157159</v>
      </c>
      <c r="AE152" s="486" t="s">
        <v>2985</v>
      </c>
      <c r="AF152" s="473">
        <v>39975144</v>
      </c>
      <c r="AG152" s="474">
        <f t="shared" si="2"/>
        <v>0</v>
      </c>
      <c r="AK152" s="475">
        <v>5663145</v>
      </c>
      <c r="AL152" s="475">
        <v>4996893</v>
      </c>
      <c r="AM152" s="306">
        <v>4996893</v>
      </c>
    </row>
    <row r="153" spans="1:39" hidden="1" x14ac:dyDescent="0.3">
      <c r="A153" s="476" t="s">
        <v>2107</v>
      </c>
      <c r="B153" s="477">
        <v>40883670</v>
      </c>
      <c r="C153" s="212" t="s">
        <v>2646</v>
      </c>
      <c r="D153" s="212">
        <v>151</v>
      </c>
      <c r="E153" s="478">
        <v>20213000003973</v>
      </c>
      <c r="F153" s="479">
        <v>44228</v>
      </c>
      <c r="G153" s="478" t="s">
        <v>2640</v>
      </c>
      <c r="H153" s="212" t="s">
        <v>2641</v>
      </c>
      <c r="I153" s="212" t="s">
        <v>432</v>
      </c>
      <c r="J153" s="475">
        <v>40883670</v>
      </c>
      <c r="K153" s="212" t="s">
        <v>358</v>
      </c>
      <c r="L153" s="212" t="s">
        <v>2791</v>
      </c>
      <c r="M153" s="212" t="s">
        <v>44</v>
      </c>
      <c r="N153" s="212" t="s">
        <v>45</v>
      </c>
      <c r="O153" s="212" t="s">
        <v>63</v>
      </c>
      <c r="P153" s="212" t="s">
        <v>674</v>
      </c>
      <c r="R153" s="212">
        <v>148</v>
      </c>
      <c r="S153" s="479">
        <v>44228</v>
      </c>
      <c r="T153" s="212" t="s">
        <v>2986</v>
      </c>
      <c r="U153" s="475">
        <v>40883670</v>
      </c>
      <c r="V153" s="406"/>
      <c r="W153" s="362"/>
      <c r="X153" s="308">
        <v>94</v>
      </c>
      <c r="Y153" s="484">
        <v>44235</v>
      </c>
      <c r="Z153" s="484">
        <v>44235</v>
      </c>
      <c r="AA153" s="484">
        <v>44538</v>
      </c>
      <c r="AB153" s="485" t="s">
        <v>2650</v>
      </c>
      <c r="AC153" s="211">
        <v>57</v>
      </c>
      <c r="AD153" s="487">
        <v>1019124435</v>
      </c>
      <c r="AE153" s="486" t="s">
        <v>2987</v>
      </c>
      <c r="AF153" s="473">
        <v>40883670</v>
      </c>
      <c r="AG153" s="474">
        <f t="shared" si="2"/>
        <v>0</v>
      </c>
      <c r="AJ153" s="475">
        <v>2861857</v>
      </c>
      <c r="AK153" s="475">
        <v>4088367</v>
      </c>
      <c r="AL153" s="475">
        <v>4088367</v>
      </c>
      <c r="AM153" s="306">
        <v>4088367</v>
      </c>
    </row>
    <row r="154" spans="1:39" hidden="1" x14ac:dyDescent="0.3">
      <c r="A154" s="476" t="s">
        <v>2988</v>
      </c>
      <c r="B154" s="477">
        <v>60282833</v>
      </c>
      <c r="C154" s="212" t="s">
        <v>2646</v>
      </c>
      <c r="D154" s="212">
        <v>152</v>
      </c>
      <c r="E154" s="478">
        <v>20214000004313</v>
      </c>
      <c r="F154" s="479">
        <v>44228</v>
      </c>
      <c r="G154" s="478" t="s">
        <v>2673</v>
      </c>
      <c r="H154" s="212" t="s">
        <v>2674</v>
      </c>
      <c r="I154" s="212" t="s">
        <v>117</v>
      </c>
      <c r="J154" s="475">
        <v>51345000</v>
      </c>
      <c r="K154" s="212" t="s">
        <v>112</v>
      </c>
      <c r="L154" s="212" t="s">
        <v>2675</v>
      </c>
      <c r="M154" s="212" t="s">
        <v>44</v>
      </c>
      <c r="N154" s="212" t="s">
        <v>45</v>
      </c>
      <c r="O154" s="212" t="s">
        <v>63</v>
      </c>
      <c r="P154" s="212" t="s">
        <v>43</v>
      </c>
      <c r="R154" s="212">
        <v>156</v>
      </c>
      <c r="S154" s="479">
        <v>44228</v>
      </c>
      <c r="T154" s="212" t="s">
        <v>2989</v>
      </c>
      <c r="U154" s="475">
        <v>51345000</v>
      </c>
      <c r="V154" s="406"/>
      <c r="W154" s="362"/>
      <c r="X154" s="483">
        <v>177</v>
      </c>
      <c r="Y154" s="484">
        <v>44249</v>
      </c>
      <c r="Z154" s="484">
        <v>44249</v>
      </c>
      <c r="AA154" s="484">
        <v>44522</v>
      </c>
      <c r="AB154" s="485" t="s">
        <v>2650</v>
      </c>
      <c r="AC154" s="483">
        <v>115</v>
      </c>
      <c r="AD154" s="485">
        <v>1022381682</v>
      </c>
      <c r="AE154" s="486" t="s">
        <v>2990</v>
      </c>
      <c r="AF154" s="473">
        <v>51345000</v>
      </c>
      <c r="AG154" s="474">
        <f t="shared" si="2"/>
        <v>0</v>
      </c>
      <c r="AK154" s="475">
        <f>1101400+5705000</f>
        <v>6806400</v>
      </c>
      <c r="AL154" s="475">
        <v>5705000</v>
      </c>
      <c r="AM154" s="306">
        <v>5705000</v>
      </c>
    </row>
    <row r="155" spans="1:39" hidden="1" x14ac:dyDescent="0.3">
      <c r="A155" s="476" t="s">
        <v>2991</v>
      </c>
      <c r="B155" s="477">
        <v>52833333</v>
      </c>
      <c r="C155" s="212" t="s">
        <v>2646</v>
      </c>
      <c r="D155" s="212">
        <v>153</v>
      </c>
      <c r="E155" s="478">
        <v>20214000004323</v>
      </c>
      <c r="F155" s="479">
        <v>44228</v>
      </c>
      <c r="G155" s="478" t="s">
        <v>2673</v>
      </c>
      <c r="H155" s="212" t="s">
        <v>2674</v>
      </c>
      <c r="I155" s="212" t="s">
        <v>117</v>
      </c>
      <c r="J155" s="475">
        <v>45000000</v>
      </c>
      <c r="K155" s="212" t="s">
        <v>112</v>
      </c>
      <c r="L155" s="212" t="s">
        <v>2675</v>
      </c>
      <c r="M155" s="212" t="s">
        <v>44</v>
      </c>
      <c r="N155" s="212" t="s">
        <v>45</v>
      </c>
      <c r="O155" s="212" t="s">
        <v>63</v>
      </c>
      <c r="P155" s="212" t="s">
        <v>43</v>
      </c>
      <c r="R155" s="212">
        <v>157</v>
      </c>
      <c r="S155" s="479">
        <v>44228</v>
      </c>
      <c r="T155" s="212" t="s">
        <v>2992</v>
      </c>
      <c r="U155" s="475">
        <v>45000000</v>
      </c>
      <c r="V155" s="406"/>
      <c r="W155" s="362"/>
      <c r="X155" s="483">
        <v>151</v>
      </c>
      <c r="Y155" s="484">
        <v>44244</v>
      </c>
      <c r="Z155" s="484">
        <v>44244</v>
      </c>
      <c r="AA155" s="484">
        <v>44517</v>
      </c>
      <c r="AB155" s="485" t="s">
        <v>2650</v>
      </c>
      <c r="AC155" s="483">
        <v>96</v>
      </c>
      <c r="AD155" s="485">
        <v>1012370019</v>
      </c>
      <c r="AE155" s="486" t="s">
        <v>2993</v>
      </c>
      <c r="AF155" s="473">
        <v>45000000</v>
      </c>
      <c r="AG155" s="474">
        <f t="shared" si="2"/>
        <v>0</v>
      </c>
      <c r="AK155" s="475">
        <f>2000000+5000000</f>
        <v>7000000</v>
      </c>
      <c r="AL155" s="475">
        <v>5000000</v>
      </c>
      <c r="AM155" s="212"/>
    </row>
    <row r="156" spans="1:39" hidden="1" x14ac:dyDescent="0.3">
      <c r="A156" s="476" t="s">
        <v>2994</v>
      </c>
      <c r="B156" s="477">
        <v>28700000</v>
      </c>
      <c r="C156" s="212" t="s">
        <v>2646</v>
      </c>
      <c r="D156" s="212">
        <v>154</v>
      </c>
      <c r="E156" s="478">
        <v>20214000004333</v>
      </c>
      <c r="F156" s="479">
        <v>44228</v>
      </c>
      <c r="G156" s="478" t="s">
        <v>2680</v>
      </c>
      <c r="H156" s="212" t="s">
        <v>2681</v>
      </c>
      <c r="I156" s="212" t="s">
        <v>47</v>
      </c>
      <c r="J156" s="475">
        <v>27000000</v>
      </c>
      <c r="K156" s="212" t="s">
        <v>37</v>
      </c>
      <c r="L156" s="212" t="s">
        <v>2682</v>
      </c>
      <c r="M156" s="212" t="s">
        <v>44</v>
      </c>
      <c r="N156" s="212" t="s">
        <v>45</v>
      </c>
      <c r="O156" s="212" t="s">
        <v>310</v>
      </c>
      <c r="P156" s="212" t="s">
        <v>43</v>
      </c>
      <c r="R156" s="212">
        <v>158</v>
      </c>
      <c r="S156" s="479">
        <v>44228</v>
      </c>
      <c r="T156" s="212" t="s">
        <v>2995</v>
      </c>
      <c r="U156" s="475">
        <v>27000000</v>
      </c>
      <c r="V156" s="406"/>
      <c r="W156" s="362"/>
      <c r="X156" s="483">
        <v>189</v>
      </c>
      <c r="Y156" s="484">
        <v>44252</v>
      </c>
      <c r="Z156" s="484">
        <v>44252</v>
      </c>
      <c r="AA156" s="484">
        <v>44525</v>
      </c>
      <c r="AB156" s="485" t="s">
        <v>2650</v>
      </c>
      <c r="AC156" s="483">
        <v>126</v>
      </c>
      <c r="AD156" s="485">
        <v>1014249184</v>
      </c>
      <c r="AE156" s="486" t="s">
        <v>2996</v>
      </c>
      <c r="AF156" s="473">
        <v>27000000</v>
      </c>
      <c r="AG156" s="474">
        <f t="shared" si="2"/>
        <v>0</v>
      </c>
      <c r="AL156" s="475">
        <v>3400000</v>
      </c>
      <c r="AM156" s="306">
        <v>3000000</v>
      </c>
    </row>
    <row r="157" spans="1:39" hidden="1" x14ac:dyDescent="0.3">
      <c r="A157" s="476" t="s">
        <v>2484</v>
      </c>
      <c r="B157" s="477">
        <v>54965093</v>
      </c>
      <c r="C157" s="212" t="s">
        <v>2646</v>
      </c>
      <c r="D157" s="212">
        <v>155</v>
      </c>
      <c r="E157" s="478">
        <v>20214000004343</v>
      </c>
      <c r="F157" s="479">
        <v>44228</v>
      </c>
      <c r="G157" s="478" t="s">
        <v>2680</v>
      </c>
      <c r="H157" s="212" t="s">
        <v>2681</v>
      </c>
      <c r="I157" s="212" t="s">
        <v>47</v>
      </c>
      <c r="J157" s="475">
        <v>51345000</v>
      </c>
      <c r="K157" s="212" t="s">
        <v>37</v>
      </c>
      <c r="L157" s="212" t="s">
        <v>2682</v>
      </c>
      <c r="M157" s="212" t="s">
        <v>44</v>
      </c>
      <c r="N157" s="212" t="s">
        <v>45</v>
      </c>
      <c r="O157" s="212" t="s">
        <v>310</v>
      </c>
      <c r="P157" s="212" t="s">
        <v>43</v>
      </c>
      <c r="R157" s="212">
        <v>159</v>
      </c>
      <c r="S157" s="479">
        <v>44228</v>
      </c>
      <c r="T157" s="212" t="s">
        <v>2997</v>
      </c>
      <c r="U157" s="475">
        <v>51345000</v>
      </c>
      <c r="V157" s="406"/>
      <c r="W157" s="362"/>
      <c r="X157" s="483">
        <v>142</v>
      </c>
      <c r="Y157" s="484">
        <v>44243</v>
      </c>
      <c r="Z157" s="484">
        <v>44243</v>
      </c>
      <c r="AA157" s="484">
        <v>44516</v>
      </c>
      <c r="AB157" s="485" t="s">
        <v>2650</v>
      </c>
      <c r="AC157" s="483">
        <v>94</v>
      </c>
      <c r="AD157" s="485">
        <v>1026270734</v>
      </c>
      <c r="AE157" s="486" t="s">
        <v>2998</v>
      </c>
      <c r="AF157" s="473">
        <v>51345000</v>
      </c>
      <c r="AG157" s="474">
        <f t="shared" si="2"/>
        <v>0</v>
      </c>
      <c r="AJ157" s="475">
        <v>2472167</v>
      </c>
      <c r="AK157" s="475">
        <v>5705000</v>
      </c>
      <c r="AL157" s="475">
        <v>5705000</v>
      </c>
      <c r="AM157" s="306">
        <v>5705000</v>
      </c>
    </row>
    <row r="158" spans="1:39" hidden="1" x14ac:dyDescent="0.3">
      <c r="A158" s="476" t="s">
        <v>2999</v>
      </c>
      <c r="B158" s="477">
        <v>5940000</v>
      </c>
      <c r="C158" s="212" t="s">
        <v>2646</v>
      </c>
      <c r="D158" s="212">
        <v>156</v>
      </c>
      <c r="E158" s="478">
        <v>20214000004353</v>
      </c>
      <c r="F158" s="479">
        <v>44228</v>
      </c>
      <c r="G158" s="478" t="s">
        <v>2680</v>
      </c>
      <c r="H158" s="212" t="s">
        <v>2681</v>
      </c>
      <c r="I158" s="212" t="s">
        <v>47</v>
      </c>
      <c r="J158" s="475">
        <v>5940000</v>
      </c>
      <c r="K158" s="212" t="s">
        <v>37</v>
      </c>
      <c r="L158" s="212" t="s">
        <v>2682</v>
      </c>
      <c r="M158" s="212" t="s">
        <v>44</v>
      </c>
      <c r="N158" s="212" t="s">
        <v>45</v>
      </c>
      <c r="O158" s="212" t="s">
        <v>310</v>
      </c>
      <c r="P158" s="212" t="s">
        <v>43</v>
      </c>
      <c r="R158" s="212">
        <v>160</v>
      </c>
      <c r="S158" s="479">
        <v>44228</v>
      </c>
      <c r="T158" s="212" t="s">
        <v>3000</v>
      </c>
      <c r="U158" s="475">
        <v>5940000</v>
      </c>
      <c r="V158" s="406"/>
      <c r="W158" s="362"/>
      <c r="X158" s="483">
        <v>119</v>
      </c>
      <c r="Y158" s="484">
        <v>44238</v>
      </c>
      <c r="Z158" s="484">
        <v>44238</v>
      </c>
      <c r="AA158" s="484">
        <v>44511</v>
      </c>
      <c r="AB158" s="485" t="s">
        <v>2650</v>
      </c>
      <c r="AC158" s="211">
        <v>69</v>
      </c>
      <c r="AD158" s="485">
        <v>1118550734</v>
      </c>
      <c r="AE158" s="486" t="s">
        <v>3001</v>
      </c>
      <c r="AF158" s="473">
        <v>5940000</v>
      </c>
      <c r="AG158" s="474">
        <f t="shared" si="2"/>
        <v>0</v>
      </c>
      <c r="AJ158" s="475">
        <v>396000</v>
      </c>
      <c r="AK158" s="475">
        <v>660000</v>
      </c>
      <c r="AL158" s="475">
        <v>660000</v>
      </c>
      <c r="AM158" s="306">
        <v>660000</v>
      </c>
    </row>
    <row r="159" spans="1:39" hidden="1" x14ac:dyDescent="0.3">
      <c r="A159" s="476" t="s">
        <v>2999</v>
      </c>
      <c r="B159" s="477">
        <v>53460000</v>
      </c>
      <c r="C159" s="212" t="s">
        <v>2646</v>
      </c>
      <c r="D159" s="212">
        <v>156</v>
      </c>
      <c r="E159" s="478">
        <v>20214000004353</v>
      </c>
      <c r="F159" s="479">
        <v>44228</v>
      </c>
      <c r="G159" s="478" t="s">
        <v>2673</v>
      </c>
      <c r="H159" s="212" t="s">
        <v>2674</v>
      </c>
      <c r="I159" s="212" t="s">
        <v>117</v>
      </c>
      <c r="J159" s="475">
        <v>43560000</v>
      </c>
      <c r="K159" s="212" t="s">
        <v>112</v>
      </c>
      <c r="L159" s="212" t="s">
        <v>2675</v>
      </c>
      <c r="M159" s="212" t="s">
        <v>44</v>
      </c>
      <c r="N159" s="212" t="s">
        <v>45</v>
      </c>
      <c r="O159" s="212" t="s">
        <v>63</v>
      </c>
      <c r="P159" s="212" t="s">
        <v>43</v>
      </c>
      <c r="R159" s="329">
        <v>160</v>
      </c>
      <c r="S159" s="479">
        <v>44228</v>
      </c>
      <c r="T159" s="212" t="s">
        <v>3000</v>
      </c>
      <c r="U159" s="475">
        <v>43560000</v>
      </c>
      <c r="V159" s="406"/>
      <c r="W159" s="362"/>
      <c r="X159" s="483">
        <v>119</v>
      </c>
      <c r="Y159" s="484">
        <v>44238</v>
      </c>
      <c r="Z159" s="484">
        <v>44238</v>
      </c>
      <c r="AA159" s="484">
        <v>44511</v>
      </c>
      <c r="AB159" s="485" t="s">
        <v>2650</v>
      </c>
      <c r="AC159" s="211">
        <v>69</v>
      </c>
      <c r="AD159" s="485">
        <v>1118550734</v>
      </c>
      <c r="AE159" s="486" t="s">
        <v>3001</v>
      </c>
      <c r="AF159" s="473">
        <v>43560000</v>
      </c>
      <c r="AG159" s="474">
        <f t="shared" si="2"/>
        <v>0</v>
      </c>
      <c r="AJ159" s="496">
        <v>2904000</v>
      </c>
      <c r="AK159" s="475">
        <v>4840000</v>
      </c>
      <c r="AL159" s="475">
        <v>4840000</v>
      </c>
      <c r="AM159" s="306">
        <v>4840000</v>
      </c>
    </row>
    <row r="160" spans="1:39" hidden="1" x14ac:dyDescent="0.3">
      <c r="A160" s="476" t="s">
        <v>2483</v>
      </c>
      <c r="B160" s="477">
        <v>82500000</v>
      </c>
      <c r="C160" s="212" t="s">
        <v>2646</v>
      </c>
      <c r="D160" s="212">
        <v>157</v>
      </c>
      <c r="E160" s="478">
        <v>20214000004373</v>
      </c>
      <c r="F160" s="479">
        <v>44228</v>
      </c>
      <c r="G160" s="478" t="s">
        <v>2680</v>
      </c>
      <c r="H160" s="212" t="s">
        <v>2681</v>
      </c>
      <c r="I160" s="212" t="s">
        <v>47</v>
      </c>
      <c r="J160" s="475">
        <v>67500000</v>
      </c>
      <c r="K160" s="212" t="s">
        <v>37</v>
      </c>
      <c r="L160" s="212" t="s">
        <v>2682</v>
      </c>
      <c r="M160" s="212" t="s">
        <v>44</v>
      </c>
      <c r="N160" s="212" t="s">
        <v>45</v>
      </c>
      <c r="O160" s="212" t="s">
        <v>310</v>
      </c>
      <c r="P160" s="212" t="s">
        <v>43</v>
      </c>
      <c r="R160" s="212">
        <v>161</v>
      </c>
      <c r="S160" s="479">
        <v>44228</v>
      </c>
      <c r="T160" s="212" t="s">
        <v>3002</v>
      </c>
      <c r="U160" s="475">
        <v>67500000</v>
      </c>
      <c r="V160" s="406"/>
      <c r="W160" s="362"/>
      <c r="X160" s="308">
        <v>98</v>
      </c>
      <c r="Y160" s="484">
        <v>44236</v>
      </c>
      <c r="Z160" s="484">
        <v>44236</v>
      </c>
      <c r="AA160" s="484">
        <v>44509</v>
      </c>
      <c r="AB160" s="485" t="s">
        <v>2650</v>
      </c>
      <c r="AC160" s="211">
        <v>59</v>
      </c>
      <c r="AD160" s="487">
        <v>52975379</v>
      </c>
      <c r="AE160" s="486" t="s">
        <v>3003</v>
      </c>
      <c r="AF160" s="473">
        <v>67500000</v>
      </c>
      <c r="AG160" s="474">
        <f t="shared" si="2"/>
        <v>0</v>
      </c>
      <c r="AJ160" s="475">
        <v>5000000</v>
      </c>
      <c r="AK160" s="475">
        <v>7500000</v>
      </c>
      <c r="AL160" s="475">
        <v>7500000</v>
      </c>
      <c r="AM160" s="306">
        <v>7500000</v>
      </c>
    </row>
    <row r="161" spans="1:39" hidden="1" x14ac:dyDescent="0.3">
      <c r="A161" s="476" t="s">
        <v>3004</v>
      </c>
      <c r="B161" s="477">
        <v>6000000</v>
      </c>
      <c r="C161" s="212" t="s">
        <v>2646</v>
      </c>
      <c r="D161" s="212">
        <v>158</v>
      </c>
      <c r="E161" s="478">
        <v>20214000004383</v>
      </c>
      <c r="F161" s="479">
        <v>44228</v>
      </c>
      <c r="G161" s="478" t="s">
        <v>2680</v>
      </c>
      <c r="H161" s="212" t="s">
        <v>2681</v>
      </c>
      <c r="I161" s="212" t="s">
        <v>47</v>
      </c>
      <c r="J161" s="475">
        <v>6000000</v>
      </c>
      <c r="K161" s="212" t="s">
        <v>37</v>
      </c>
      <c r="L161" s="212" t="s">
        <v>2682</v>
      </c>
      <c r="M161" s="212" t="s">
        <v>44</v>
      </c>
      <c r="N161" s="212" t="s">
        <v>45</v>
      </c>
      <c r="O161" s="212" t="s">
        <v>310</v>
      </c>
      <c r="P161" s="212" t="s">
        <v>43</v>
      </c>
      <c r="R161" s="212">
        <v>162</v>
      </c>
      <c r="S161" s="479">
        <v>44228</v>
      </c>
      <c r="T161" s="212" t="s">
        <v>3005</v>
      </c>
      <c r="U161" s="475">
        <v>6000000</v>
      </c>
      <c r="V161" s="406"/>
      <c r="W161" s="362"/>
      <c r="X161" s="308">
        <v>114</v>
      </c>
      <c r="Y161" s="484">
        <v>44237</v>
      </c>
      <c r="Z161" s="484">
        <v>44237</v>
      </c>
      <c r="AA161" s="484">
        <v>44510</v>
      </c>
      <c r="AB161" s="485" t="s">
        <v>2650</v>
      </c>
      <c r="AC161" s="211">
        <v>64</v>
      </c>
      <c r="AD161" s="487">
        <v>79316274</v>
      </c>
      <c r="AE161" s="486" t="s">
        <v>3006</v>
      </c>
      <c r="AF161" s="473">
        <v>6000000</v>
      </c>
      <c r="AG161" s="474">
        <f t="shared" si="2"/>
        <v>0</v>
      </c>
      <c r="AJ161" s="475">
        <v>422222</v>
      </c>
      <c r="AK161" s="475">
        <v>666667</v>
      </c>
      <c r="AL161" s="475">
        <v>666667</v>
      </c>
      <c r="AM161" s="306">
        <v>666667</v>
      </c>
    </row>
    <row r="162" spans="1:39" hidden="1" x14ac:dyDescent="0.3">
      <c r="A162" s="476" t="s">
        <v>3004</v>
      </c>
      <c r="B162" s="477">
        <v>54000000</v>
      </c>
      <c r="C162" s="212" t="s">
        <v>2646</v>
      </c>
      <c r="D162" s="212">
        <v>158</v>
      </c>
      <c r="E162" s="478">
        <v>20214000004383</v>
      </c>
      <c r="F162" s="479">
        <v>44228</v>
      </c>
      <c r="G162" s="478" t="s">
        <v>2673</v>
      </c>
      <c r="H162" s="212" t="s">
        <v>2674</v>
      </c>
      <c r="I162" s="212" t="s">
        <v>117</v>
      </c>
      <c r="J162" s="475">
        <v>48000000</v>
      </c>
      <c r="K162" s="212" t="s">
        <v>112</v>
      </c>
      <c r="L162" s="212" t="s">
        <v>2675</v>
      </c>
      <c r="M162" s="212" t="s">
        <v>44</v>
      </c>
      <c r="N162" s="212" t="s">
        <v>45</v>
      </c>
      <c r="O162" s="212" t="s">
        <v>63</v>
      </c>
      <c r="P162" s="212" t="s">
        <v>43</v>
      </c>
      <c r="R162" s="329">
        <v>162</v>
      </c>
      <c r="S162" s="479">
        <v>44228</v>
      </c>
      <c r="T162" s="212" t="s">
        <v>3005</v>
      </c>
      <c r="U162" s="475">
        <v>48000000</v>
      </c>
      <c r="V162" s="406"/>
      <c r="W162" s="362"/>
      <c r="X162" s="308">
        <v>114</v>
      </c>
      <c r="Y162" s="484">
        <v>44237</v>
      </c>
      <c r="Z162" s="484">
        <v>44237</v>
      </c>
      <c r="AA162" s="484">
        <v>44510</v>
      </c>
      <c r="AB162" s="485" t="s">
        <v>2650</v>
      </c>
      <c r="AC162" s="211">
        <v>64</v>
      </c>
      <c r="AD162" s="487">
        <v>79316274</v>
      </c>
      <c r="AE162" s="486" t="s">
        <v>3006</v>
      </c>
      <c r="AF162" s="473">
        <v>48000000</v>
      </c>
      <c r="AG162" s="474">
        <f t="shared" si="2"/>
        <v>0</v>
      </c>
      <c r="AJ162" s="475">
        <v>3377778</v>
      </c>
      <c r="AK162" s="475">
        <v>5333333</v>
      </c>
      <c r="AL162" s="475">
        <v>5333333</v>
      </c>
      <c r="AM162" s="306">
        <v>5333333</v>
      </c>
    </row>
    <row r="163" spans="1:39" hidden="1" x14ac:dyDescent="0.3">
      <c r="A163" s="476" t="s">
        <v>2485</v>
      </c>
      <c r="B163" s="477">
        <v>24000000</v>
      </c>
      <c r="C163" s="212" t="s">
        <v>2646</v>
      </c>
      <c r="D163" s="212">
        <v>159</v>
      </c>
      <c r="E163" s="478">
        <v>20214000004593</v>
      </c>
      <c r="F163" s="479">
        <v>44228</v>
      </c>
      <c r="G163" s="478" t="s">
        <v>2680</v>
      </c>
      <c r="H163" s="212" t="s">
        <v>2681</v>
      </c>
      <c r="I163" s="212" t="s">
        <v>47</v>
      </c>
      <c r="J163" s="475">
        <v>24000000</v>
      </c>
      <c r="K163" s="212" t="s">
        <v>37</v>
      </c>
      <c r="L163" s="212" t="s">
        <v>2682</v>
      </c>
      <c r="M163" s="212" t="s">
        <v>44</v>
      </c>
      <c r="N163" s="212" t="s">
        <v>45</v>
      </c>
      <c r="O163" s="212" t="s">
        <v>310</v>
      </c>
      <c r="P163" s="212" t="s">
        <v>43</v>
      </c>
      <c r="R163" s="212">
        <v>164</v>
      </c>
      <c r="S163" s="479">
        <v>44228</v>
      </c>
      <c r="T163" s="212" t="s">
        <v>3007</v>
      </c>
      <c r="U163" s="475">
        <v>24000000</v>
      </c>
      <c r="V163" s="406"/>
      <c r="W163" s="362"/>
      <c r="X163" s="483">
        <v>123</v>
      </c>
      <c r="Y163" s="484">
        <v>44239</v>
      </c>
      <c r="Z163" s="484">
        <v>44239</v>
      </c>
      <c r="AA163" s="484">
        <v>44359</v>
      </c>
      <c r="AB163" s="485" t="s">
        <v>2650</v>
      </c>
      <c r="AC163" s="483">
        <v>81</v>
      </c>
      <c r="AD163" s="485">
        <v>74859637</v>
      </c>
      <c r="AE163" s="486" t="s">
        <v>3008</v>
      </c>
      <c r="AF163" s="473">
        <v>24000000</v>
      </c>
      <c r="AG163" s="474">
        <f t="shared" si="2"/>
        <v>0</v>
      </c>
      <c r="AM163" s="212"/>
    </row>
    <row r="164" spans="1:39" hidden="1" x14ac:dyDescent="0.3">
      <c r="A164" s="476" t="s">
        <v>2388</v>
      </c>
      <c r="B164" s="477">
        <v>56000000</v>
      </c>
      <c r="C164" s="212" t="s">
        <v>2646</v>
      </c>
      <c r="D164" s="212">
        <v>160</v>
      </c>
      <c r="E164" s="478">
        <v>20213000007863</v>
      </c>
      <c r="F164" s="479">
        <v>44243</v>
      </c>
      <c r="G164" s="478" t="s">
        <v>2640</v>
      </c>
      <c r="H164" s="212" t="s">
        <v>2641</v>
      </c>
      <c r="I164" s="212" t="s">
        <v>432</v>
      </c>
      <c r="J164" s="475">
        <v>56000000</v>
      </c>
      <c r="K164" s="212" t="s">
        <v>358</v>
      </c>
      <c r="L164" s="212" t="s">
        <v>2791</v>
      </c>
      <c r="M164" s="212" t="s">
        <v>44</v>
      </c>
      <c r="N164" s="212" t="s">
        <v>45</v>
      </c>
      <c r="O164" s="212" t="s">
        <v>63</v>
      </c>
      <c r="P164" s="212" t="s">
        <v>674</v>
      </c>
      <c r="R164" s="212">
        <v>241</v>
      </c>
      <c r="S164" s="479">
        <v>44243</v>
      </c>
      <c r="T164" s="212" t="s">
        <v>3009</v>
      </c>
      <c r="U164" s="475">
        <v>56000000</v>
      </c>
      <c r="V164" s="406"/>
      <c r="W164" s="362"/>
      <c r="X164" s="308">
        <v>217</v>
      </c>
      <c r="Y164" s="484">
        <v>44257</v>
      </c>
      <c r="Z164" s="484">
        <v>44257</v>
      </c>
      <c r="AA164" s="484">
        <v>44500</v>
      </c>
      <c r="AB164" s="485" t="s">
        <v>2650</v>
      </c>
      <c r="AC164" s="211">
        <v>133</v>
      </c>
      <c r="AD164" s="485" t="s">
        <v>3010</v>
      </c>
      <c r="AE164" s="486" t="s">
        <v>3011</v>
      </c>
      <c r="AF164" s="473">
        <v>56000000</v>
      </c>
      <c r="AG164" s="474">
        <f t="shared" si="2"/>
        <v>0</v>
      </c>
      <c r="AK164" s="475">
        <v>6766666</v>
      </c>
      <c r="AL164" s="475">
        <v>7000000</v>
      </c>
      <c r="AM164" s="306">
        <v>7000000</v>
      </c>
    </row>
    <row r="165" spans="1:39" hidden="1" x14ac:dyDescent="0.3">
      <c r="A165" s="476" t="s">
        <v>2439</v>
      </c>
      <c r="B165" s="477">
        <v>60000000</v>
      </c>
      <c r="C165" s="212" t="s">
        <v>2646</v>
      </c>
      <c r="D165" s="212">
        <v>161</v>
      </c>
      <c r="E165" s="478">
        <v>20211200004633</v>
      </c>
      <c r="F165" s="479">
        <v>44228</v>
      </c>
      <c r="G165" s="478" t="s">
        <v>2647</v>
      </c>
      <c r="H165" s="212" t="s">
        <v>2648</v>
      </c>
      <c r="I165" s="212" t="s">
        <v>143</v>
      </c>
      <c r="J165" s="475">
        <v>60000000</v>
      </c>
      <c r="K165" s="212" t="s">
        <v>138</v>
      </c>
      <c r="L165" s="212" t="s">
        <v>139</v>
      </c>
      <c r="M165" s="212" t="s">
        <v>44</v>
      </c>
      <c r="N165" s="212" t="s">
        <v>45</v>
      </c>
      <c r="O165" s="212" t="s">
        <v>142</v>
      </c>
      <c r="P165" s="212" t="s">
        <v>43</v>
      </c>
      <c r="R165" s="212">
        <v>166</v>
      </c>
      <c r="S165" s="479">
        <v>44228</v>
      </c>
      <c r="T165" s="212" t="s">
        <v>3012</v>
      </c>
      <c r="U165" s="475">
        <v>60000000</v>
      </c>
      <c r="V165" s="406"/>
      <c r="W165" s="362"/>
      <c r="X165" s="483">
        <v>147</v>
      </c>
      <c r="Y165" s="484">
        <v>44243</v>
      </c>
      <c r="Z165" s="484">
        <v>44243</v>
      </c>
      <c r="AA165" s="484">
        <v>44546</v>
      </c>
      <c r="AB165" s="485" t="s">
        <v>2650</v>
      </c>
      <c r="AC165" s="483">
        <v>83</v>
      </c>
      <c r="AD165" s="485">
        <v>52964083</v>
      </c>
      <c r="AE165" s="486" t="s">
        <v>3013</v>
      </c>
      <c r="AF165" s="473">
        <v>60000000</v>
      </c>
      <c r="AG165" s="474">
        <f t="shared" si="2"/>
        <v>0</v>
      </c>
      <c r="AJ165" s="475">
        <v>2600000</v>
      </c>
      <c r="AK165" s="475">
        <v>6000000</v>
      </c>
      <c r="AL165" s="475">
        <v>6000000</v>
      </c>
      <c r="AM165" s="306">
        <v>6000000</v>
      </c>
    </row>
    <row r="166" spans="1:39" s="312" customFormat="1" hidden="1" x14ac:dyDescent="0.3">
      <c r="A166" s="361" t="s">
        <v>2440</v>
      </c>
      <c r="B166" s="417">
        <v>65000000</v>
      </c>
      <c r="C166" s="312" t="s">
        <v>2646</v>
      </c>
      <c r="D166" s="312">
        <v>162</v>
      </c>
      <c r="E166" s="325">
        <v>20211200004653</v>
      </c>
      <c r="F166" s="315">
        <v>44228</v>
      </c>
      <c r="G166" s="325" t="s">
        <v>2647</v>
      </c>
      <c r="H166" s="312" t="s">
        <v>2648</v>
      </c>
      <c r="I166" s="312" t="s">
        <v>143</v>
      </c>
      <c r="J166" s="405">
        <v>32500000</v>
      </c>
      <c r="K166" s="312" t="s">
        <v>138</v>
      </c>
      <c r="L166" s="312" t="s">
        <v>139</v>
      </c>
      <c r="M166" s="312" t="s">
        <v>44</v>
      </c>
      <c r="N166" s="312" t="s">
        <v>45</v>
      </c>
      <c r="O166" s="312" t="s">
        <v>142</v>
      </c>
      <c r="P166" s="312" t="s">
        <v>43</v>
      </c>
      <c r="R166" s="312">
        <v>167</v>
      </c>
      <c r="S166" s="315">
        <v>44228</v>
      </c>
      <c r="T166" s="312" t="s">
        <v>3014</v>
      </c>
      <c r="U166" s="405">
        <f>32500000-29250000</f>
        <v>3250000</v>
      </c>
      <c r="V166" s="444">
        <v>29250000</v>
      </c>
      <c r="W166" s="398"/>
      <c r="X166" s="314">
        <v>113</v>
      </c>
      <c r="Y166" s="390">
        <v>44237</v>
      </c>
      <c r="Z166" s="390">
        <v>44237</v>
      </c>
      <c r="AA166" s="390">
        <v>44387</v>
      </c>
      <c r="AB166" s="391" t="s">
        <v>2650</v>
      </c>
      <c r="AC166" s="316">
        <v>61</v>
      </c>
      <c r="AD166" s="392">
        <v>52428475</v>
      </c>
      <c r="AE166" s="360" t="s">
        <v>3015</v>
      </c>
      <c r="AF166" s="410">
        <f>32500000-29250000</f>
        <v>3250000</v>
      </c>
      <c r="AG166" s="318">
        <f t="shared" si="2"/>
        <v>0</v>
      </c>
      <c r="AH166" s="405"/>
      <c r="AI166" s="405"/>
      <c r="AJ166" s="405"/>
      <c r="AK166" s="405"/>
      <c r="AL166" s="405"/>
      <c r="AM166" s="212"/>
    </row>
    <row r="167" spans="1:39" hidden="1" x14ac:dyDescent="0.3">
      <c r="A167" s="476" t="s">
        <v>3016</v>
      </c>
      <c r="C167" s="212" t="s">
        <v>2646</v>
      </c>
      <c r="D167" s="212">
        <v>163</v>
      </c>
      <c r="E167" s="478">
        <v>20213000004523</v>
      </c>
      <c r="F167" s="479">
        <v>44228</v>
      </c>
      <c r="G167" s="478" t="s">
        <v>2640</v>
      </c>
      <c r="H167" s="212" t="s">
        <v>2641</v>
      </c>
      <c r="I167" s="212" t="s">
        <v>432</v>
      </c>
      <c r="J167" s="475">
        <v>2800000</v>
      </c>
      <c r="K167" s="212" t="s">
        <v>358</v>
      </c>
      <c r="L167" s="212" t="s">
        <v>2791</v>
      </c>
      <c r="M167" s="212" t="s">
        <v>44</v>
      </c>
      <c r="N167" s="212" t="s">
        <v>45</v>
      </c>
      <c r="O167" s="212" t="s">
        <v>63</v>
      </c>
      <c r="P167" s="212" t="s">
        <v>674</v>
      </c>
      <c r="R167" s="212">
        <v>163</v>
      </c>
      <c r="S167" s="479">
        <v>44228</v>
      </c>
      <c r="T167" s="212" t="s">
        <v>3017</v>
      </c>
      <c r="U167" s="475">
        <v>2800000</v>
      </c>
      <c r="V167" s="406"/>
      <c r="W167" s="362"/>
      <c r="X167" s="308">
        <v>79</v>
      </c>
      <c r="Y167" s="484">
        <v>44232</v>
      </c>
      <c r="Z167" s="484">
        <v>44233</v>
      </c>
      <c r="AA167" s="484">
        <v>44260</v>
      </c>
      <c r="AB167" s="485" t="s">
        <v>2650</v>
      </c>
      <c r="AC167" s="211">
        <v>559</v>
      </c>
      <c r="AD167" s="487">
        <v>1024579339</v>
      </c>
      <c r="AE167" s="486" t="s">
        <v>3018</v>
      </c>
      <c r="AF167" s="473">
        <v>2800000</v>
      </c>
      <c r="AG167" s="474">
        <f t="shared" si="2"/>
        <v>0</v>
      </c>
      <c r="AJ167" s="475">
        <v>2800000</v>
      </c>
      <c r="AM167" s="212"/>
    </row>
    <row r="168" spans="1:39" hidden="1" x14ac:dyDescent="0.3">
      <c r="A168" s="476" t="s">
        <v>3019</v>
      </c>
      <c r="B168" s="477">
        <v>12000000</v>
      </c>
      <c r="C168" s="212" t="s">
        <v>2646</v>
      </c>
      <c r="D168" s="212">
        <v>164</v>
      </c>
      <c r="E168" s="478">
        <v>20214000004683</v>
      </c>
      <c r="F168" s="479">
        <v>44228</v>
      </c>
      <c r="G168" s="478" t="s">
        <v>2673</v>
      </c>
      <c r="H168" s="212" t="s">
        <v>2674</v>
      </c>
      <c r="I168" s="212" t="s">
        <v>117</v>
      </c>
      <c r="J168" s="475">
        <v>12000000</v>
      </c>
      <c r="K168" s="212" t="s">
        <v>112</v>
      </c>
      <c r="L168" s="212" t="s">
        <v>2675</v>
      </c>
      <c r="M168" s="212" t="s">
        <v>44</v>
      </c>
      <c r="N168" s="212" t="s">
        <v>45</v>
      </c>
      <c r="O168" s="212" t="s">
        <v>63</v>
      </c>
      <c r="P168" s="212" t="s">
        <v>43</v>
      </c>
      <c r="R168" s="212">
        <v>168</v>
      </c>
      <c r="S168" s="479">
        <v>44229</v>
      </c>
      <c r="T168" s="212" t="s">
        <v>3020</v>
      </c>
      <c r="U168" s="475">
        <v>12000000</v>
      </c>
      <c r="V168" s="406"/>
      <c r="W168" s="362"/>
      <c r="X168" s="483">
        <v>172</v>
      </c>
      <c r="Y168" s="484">
        <v>44246</v>
      </c>
      <c r="Z168" s="484">
        <v>44246</v>
      </c>
      <c r="AA168" s="484">
        <v>44366</v>
      </c>
      <c r="AB168" s="485" t="s">
        <v>2650</v>
      </c>
      <c r="AC168" s="483">
        <v>117</v>
      </c>
      <c r="AD168" s="485">
        <v>51692528</v>
      </c>
      <c r="AE168" s="486" t="s">
        <v>3021</v>
      </c>
      <c r="AF168" s="473">
        <v>12000000</v>
      </c>
      <c r="AG168" s="474">
        <f t="shared" si="2"/>
        <v>0</v>
      </c>
      <c r="AL168" s="475">
        <v>6700000</v>
      </c>
      <c r="AM168" s="306">
        <v>3000000</v>
      </c>
    </row>
    <row r="169" spans="1:39" hidden="1" x14ac:dyDescent="0.3">
      <c r="A169" s="476" t="s">
        <v>3022</v>
      </c>
      <c r="B169" s="477">
        <v>77500000</v>
      </c>
      <c r="C169" s="212" t="s">
        <v>2646</v>
      </c>
      <c r="D169" s="212">
        <v>165</v>
      </c>
      <c r="E169" s="478">
        <v>20214000004703</v>
      </c>
      <c r="F169" s="479">
        <v>44228</v>
      </c>
      <c r="G169" s="478" t="s">
        <v>2673</v>
      </c>
      <c r="H169" s="212" t="s">
        <v>2674</v>
      </c>
      <c r="I169" s="212" t="s">
        <v>117</v>
      </c>
      <c r="J169" s="475">
        <v>60000000</v>
      </c>
      <c r="K169" s="212" t="s">
        <v>112</v>
      </c>
      <c r="L169" s="212" t="s">
        <v>2675</v>
      </c>
      <c r="M169" s="212" t="s">
        <v>44</v>
      </c>
      <c r="N169" s="212" t="s">
        <v>45</v>
      </c>
      <c r="O169" s="212" t="s">
        <v>63</v>
      </c>
      <c r="P169" s="212" t="s">
        <v>43</v>
      </c>
      <c r="R169" s="212">
        <v>169</v>
      </c>
      <c r="S169" s="479">
        <v>44229</v>
      </c>
      <c r="T169" s="212" t="s">
        <v>3023</v>
      </c>
      <c r="U169" s="475">
        <v>60000000</v>
      </c>
      <c r="V169" s="406"/>
      <c r="W169" s="362"/>
      <c r="X169" s="483">
        <v>198</v>
      </c>
      <c r="Y169" s="484">
        <v>44253</v>
      </c>
      <c r="Z169" s="484">
        <v>44253</v>
      </c>
      <c r="AA169" s="484">
        <v>44495</v>
      </c>
      <c r="AB169" s="485" t="s">
        <v>2650</v>
      </c>
      <c r="AC169" s="483">
        <v>135</v>
      </c>
      <c r="AD169" s="485">
        <v>74369283</v>
      </c>
      <c r="AE169" s="486" t="s">
        <v>3024</v>
      </c>
      <c r="AF169" s="473">
        <v>60000000</v>
      </c>
      <c r="AG169" s="474">
        <f t="shared" si="2"/>
        <v>0</v>
      </c>
      <c r="AL169" s="475">
        <v>8250000</v>
      </c>
      <c r="AM169" s="212"/>
    </row>
    <row r="170" spans="1:39" hidden="1" x14ac:dyDescent="0.3">
      <c r="A170" s="476" t="s">
        <v>3025</v>
      </c>
      <c r="B170" s="477">
        <v>31000000</v>
      </c>
      <c r="C170" s="212" t="s">
        <v>2646</v>
      </c>
      <c r="D170" s="212">
        <v>166</v>
      </c>
      <c r="E170" s="478">
        <v>20214000004713</v>
      </c>
      <c r="F170" s="479">
        <v>44228</v>
      </c>
      <c r="G170" s="478" t="s">
        <v>2673</v>
      </c>
      <c r="H170" s="212" t="s">
        <v>2674</v>
      </c>
      <c r="I170" s="212" t="s">
        <v>117</v>
      </c>
      <c r="J170" s="475">
        <v>24000000</v>
      </c>
      <c r="K170" s="212" t="s">
        <v>112</v>
      </c>
      <c r="L170" s="212" t="s">
        <v>2675</v>
      </c>
      <c r="M170" s="212" t="s">
        <v>44</v>
      </c>
      <c r="N170" s="212" t="s">
        <v>45</v>
      </c>
      <c r="O170" s="212" t="s">
        <v>63</v>
      </c>
      <c r="P170" s="212" t="s">
        <v>43</v>
      </c>
      <c r="R170" s="212">
        <v>170</v>
      </c>
      <c r="S170" s="479">
        <v>44229</v>
      </c>
      <c r="T170" s="212" t="s">
        <v>3026</v>
      </c>
      <c r="U170" s="475">
        <v>24000000</v>
      </c>
      <c r="V170" s="406"/>
      <c r="W170" s="362"/>
      <c r="X170" s="483">
        <v>197</v>
      </c>
      <c r="Y170" s="484">
        <v>44253</v>
      </c>
      <c r="Z170" s="484">
        <v>44253</v>
      </c>
      <c r="AA170" s="484">
        <v>44495</v>
      </c>
      <c r="AB170" s="485" t="s">
        <v>2650</v>
      </c>
      <c r="AC170" s="483">
        <v>137</v>
      </c>
      <c r="AD170" s="485">
        <v>1022444236</v>
      </c>
      <c r="AE170" s="486" t="s">
        <v>3027</v>
      </c>
      <c r="AF170" s="473">
        <v>24000000</v>
      </c>
      <c r="AG170" s="474">
        <f t="shared" si="2"/>
        <v>0</v>
      </c>
      <c r="AL170" s="475">
        <v>6300000</v>
      </c>
      <c r="AM170" s="306">
        <v>3000000</v>
      </c>
    </row>
    <row r="171" spans="1:39" hidden="1" x14ac:dyDescent="0.3">
      <c r="A171" s="476" t="s">
        <v>3028</v>
      </c>
      <c r="B171" s="477">
        <v>58900000</v>
      </c>
      <c r="C171" s="212" t="s">
        <v>2646</v>
      </c>
      <c r="D171" s="212">
        <v>167</v>
      </c>
      <c r="E171" s="478">
        <v>20214000004603</v>
      </c>
      <c r="F171" s="479">
        <v>44228</v>
      </c>
      <c r="G171" s="478" t="s">
        <v>2673</v>
      </c>
      <c r="H171" s="212" t="s">
        <v>2674</v>
      </c>
      <c r="I171" s="212" t="s">
        <v>117</v>
      </c>
      <c r="J171" s="475">
        <v>45600000</v>
      </c>
      <c r="K171" s="212" t="s">
        <v>112</v>
      </c>
      <c r="L171" s="212" t="s">
        <v>2675</v>
      </c>
      <c r="M171" s="212" t="s">
        <v>44</v>
      </c>
      <c r="N171" s="212" t="s">
        <v>45</v>
      </c>
      <c r="O171" s="212" t="s">
        <v>63</v>
      </c>
      <c r="P171" s="212" t="s">
        <v>43</v>
      </c>
      <c r="R171" s="212">
        <v>165</v>
      </c>
      <c r="S171" s="479">
        <v>44228</v>
      </c>
      <c r="T171" s="212" t="s">
        <v>3029</v>
      </c>
      <c r="U171" s="475">
        <v>45600000</v>
      </c>
      <c r="V171" s="406"/>
      <c r="W171" s="362"/>
      <c r="X171" s="308">
        <v>218</v>
      </c>
      <c r="Y171" s="484">
        <v>44257</v>
      </c>
      <c r="Z171" s="484">
        <v>44257</v>
      </c>
      <c r="AA171" s="484">
        <v>44500</v>
      </c>
      <c r="AB171" s="485" t="s">
        <v>2650</v>
      </c>
      <c r="AC171" s="211">
        <v>160</v>
      </c>
      <c r="AD171" s="485" t="s">
        <v>3030</v>
      </c>
      <c r="AE171" s="486" t="s">
        <v>3031</v>
      </c>
      <c r="AF171" s="473">
        <v>45600000</v>
      </c>
      <c r="AG171" s="474">
        <f t="shared" si="2"/>
        <v>0</v>
      </c>
      <c r="AK171" s="475">
        <v>5320000</v>
      </c>
      <c r="AL171" s="475">
        <v>5700000</v>
      </c>
      <c r="AM171" s="306">
        <v>5700000</v>
      </c>
    </row>
    <row r="172" spans="1:39" hidden="1" x14ac:dyDescent="0.3">
      <c r="A172" s="476" t="s">
        <v>2533</v>
      </c>
      <c r="B172" s="477">
        <v>55000000</v>
      </c>
      <c r="C172" s="212" t="s">
        <v>2646</v>
      </c>
      <c r="D172" s="212">
        <v>168</v>
      </c>
      <c r="E172" s="309">
        <v>20214000008333</v>
      </c>
      <c r="F172" s="310">
        <v>44243</v>
      </c>
      <c r="G172" s="478" t="s">
        <v>2673</v>
      </c>
      <c r="H172" s="212" t="s">
        <v>2674</v>
      </c>
      <c r="I172" s="212" t="s">
        <v>117</v>
      </c>
      <c r="J172" s="475">
        <v>38500000</v>
      </c>
      <c r="K172" s="212" t="s">
        <v>112</v>
      </c>
      <c r="L172" s="212" t="s">
        <v>2675</v>
      </c>
      <c r="M172" s="212" t="s">
        <v>44</v>
      </c>
      <c r="N172" s="212" t="s">
        <v>45</v>
      </c>
      <c r="O172" s="212" t="s">
        <v>63</v>
      </c>
      <c r="P172" s="212" t="s">
        <v>43</v>
      </c>
      <c r="R172" s="486">
        <v>259</v>
      </c>
      <c r="S172" s="490">
        <v>44244</v>
      </c>
      <c r="T172" s="486" t="s">
        <v>3032</v>
      </c>
      <c r="U172" s="475">
        <v>38500000</v>
      </c>
      <c r="V172" s="406"/>
      <c r="W172" s="362"/>
      <c r="X172" s="308">
        <v>219</v>
      </c>
      <c r="Y172" s="484">
        <v>44257</v>
      </c>
      <c r="Z172" s="484">
        <v>44257</v>
      </c>
      <c r="AA172" s="484">
        <v>44469</v>
      </c>
      <c r="AB172" s="485" t="s">
        <v>2650</v>
      </c>
      <c r="AC172" s="211">
        <v>159</v>
      </c>
      <c r="AD172" s="485" t="s">
        <v>3033</v>
      </c>
      <c r="AE172" s="486" t="s">
        <v>3034</v>
      </c>
      <c r="AF172" s="473">
        <v>38500000</v>
      </c>
      <c r="AG172" s="474">
        <f t="shared" si="2"/>
        <v>0</v>
      </c>
      <c r="AK172" s="475">
        <v>5133333</v>
      </c>
      <c r="AL172" s="475">
        <v>5500000</v>
      </c>
      <c r="AM172" s="306">
        <v>5500000</v>
      </c>
    </row>
    <row r="173" spans="1:39" hidden="1" x14ac:dyDescent="0.3">
      <c r="A173" s="476" t="s">
        <v>1935</v>
      </c>
      <c r="B173" s="477">
        <v>17854947</v>
      </c>
      <c r="C173" s="212" t="s">
        <v>2646</v>
      </c>
      <c r="D173" s="212">
        <v>169</v>
      </c>
      <c r="E173" s="478">
        <v>20212000007613</v>
      </c>
      <c r="F173" s="479">
        <v>44243</v>
      </c>
      <c r="G173" s="478" t="s">
        <v>2640</v>
      </c>
      <c r="H173" s="212" t="s">
        <v>2641</v>
      </c>
      <c r="I173" s="212" t="s">
        <v>391</v>
      </c>
      <c r="J173" s="475">
        <v>15800000</v>
      </c>
      <c r="K173" s="210" t="s">
        <v>2711</v>
      </c>
      <c r="L173" s="212" t="s">
        <v>2712</v>
      </c>
      <c r="M173" s="212" t="s">
        <v>44</v>
      </c>
      <c r="N173" s="212" t="s">
        <v>45</v>
      </c>
      <c r="O173" s="212" t="s">
        <v>63</v>
      </c>
      <c r="P173" s="212" t="s">
        <v>674</v>
      </c>
      <c r="R173" s="212">
        <v>239</v>
      </c>
      <c r="S173" s="479">
        <v>44243</v>
      </c>
      <c r="T173" s="212" t="s">
        <v>3035</v>
      </c>
      <c r="U173" s="475">
        <v>15800000</v>
      </c>
      <c r="V173" s="406"/>
      <c r="W173" s="362"/>
      <c r="X173" s="308">
        <v>220</v>
      </c>
      <c r="Y173" s="484">
        <v>44257</v>
      </c>
      <c r="Z173" s="484">
        <v>44257</v>
      </c>
      <c r="AA173" s="484">
        <v>44377</v>
      </c>
      <c r="AB173" s="485" t="s">
        <v>2650</v>
      </c>
      <c r="AC173" s="211">
        <v>157</v>
      </c>
      <c r="AD173" s="485" t="s">
        <v>3036</v>
      </c>
      <c r="AE173" s="486" t="s">
        <v>3037</v>
      </c>
      <c r="AF173" s="473">
        <v>15800000</v>
      </c>
      <c r="AG173" s="474">
        <f t="shared" si="2"/>
        <v>0</v>
      </c>
      <c r="AK173" s="475">
        <v>3555000</v>
      </c>
      <c r="AL173" s="475">
        <v>3950000</v>
      </c>
      <c r="AM173" s="306">
        <v>3950000</v>
      </c>
    </row>
    <row r="174" spans="1:39" hidden="1" x14ac:dyDescent="0.3">
      <c r="A174" s="476" t="s">
        <v>2513</v>
      </c>
      <c r="B174" s="477">
        <v>33129600</v>
      </c>
      <c r="C174" s="212" t="s">
        <v>2646</v>
      </c>
      <c r="D174" s="212">
        <v>170</v>
      </c>
      <c r="E174" s="478">
        <v>20212000005163</v>
      </c>
      <c r="F174" s="479">
        <v>44229</v>
      </c>
      <c r="G174" s="478" t="s">
        <v>2640</v>
      </c>
      <c r="H174" s="212" t="s">
        <v>2641</v>
      </c>
      <c r="I174" s="212" t="s">
        <v>391</v>
      </c>
      <c r="J174" s="475">
        <v>31059000</v>
      </c>
      <c r="K174" s="210" t="s">
        <v>2711</v>
      </c>
      <c r="L174" s="212" t="s">
        <v>2712</v>
      </c>
      <c r="M174" s="212" t="s">
        <v>44</v>
      </c>
      <c r="N174" s="212" t="s">
        <v>45</v>
      </c>
      <c r="O174" s="212" t="s">
        <v>63</v>
      </c>
      <c r="P174" s="212" t="s">
        <v>674</v>
      </c>
      <c r="R174" s="212">
        <v>176</v>
      </c>
      <c r="S174" s="479">
        <v>44229</v>
      </c>
      <c r="T174" s="212" t="s">
        <v>3038</v>
      </c>
      <c r="U174" s="475">
        <f>31059000-1479000</f>
        <v>29580000</v>
      </c>
      <c r="V174" s="411">
        <v>1479000</v>
      </c>
      <c r="W174" s="397"/>
      <c r="X174" s="483">
        <v>199</v>
      </c>
      <c r="Y174" s="484">
        <v>44253</v>
      </c>
      <c r="Z174" s="484">
        <v>44253</v>
      </c>
      <c r="AA174" s="484">
        <v>44556</v>
      </c>
      <c r="AB174" s="485" t="s">
        <v>2650</v>
      </c>
      <c r="AC174" s="483">
        <v>132</v>
      </c>
      <c r="AD174" s="485" t="s">
        <v>3039</v>
      </c>
      <c r="AE174" s="486" t="s">
        <v>3040</v>
      </c>
      <c r="AF174" s="473">
        <v>29580000</v>
      </c>
      <c r="AG174" s="474">
        <f t="shared" si="2"/>
        <v>0</v>
      </c>
      <c r="AJ174" s="475">
        <v>295800</v>
      </c>
      <c r="AK174" s="475">
        <v>2958000</v>
      </c>
      <c r="AL174" s="475">
        <v>2958000</v>
      </c>
      <c r="AM174" s="306">
        <v>2958000</v>
      </c>
    </row>
    <row r="175" spans="1:39" hidden="1" x14ac:dyDescent="0.3">
      <c r="A175" s="476" t="s">
        <v>2514</v>
      </c>
      <c r="B175" s="477">
        <v>33129600</v>
      </c>
      <c r="C175" s="212" t="s">
        <v>2646</v>
      </c>
      <c r="D175" s="212">
        <v>171</v>
      </c>
      <c r="E175" s="478">
        <v>20212000005173</v>
      </c>
      <c r="F175" s="479">
        <v>44229</v>
      </c>
      <c r="G175" s="478" t="s">
        <v>2640</v>
      </c>
      <c r="H175" s="212" t="s">
        <v>2641</v>
      </c>
      <c r="I175" s="212" t="s">
        <v>391</v>
      </c>
      <c r="J175" s="475">
        <v>31059000</v>
      </c>
      <c r="K175" s="210" t="s">
        <v>2711</v>
      </c>
      <c r="L175" s="212" t="s">
        <v>2712</v>
      </c>
      <c r="M175" s="212" t="s">
        <v>44</v>
      </c>
      <c r="N175" s="212" t="s">
        <v>45</v>
      </c>
      <c r="O175" s="212" t="s">
        <v>63</v>
      </c>
      <c r="P175" s="212" t="s">
        <v>674</v>
      </c>
      <c r="R175" s="212">
        <v>177</v>
      </c>
      <c r="S175" s="479">
        <v>44229</v>
      </c>
      <c r="T175" s="212" t="s">
        <v>3041</v>
      </c>
      <c r="U175" s="475">
        <f>31059000-1479000</f>
        <v>29580000</v>
      </c>
      <c r="V175" s="411">
        <v>1479000</v>
      </c>
      <c r="W175" s="397"/>
      <c r="X175" s="483">
        <v>182</v>
      </c>
      <c r="Y175" s="484">
        <v>44250</v>
      </c>
      <c r="Z175" s="484">
        <v>44250</v>
      </c>
      <c r="AA175" s="484">
        <v>44553</v>
      </c>
      <c r="AB175" s="485" t="s">
        <v>2650</v>
      </c>
      <c r="AC175" s="483">
        <v>123</v>
      </c>
      <c r="AD175" s="485">
        <v>1030630774</v>
      </c>
      <c r="AE175" s="486" t="s">
        <v>3042</v>
      </c>
      <c r="AF175" s="473">
        <v>29580000</v>
      </c>
      <c r="AG175" s="474">
        <f t="shared" si="2"/>
        <v>0</v>
      </c>
      <c r="AJ175" s="475">
        <v>591600</v>
      </c>
      <c r="AK175" s="475">
        <v>2958000</v>
      </c>
      <c r="AL175" s="475">
        <v>2958000</v>
      </c>
      <c r="AM175" s="306">
        <v>2958000</v>
      </c>
    </row>
    <row r="176" spans="1:39" hidden="1" x14ac:dyDescent="0.3">
      <c r="A176" s="476" t="s">
        <v>2515</v>
      </c>
      <c r="B176" s="477">
        <v>33129600</v>
      </c>
      <c r="C176" s="212" t="s">
        <v>2646</v>
      </c>
      <c r="D176" s="212">
        <v>172</v>
      </c>
      <c r="E176" s="478">
        <v>20212000005183</v>
      </c>
      <c r="F176" s="479">
        <v>44229</v>
      </c>
      <c r="G176" s="478" t="s">
        <v>2640</v>
      </c>
      <c r="H176" s="212" t="s">
        <v>2641</v>
      </c>
      <c r="I176" s="212" t="s">
        <v>391</v>
      </c>
      <c r="J176" s="475">
        <v>31059000</v>
      </c>
      <c r="K176" s="210" t="s">
        <v>2711</v>
      </c>
      <c r="L176" s="212" t="s">
        <v>2712</v>
      </c>
      <c r="M176" s="212" t="s">
        <v>44</v>
      </c>
      <c r="N176" s="212" t="s">
        <v>45</v>
      </c>
      <c r="O176" s="212" t="s">
        <v>63</v>
      </c>
      <c r="P176" s="212" t="s">
        <v>674</v>
      </c>
      <c r="R176" s="212">
        <v>178</v>
      </c>
      <c r="S176" s="479">
        <v>44229</v>
      </c>
      <c r="T176" s="212" t="s">
        <v>3043</v>
      </c>
      <c r="U176" s="475">
        <f>31059000-1479000</f>
        <v>29580000</v>
      </c>
      <c r="V176" s="411">
        <v>1479000</v>
      </c>
      <c r="W176" s="397"/>
      <c r="X176" s="483">
        <v>164</v>
      </c>
      <c r="Y176" s="484">
        <v>44246</v>
      </c>
      <c r="Z176" s="484">
        <v>44246</v>
      </c>
      <c r="AA176" s="484">
        <v>44549</v>
      </c>
      <c r="AB176" s="485" t="s">
        <v>2650</v>
      </c>
      <c r="AC176" s="483">
        <v>107</v>
      </c>
      <c r="AD176" s="485">
        <v>1018456945</v>
      </c>
      <c r="AE176" s="486" t="s">
        <v>3044</v>
      </c>
      <c r="AF176" s="473">
        <v>29580000</v>
      </c>
      <c r="AG176" s="474">
        <f t="shared" si="2"/>
        <v>0</v>
      </c>
      <c r="AJ176" s="475">
        <v>690200</v>
      </c>
      <c r="AK176" s="475">
        <v>2958000</v>
      </c>
      <c r="AL176" s="475">
        <v>2958000</v>
      </c>
      <c r="AM176" s="306">
        <v>2958000</v>
      </c>
    </row>
    <row r="177" spans="1:39" hidden="1" x14ac:dyDescent="0.3">
      <c r="A177" s="476" t="s">
        <v>3045</v>
      </c>
      <c r="B177" s="477">
        <v>80000000</v>
      </c>
      <c r="C177" s="212" t="s">
        <v>2646</v>
      </c>
      <c r="D177" s="212">
        <v>173</v>
      </c>
      <c r="E177" s="478">
        <v>20214000005383</v>
      </c>
      <c r="F177" s="479">
        <v>44230</v>
      </c>
      <c r="G177" s="478" t="s">
        <v>2673</v>
      </c>
      <c r="H177" s="212" t="s">
        <v>2674</v>
      </c>
      <c r="I177" s="212" t="s">
        <v>117</v>
      </c>
      <c r="J177" s="475">
        <v>64000000</v>
      </c>
      <c r="K177" s="212" t="s">
        <v>112</v>
      </c>
      <c r="L177" s="212" t="s">
        <v>2675</v>
      </c>
      <c r="M177" s="212" t="s">
        <v>44</v>
      </c>
      <c r="N177" s="212" t="s">
        <v>45</v>
      </c>
      <c r="O177" s="212" t="s">
        <v>63</v>
      </c>
      <c r="P177" s="212" t="s">
        <v>43</v>
      </c>
      <c r="R177" s="212">
        <v>188</v>
      </c>
      <c r="S177" s="479">
        <v>44230</v>
      </c>
      <c r="T177" s="212" t="s">
        <v>3046</v>
      </c>
      <c r="U177" s="475">
        <v>64000000</v>
      </c>
      <c r="V177" s="406"/>
      <c r="W177" s="362"/>
      <c r="X177" s="308">
        <v>221</v>
      </c>
      <c r="Y177" s="484">
        <v>44257</v>
      </c>
      <c r="Z177" s="484">
        <v>44257</v>
      </c>
      <c r="AA177" s="484">
        <v>44500</v>
      </c>
      <c r="AB177" s="485" t="s">
        <v>2650</v>
      </c>
      <c r="AC177" s="211">
        <v>158</v>
      </c>
      <c r="AD177" s="485" t="s">
        <v>3047</v>
      </c>
      <c r="AE177" s="486" t="s">
        <v>3048</v>
      </c>
      <c r="AF177" s="473">
        <v>64000000</v>
      </c>
      <c r="AG177" s="474">
        <f t="shared" si="2"/>
        <v>0</v>
      </c>
      <c r="AK177" s="475">
        <v>7466666</v>
      </c>
      <c r="AL177" s="475">
        <v>8000000</v>
      </c>
      <c r="AM177" s="306">
        <v>8000000</v>
      </c>
    </row>
    <row r="178" spans="1:39" hidden="1" x14ac:dyDescent="0.3">
      <c r="A178" s="476" t="s">
        <v>2115</v>
      </c>
      <c r="B178" s="477">
        <v>28152000</v>
      </c>
      <c r="C178" s="212" t="s">
        <v>2646</v>
      </c>
      <c r="D178" s="212">
        <v>174</v>
      </c>
      <c r="E178" s="478">
        <v>20211400005073</v>
      </c>
      <c r="F178" s="479">
        <v>44230</v>
      </c>
      <c r="G178" s="478" t="s">
        <v>2647</v>
      </c>
      <c r="H178" s="212" t="s">
        <v>2648</v>
      </c>
      <c r="I178" s="212" t="s">
        <v>184</v>
      </c>
      <c r="J178" s="475">
        <v>28152000</v>
      </c>
      <c r="K178" s="212" t="s">
        <v>138</v>
      </c>
      <c r="L178" s="212" t="s">
        <v>2652</v>
      </c>
      <c r="M178" s="212" t="s">
        <v>44</v>
      </c>
      <c r="N178" s="212" t="s">
        <v>45</v>
      </c>
      <c r="O178" s="212" t="s">
        <v>142</v>
      </c>
      <c r="P178" s="212" t="s">
        <v>43</v>
      </c>
      <c r="R178" s="212">
        <v>184</v>
      </c>
      <c r="S178" s="479">
        <v>44230</v>
      </c>
      <c r="T178" s="212" t="s">
        <v>3049</v>
      </c>
      <c r="U178" s="475">
        <v>28152000</v>
      </c>
      <c r="V178" s="406"/>
      <c r="W178" s="362"/>
      <c r="X178" s="483">
        <v>135</v>
      </c>
      <c r="Y178" s="484">
        <v>44243</v>
      </c>
      <c r="Z178" s="484">
        <v>44243</v>
      </c>
      <c r="AA178" s="484">
        <v>44485</v>
      </c>
      <c r="AB178" s="485" t="s">
        <v>2650</v>
      </c>
      <c r="AC178" s="483">
        <v>84</v>
      </c>
      <c r="AD178" s="485">
        <v>1012417801</v>
      </c>
      <c r="AE178" s="486" t="s">
        <v>3050</v>
      </c>
      <c r="AF178" s="473">
        <v>28152000</v>
      </c>
      <c r="AG178" s="474">
        <f t="shared" si="2"/>
        <v>0</v>
      </c>
      <c r="AJ178" s="481">
        <v>1524900</v>
      </c>
      <c r="AK178" s="475">
        <v>3519000</v>
      </c>
      <c r="AL178" s="475">
        <v>3519000</v>
      </c>
      <c r="AM178" s="306">
        <v>3519000</v>
      </c>
    </row>
    <row r="179" spans="1:39" hidden="1" x14ac:dyDescent="0.3">
      <c r="A179" s="476" t="s">
        <v>2113</v>
      </c>
      <c r="B179" s="477">
        <v>26400000</v>
      </c>
      <c r="C179" s="212" t="s">
        <v>2646</v>
      </c>
      <c r="D179" s="212">
        <v>175</v>
      </c>
      <c r="E179" s="478">
        <v>20211400005033</v>
      </c>
      <c r="F179" s="479">
        <v>44230</v>
      </c>
      <c r="G179" s="478" t="s">
        <v>2647</v>
      </c>
      <c r="H179" s="212" t="s">
        <v>2648</v>
      </c>
      <c r="I179" s="212" t="s">
        <v>184</v>
      </c>
      <c r="J179" s="475">
        <v>26400000</v>
      </c>
      <c r="K179" s="212" t="s">
        <v>138</v>
      </c>
      <c r="L179" s="212" t="s">
        <v>2652</v>
      </c>
      <c r="M179" s="212" t="s">
        <v>44</v>
      </c>
      <c r="N179" s="212" t="s">
        <v>45</v>
      </c>
      <c r="O179" s="212" t="s">
        <v>142</v>
      </c>
      <c r="P179" s="212" t="s">
        <v>43</v>
      </c>
      <c r="R179" s="212">
        <v>181</v>
      </c>
      <c r="S179" s="479">
        <v>44230</v>
      </c>
      <c r="T179" s="212" t="s">
        <v>3051</v>
      </c>
      <c r="U179" s="475">
        <v>26400000</v>
      </c>
      <c r="V179" s="406"/>
      <c r="W179" s="362"/>
      <c r="X179" s="483">
        <v>124</v>
      </c>
      <c r="Y179" s="484">
        <v>44239</v>
      </c>
      <c r="Z179" s="484">
        <v>44239</v>
      </c>
      <c r="AA179" s="484">
        <v>44481</v>
      </c>
      <c r="AB179" s="485" t="s">
        <v>2650</v>
      </c>
      <c r="AC179" s="483">
        <v>76</v>
      </c>
      <c r="AD179" s="485">
        <v>1064977513</v>
      </c>
      <c r="AE179" s="486" t="s">
        <v>3052</v>
      </c>
      <c r="AF179" s="473">
        <v>26400000</v>
      </c>
      <c r="AG179" s="474">
        <f t="shared" si="2"/>
        <v>0</v>
      </c>
      <c r="AJ179" s="481">
        <v>1870000</v>
      </c>
      <c r="AK179" s="475">
        <v>3300000</v>
      </c>
      <c r="AL179" s="475">
        <v>3300000</v>
      </c>
      <c r="AM179" s="306">
        <v>3300000</v>
      </c>
    </row>
    <row r="180" spans="1:39" hidden="1" x14ac:dyDescent="0.3">
      <c r="A180" s="476" t="s">
        <v>2438</v>
      </c>
      <c r="B180" s="477">
        <v>43470000</v>
      </c>
      <c r="C180" s="212" t="s">
        <v>2646</v>
      </c>
      <c r="D180" s="212">
        <v>176</v>
      </c>
      <c r="E180" s="478">
        <v>20211400005083</v>
      </c>
      <c r="F180" s="479">
        <v>44230</v>
      </c>
      <c r="G180" s="478" t="s">
        <v>2647</v>
      </c>
      <c r="H180" s="212" t="s">
        <v>2648</v>
      </c>
      <c r="I180" s="212" t="s">
        <v>184</v>
      </c>
      <c r="J180" s="475">
        <v>43470000</v>
      </c>
      <c r="K180" s="212" t="s">
        <v>138</v>
      </c>
      <c r="L180" s="212" t="s">
        <v>2652</v>
      </c>
      <c r="M180" s="212" t="s">
        <v>44</v>
      </c>
      <c r="N180" s="212" t="s">
        <v>45</v>
      </c>
      <c r="O180" s="212" t="s">
        <v>142</v>
      </c>
      <c r="P180" s="212" t="s">
        <v>43</v>
      </c>
      <c r="R180" s="212">
        <v>185</v>
      </c>
      <c r="S180" s="479">
        <v>44230</v>
      </c>
      <c r="T180" s="212" t="s">
        <v>3053</v>
      </c>
      <c r="U180" s="475">
        <v>43470000</v>
      </c>
      <c r="V180" s="406"/>
      <c r="W180" s="362"/>
      <c r="X180" s="483">
        <v>183</v>
      </c>
      <c r="Y180" s="484">
        <v>44250</v>
      </c>
      <c r="Z180" s="484">
        <v>44250</v>
      </c>
      <c r="AA180" s="484">
        <v>44462</v>
      </c>
      <c r="AB180" s="485" t="s">
        <v>2650</v>
      </c>
      <c r="AC180" s="483">
        <v>121</v>
      </c>
      <c r="AD180" s="485">
        <v>80010368</v>
      </c>
      <c r="AE180" s="486" t="s">
        <v>3054</v>
      </c>
      <c r="AF180" s="473">
        <v>43470000</v>
      </c>
      <c r="AG180" s="474">
        <f t="shared" si="2"/>
        <v>0</v>
      </c>
      <c r="AK180" s="475">
        <v>7452000</v>
      </c>
      <c r="AL180" s="475">
        <v>6210000</v>
      </c>
      <c r="AM180" s="306">
        <v>6210000</v>
      </c>
    </row>
    <row r="181" spans="1:39" hidden="1" x14ac:dyDescent="0.3">
      <c r="A181" s="476" t="s">
        <v>2114</v>
      </c>
      <c r="B181" s="477">
        <v>47092500</v>
      </c>
      <c r="C181" s="212" t="s">
        <v>2646</v>
      </c>
      <c r="D181" s="212">
        <v>177</v>
      </c>
      <c r="E181" s="478">
        <v>20211400005063</v>
      </c>
      <c r="F181" s="479">
        <v>44230</v>
      </c>
      <c r="G181" s="478" t="s">
        <v>2647</v>
      </c>
      <c r="H181" s="212" t="s">
        <v>2648</v>
      </c>
      <c r="I181" s="212" t="s">
        <v>184</v>
      </c>
      <c r="J181" s="475">
        <v>47092500</v>
      </c>
      <c r="K181" s="212" t="s">
        <v>138</v>
      </c>
      <c r="L181" s="212" t="s">
        <v>2652</v>
      </c>
      <c r="M181" s="212" t="s">
        <v>44</v>
      </c>
      <c r="N181" s="212" t="s">
        <v>45</v>
      </c>
      <c r="O181" s="212" t="s">
        <v>142</v>
      </c>
      <c r="P181" s="212" t="s">
        <v>43</v>
      </c>
      <c r="R181" s="212">
        <v>183</v>
      </c>
      <c r="S181" s="479">
        <v>44230</v>
      </c>
      <c r="T181" s="212" t="s">
        <v>3055</v>
      </c>
      <c r="U181" s="475">
        <v>47092500</v>
      </c>
      <c r="V181" s="406"/>
      <c r="W181" s="362"/>
      <c r="X181" s="483">
        <v>132</v>
      </c>
      <c r="Y181" s="497">
        <v>44239</v>
      </c>
      <c r="Z181" s="497">
        <v>44239</v>
      </c>
      <c r="AA181" s="497">
        <v>44451</v>
      </c>
      <c r="AB181" s="498" t="s">
        <v>2650</v>
      </c>
      <c r="AC181" s="499">
        <v>77</v>
      </c>
      <c r="AD181" s="498">
        <v>1015995682</v>
      </c>
      <c r="AE181" s="500" t="s">
        <v>3056</v>
      </c>
      <c r="AF181" s="473">
        <v>47092500</v>
      </c>
      <c r="AG181" s="474">
        <f t="shared" si="2"/>
        <v>0</v>
      </c>
      <c r="AJ181" s="481">
        <v>3139500</v>
      </c>
      <c r="AK181" s="475">
        <v>6727500</v>
      </c>
      <c r="AL181" s="475">
        <v>6727500</v>
      </c>
      <c r="AM181" s="306">
        <v>6727500</v>
      </c>
    </row>
    <row r="182" spans="1:39" hidden="1" x14ac:dyDescent="0.3">
      <c r="A182" s="476" t="s">
        <v>2137</v>
      </c>
      <c r="B182" s="477">
        <v>38377800</v>
      </c>
      <c r="C182" s="212" t="s">
        <v>2646</v>
      </c>
      <c r="D182" s="212">
        <v>178</v>
      </c>
      <c r="E182" s="478">
        <v>20211400005093</v>
      </c>
      <c r="F182" s="479">
        <v>44230</v>
      </c>
      <c r="G182" s="478" t="s">
        <v>2647</v>
      </c>
      <c r="H182" s="212" t="s">
        <v>2648</v>
      </c>
      <c r="I182" s="212" t="s">
        <v>184</v>
      </c>
      <c r="J182" s="475">
        <v>38377800</v>
      </c>
      <c r="K182" s="212" t="s">
        <v>138</v>
      </c>
      <c r="L182" s="212" t="s">
        <v>2652</v>
      </c>
      <c r="M182" s="212" t="s">
        <v>44</v>
      </c>
      <c r="N182" s="212" t="s">
        <v>45</v>
      </c>
      <c r="O182" s="212" t="s">
        <v>142</v>
      </c>
      <c r="P182" s="212" t="s">
        <v>43</v>
      </c>
      <c r="R182" s="212">
        <v>186</v>
      </c>
      <c r="S182" s="479">
        <v>44230</v>
      </c>
      <c r="T182" s="212" t="s">
        <v>3057</v>
      </c>
      <c r="U182" s="475">
        <v>38377800</v>
      </c>
      <c r="V182" s="406"/>
      <c r="W182" s="362"/>
      <c r="X182" s="483">
        <v>145</v>
      </c>
      <c r="Y182" s="484">
        <v>44243</v>
      </c>
      <c r="Z182" s="484">
        <v>44243</v>
      </c>
      <c r="AA182" s="484">
        <v>44485</v>
      </c>
      <c r="AB182" s="485" t="s">
        <v>2650</v>
      </c>
      <c r="AC182" s="483">
        <v>95</v>
      </c>
      <c r="AD182" s="485">
        <v>36275348</v>
      </c>
      <c r="AE182" s="486" t="s">
        <v>3058</v>
      </c>
      <c r="AF182" s="473">
        <v>38377800</v>
      </c>
      <c r="AG182" s="474">
        <f t="shared" si="2"/>
        <v>0</v>
      </c>
      <c r="AJ182" s="481">
        <v>1918890</v>
      </c>
      <c r="AK182" s="475">
        <v>4797225</v>
      </c>
      <c r="AL182" s="475">
        <v>4797225</v>
      </c>
      <c r="AM182" s="306">
        <v>4797225</v>
      </c>
    </row>
    <row r="183" spans="1:39" hidden="1" x14ac:dyDescent="0.3">
      <c r="A183" s="476" t="s">
        <v>2112</v>
      </c>
      <c r="B183" s="477">
        <v>42745500</v>
      </c>
      <c r="C183" s="212" t="s">
        <v>2646</v>
      </c>
      <c r="D183" s="212">
        <v>179</v>
      </c>
      <c r="E183" s="478">
        <v>20211400005043</v>
      </c>
      <c r="F183" s="479">
        <v>44230</v>
      </c>
      <c r="G183" s="478" t="s">
        <v>2647</v>
      </c>
      <c r="H183" s="212" t="s">
        <v>2648</v>
      </c>
      <c r="I183" s="212" t="s">
        <v>184</v>
      </c>
      <c r="J183" s="475">
        <v>42745500</v>
      </c>
      <c r="K183" s="212" t="s">
        <v>138</v>
      </c>
      <c r="L183" s="212" t="s">
        <v>2652</v>
      </c>
      <c r="M183" s="212" t="s">
        <v>44</v>
      </c>
      <c r="N183" s="212" t="s">
        <v>45</v>
      </c>
      <c r="O183" s="212" t="s">
        <v>142</v>
      </c>
      <c r="P183" s="212" t="s">
        <v>43</v>
      </c>
      <c r="R183" s="212">
        <v>182</v>
      </c>
      <c r="S183" s="479">
        <v>44230</v>
      </c>
      <c r="T183" s="212" t="s">
        <v>3059</v>
      </c>
      <c r="U183" s="475">
        <v>42745500</v>
      </c>
      <c r="V183" s="406"/>
      <c r="W183" s="362"/>
      <c r="X183" s="483">
        <v>165</v>
      </c>
      <c r="Y183" s="484">
        <v>44246</v>
      </c>
      <c r="Z183" s="484">
        <v>44246</v>
      </c>
      <c r="AA183" s="484">
        <v>44458</v>
      </c>
      <c r="AB183" s="485" t="s">
        <v>2650</v>
      </c>
      <c r="AC183" s="483">
        <v>112</v>
      </c>
      <c r="AD183" s="485">
        <v>80014213</v>
      </c>
      <c r="AE183" s="486" t="s">
        <v>3060</v>
      </c>
      <c r="AF183" s="473">
        <v>42745500</v>
      </c>
      <c r="AG183" s="474">
        <f t="shared" si="2"/>
        <v>0</v>
      </c>
      <c r="AJ183" s="481">
        <v>1424850</v>
      </c>
      <c r="AK183" s="475">
        <v>6106500</v>
      </c>
      <c r="AL183" s="475">
        <v>6106500</v>
      </c>
      <c r="AM183" s="306">
        <v>6106500</v>
      </c>
    </row>
    <row r="184" spans="1:39" hidden="1" x14ac:dyDescent="0.3">
      <c r="A184" s="476" t="s">
        <v>3016</v>
      </c>
      <c r="B184" s="501" t="s">
        <v>3016</v>
      </c>
      <c r="C184" s="212" t="s">
        <v>2646</v>
      </c>
      <c r="D184" s="212">
        <v>180</v>
      </c>
      <c r="E184" s="478">
        <v>20217000005243</v>
      </c>
      <c r="F184" s="479">
        <v>44230</v>
      </c>
      <c r="G184" s="478" t="s">
        <v>2647</v>
      </c>
      <c r="H184" s="212" t="s">
        <v>2648</v>
      </c>
      <c r="I184" s="212" t="s">
        <v>164</v>
      </c>
      <c r="J184" s="475">
        <v>2633406</v>
      </c>
      <c r="K184" s="212" t="s">
        <v>138</v>
      </c>
      <c r="L184" s="212" t="s">
        <v>139</v>
      </c>
      <c r="M184" s="212" t="s">
        <v>44</v>
      </c>
      <c r="N184" s="212" t="s">
        <v>45</v>
      </c>
      <c r="O184" s="212" t="s">
        <v>142</v>
      </c>
      <c r="P184" s="212" t="s">
        <v>43</v>
      </c>
      <c r="R184" s="212">
        <v>196</v>
      </c>
      <c r="S184" s="479">
        <v>44230</v>
      </c>
      <c r="T184" s="212" t="s">
        <v>3061</v>
      </c>
      <c r="U184" s="475">
        <v>2633406</v>
      </c>
      <c r="V184" s="406"/>
      <c r="W184" s="362"/>
      <c r="X184" s="308">
        <f>VLOOKUP(R184,[3]Sheet1!$F$67:$O$130,2,0)</f>
        <v>85</v>
      </c>
      <c r="Y184" s="484">
        <v>44232</v>
      </c>
      <c r="Z184" s="484">
        <v>44233</v>
      </c>
      <c r="AA184" s="484">
        <v>44275</v>
      </c>
      <c r="AB184" s="485" t="s">
        <v>2650</v>
      </c>
      <c r="AC184" s="211">
        <v>569</v>
      </c>
      <c r="AD184" s="487">
        <v>1010118375</v>
      </c>
      <c r="AE184" s="486" t="s">
        <v>3062</v>
      </c>
      <c r="AF184" s="473">
        <v>2633406</v>
      </c>
      <c r="AG184" s="474">
        <f t="shared" si="2"/>
        <v>0</v>
      </c>
      <c r="AJ184" s="475">
        <v>1755604</v>
      </c>
      <c r="AK184" s="475">
        <v>877802</v>
      </c>
      <c r="AM184" s="212"/>
    </row>
    <row r="185" spans="1:39" hidden="1" x14ac:dyDescent="0.3">
      <c r="A185" s="476" t="s">
        <v>2367</v>
      </c>
      <c r="B185" s="477">
        <v>45500000</v>
      </c>
      <c r="C185" s="212" t="s">
        <v>2646</v>
      </c>
      <c r="D185" s="212">
        <v>181</v>
      </c>
      <c r="E185" s="478">
        <v>20214000005373</v>
      </c>
      <c r="F185" s="479">
        <v>44230</v>
      </c>
      <c r="G185" s="478" t="s">
        <v>2673</v>
      </c>
      <c r="H185" s="212" t="s">
        <v>2674</v>
      </c>
      <c r="I185" s="212" t="s">
        <v>117</v>
      </c>
      <c r="J185" s="475">
        <v>22800000</v>
      </c>
      <c r="K185" s="212" t="s">
        <v>112</v>
      </c>
      <c r="L185" s="212" t="s">
        <v>2675</v>
      </c>
      <c r="M185" s="212" t="s">
        <v>44</v>
      </c>
      <c r="N185" s="212" t="s">
        <v>45</v>
      </c>
      <c r="O185" s="212" t="s">
        <v>63</v>
      </c>
      <c r="P185" s="212" t="s">
        <v>43</v>
      </c>
      <c r="R185" s="212">
        <v>187</v>
      </c>
      <c r="S185" s="479">
        <v>44230</v>
      </c>
      <c r="T185" s="212" t="s">
        <v>3063</v>
      </c>
      <c r="U185" s="475">
        <v>22800000</v>
      </c>
      <c r="V185" s="406"/>
      <c r="W185" s="362"/>
      <c r="X185" s="483">
        <v>129</v>
      </c>
      <c r="Y185" s="484">
        <v>44239</v>
      </c>
      <c r="Z185" s="484">
        <v>44239</v>
      </c>
      <c r="AA185" s="484">
        <v>44359</v>
      </c>
      <c r="AB185" s="485" t="s">
        <v>2650</v>
      </c>
      <c r="AC185" s="483">
        <v>78</v>
      </c>
      <c r="AD185" s="485">
        <v>1053820192</v>
      </c>
      <c r="AE185" s="486" t="s">
        <v>3064</v>
      </c>
      <c r="AF185" s="473">
        <v>22800000</v>
      </c>
      <c r="AG185" s="474">
        <f t="shared" si="2"/>
        <v>0</v>
      </c>
      <c r="AJ185" s="475">
        <v>3230000</v>
      </c>
      <c r="AK185" s="475">
        <v>5700000</v>
      </c>
      <c r="AL185" s="475">
        <v>5700000</v>
      </c>
      <c r="AM185" s="306">
        <v>5700000</v>
      </c>
    </row>
    <row r="186" spans="1:39" hidden="1" x14ac:dyDescent="0.3">
      <c r="A186" s="494" t="s">
        <v>1837</v>
      </c>
      <c r="B186" s="495">
        <v>58300000</v>
      </c>
      <c r="C186" s="212" t="s">
        <v>2646</v>
      </c>
      <c r="D186" s="212">
        <v>182</v>
      </c>
      <c r="E186" s="478">
        <v>20215000006413</v>
      </c>
      <c r="F186" s="479">
        <v>44235</v>
      </c>
      <c r="G186" s="478" t="s">
        <v>2640</v>
      </c>
      <c r="H186" s="212" t="s">
        <v>2641</v>
      </c>
      <c r="I186" s="212" t="s">
        <v>228</v>
      </c>
      <c r="J186" s="475">
        <v>58300000</v>
      </c>
      <c r="K186" s="212" t="s">
        <v>223</v>
      </c>
      <c r="L186" s="212" t="s">
        <v>236</v>
      </c>
      <c r="M186" s="212" t="s">
        <v>44</v>
      </c>
      <c r="N186" s="212" t="s">
        <v>45</v>
      </c>
      <c r="O186" s="212" t="s">
        <v>63</v>
      </c>
      <c r="P186" s="212" t="s">
        <v>674</v>
      </c>
      <c r="R186" s="212">
        <v>220</v>
      </c>
      <c r="S186" s="479">
        <v>44236</v>
      </c>
      <c r="T186" s="212" t="s">
        <v>3065</v>
      </c>
      <c r="U186" s="475">
        <f>58300000-7950000</f>
        <v>50350000</v>
      </c>
      <c r="V186" s="444">
        <v>7950000</v>
      </c>
      <c r="W186" s="398"/>
      <c r="X186" s="308">
        <v>222</v>
      </c>
      <c r="Y186" s="484">
        <v>44258</v>
      </c>
      <c r="Z186" s="484">
        <v>44258</v>
      </c>
      <c r="AA186" s="484">
        <v>44545</v>
      </c>
      <c r="AB186" s="485" t="s">
        <v>2650</v>
      </c>
      <c r="AC186" s="211">
        <v>155</v>
      </c>
      <c r="AD186" s="485" t="s">
        <v>3066</v>
      </c>
      <c r="AE186" s="486" t="s">
        <v>3067</v>
      </c>
      <c r="AF186" s="473">
        <v>50350000</v>
      </c>
      <c r="AG186" s="474">
        <f t="shared" si="2"/>
        <v>0</v>
      </c>
      <c r="AK186" s="475">
        <v>4770000</v>
      </c>
      <c r="AL186" s="475">
        <v>5300000</v>
      </c>
      <c r="AM186" s="306">
        <v>5300000</v>
      </c>
    </row>
    <row r="187" spans="1:39" hidden="1" x14ac:dyDescent="0.3">
      <c r="A187" s="476" t="s">
        <v>2368</v>
      </c>
      <c r="B187" s="477">
        <v>80000000</v>
      </c>
      <c r="C187" s="212" t="s">
        <v>2646</v>
      </c>
      <c r="D187" s="212">
        <v>183</v>
      </c>
      <c r="E187" s="478">
        <v>20211200005433</v>
      </c>
      <c r="F187" s="479">
        <v>44230</v>
      </c>
      <c r="G187" s="478" t="s">
        <v>2647</v>
      </c>
      <c r="H187" s="212" t="s">
        <v>2648</v>
      </c>
      <c r="I187" s="212" t="s">
        <v>143</v>
      </c>
      <c r="J187" s="475">
        <v>80000000</v>
      </c>
      <c r="K187" s="212" t="s">
        <v>138</v>
      </c>
      <c r="L187" s="212" t="s">
        <v>139</v>
      </c>
      <c r="M187" s="212" t="s">
        <v>44</v>
      </c>
      <c r="N187" s="212" t="s">
        <v>45</v>
      </c>
      <c r="O187" s="212" t="s">
        <v>142</v>
      </c>
      <c r="P187" s="212" t="s">
        <v>43</v>
      </c>
      <c r="R187" s="212">
        <v>189</v>
      </c>
      <c r="S187" s="479">
        <v>44230</v>
      </c>
      <c r="T187" s="212" t="s">
        <v>3068</v>
      </c>
      <c r="U187" s="475">
        <v>80000000</v>
      </c>
      <c r="V187" s="406"/>
      <c r="W187" s="362"/>
      <c r="X187" s="483">
        <v>131</v>
      </c>
      <c r="Y187" s="484">
        <v>44239</v>
      </c>
      <c r="Z187" s="484">
        <v>44239</v>
      </c>
      <c r="AA187" s="484">
        <v>44542</v>
      </c>
      <c r="AB187" s="485" t="s">
        <v>2650</v>
      </c>
      <c r="AC187" s="483">
        <v>79</v>
      </c>
      <c r="AD187" s="485">
        <v>55250008</v>
      </c>
      <c r="AE187" s="486" t="s">
        <v>3069</v>
      </c>
      <c r="AF187" s="473">
        <v>80000000</v>
      </c>
      <c r="AG187" s="474">
        <f t="shared" si="2"/>
        <v>0</v>
      </c>
      <c r="AJ187" s="475">
        <v>4533333</v>
      </c>
      <c r="AK187" s="475">
        <v>8000000</v>
      </c>
      <c r="AL187" s="475">
        <v>8000000</v>
      </c>
      <c r="AM187" s="306">
        <v>8000000</v>
      </c>
    </row>
    <row r="188" spans="1:39" hidden="1" x14ac:dyDescent="0.3">
      <c r="A188" s="476" t="s">
        <v>2369</v>
      </c>
      <c r="B188" s="477">
        <v>80000000</v>
      </c>
      <c r="C188" s="212" t="s">
        <v>2646</v>
      </c>
      <c r="D188" s="212">
        <v>184</v>
      </c>
      <c r="E188" s="478">
        <v>20211200005453</v>
      </c>
      <c r="F188" s="479">
        <v>44230</v>
      </c>
      <c r="G188" s="478" t="s">
        <v>2647</v>
      </c>
      <c r="H188" s="212" t="s">
        <v>2648</v>
      </c>
      <c r="I188" s="212" t="s">
        <v>143</v>
      </c>
      <c r="J188" s="475">
        <v>80000000</v>
      </c>
      <c r="K188" s="212" t="s">
        <v>138</v>
      </c>
      <c r="L188" s="212" t="s">
        <v>139</v>
      </c>
      <c r="M188" s="212" t="s">
        <v>44</v>
      </c>
      <c r="N188" s="212" t="s">
        <v>45</v>
      </c>
      <c r="O188" s="212" t="s">
        <v>142</v>
      </c>
      <c r="P188" s="212" t="s">
        <v>43</v>
      </c>
      <c r="R188" s="212">
        <v>190</v>
      </c>
      <c r="S188" s="479">
        <v>44230</v>
      </c>
      <c r="T188" s="212" t="s">
        <v>3070</v>
      </c>
      <c r="U188" s="475">
        <v>80000000</v>
      </c>
      <c r="V188" s="406"/>
      <c r="W188" s="362"/>
      <c r="X188" s="483">
        <v>144</v>
      </c>
      <c r="Y188" s="484">
        <v>44243</v>
      </c>
      <c r="Z188" s="484">
        <v>44243</v>
      </c>
      <c r="AA188" s="484">
        <v>44546</v>
      </c>
      <c r="AB188" s="485" t="s">
        <v>2650</v>
      </c>
      <c r="AC188" s="483">
        <v>89</v>
      </c>
      <c r="AD188" s="485">
        <v>66999693</v>
      </c>
      <c r="AE188" s="486" t="s">
        <v>3071</v>
      </c>
      <c r="AF188" s="473">
        <v>80000000</v>
      </c>
      <c r="AG188" s="474">
        <f t="shared" si="2"/>
        <v>0</v>
      </c>
      <c r="AJ188" s="475">
        <v>3466666</v>
      </c>
      <c r="AK188" s="475">
        <v>8000000</v>
      </c>
      <c r="AL188" s="475">
        <v>8000000</v>
      </c>
      <c r="AM188" s="306">
        <v>8000000</v>
      </c>
    </row>
    <row r="189" spans="1:39" hidden="1" x14ac:dyDescent="0.3">
      <c r="A189" s="476" t="s">
        <v>2370</v>
      </c>
      <c r="B189" s="477">
        <v>65000000</v>
      </c>
      <c r="C189" s="212" t="s">
        <v>2646</v>
      </c>
      <c r="D189" s="212">
        <v>185</v>
      </c>
      <c r="E189" s="478">
        <v>20211200005473</v>
      </c>
      <c r="F189" s="479">
        <v>44230</v>
      </c>
      <c r="G189" s="478" t="s">
        <v>2647</v>
      </c>
      <c r="H189" s="212" t="s">
        <v>2648</v>
      </c>
      <c r="I189" s="212" t="s">
        <v>143</v>
      </c>
      <c r="J189" s="475">
        <v>65000000</v>
      </c>
      <c r="K189" s="212" t="s">
        <v>138</v>
      </c>
      <c r="L189" s="212" t="s">
        <v>139</v>
      </c>
      <c r="M189" s="212" t="s">
        <v>44</v>
      </c>
      <c r="N189" s="212" t="s">
        <v>45</v>
      </c>
      <c r="O189" s="212" t="s">
        <v>142</v>
      </c>
      <c r="P189" s="212" t="s">
        <v>43</v>
      </c>
      <c r="R189" s="212">
        <v>191</v>
      </c>
      <c r="S189" s="479">
        <v>44230</v>
      </c>
      <c r="T189" s="212" t="s">
        <v>3072</v>
      </c>
      <c r="U189" s="475">
        <v>65000000</v>
      </c>
      <c r="V189" s="406"/>
      <c r="W189" s="362"/>
      <c r="X189" s="483">
        <v>156</v>
      </c>
      <c r="Y189" s="484">
        <v>44244</v>
      </c>
      <c r="Z189" s="484">
        <v>44244</v>
      </c>
      <c r="AA189" s="484">
        <v>44547</v>
      </c>
      <c r="AB189" s="485" t="s">
        <v>2650</v>
      </c>
      <c r="AC189" s="483">
        <v>102</v>
      </c>
      <c r="AD189" s="485">
        <v>1010195421</v>
      </c>
      <c r="AE189" s="486" t="s">
        <v>3073</v>
      </c>
      <c r="AF189" s="473">
        <v>65000000</v>
      </c>
      <c r="AG189" s="474">
        <f t="shared" si="2"/>
        <v>0</v>
      </c>
      <c r="AJ189" s="475">
        <v>2383333</v>
      </c>
      <c r="AK189" s="475">
        <v>6500000</v>
      </c>
      <c r="AL189" s="475">
        <v>6500000</v>
      </c>
      <c r="AM189" s="306">
        <v>6500000</v>
      </c>
    </row>
    <row r="190" spans="1:39" hidden="1" x14ac:dyDescent="0.3">
      <c r="A190" s="476" t="s">
        <v>2372</v>
      </c>
      <c r="B190" s="477">
        <v>41337934</v>
      </c>
      <c r="C190" s="212" t="s">
        <v>2646</v>
      </c>
      <c r="D190" s="212">
        <v>186</v>
      </c>
      <c r="E190" s="478">
        <v>20211300005503</v>
      </c>
      <c r="F190" s="479">
        <v>44230</v>
      </c>
      <c r="G190" s="478" t="s">
        <v>2647</v>
      </c>
      <c r="H190" s="212" t="s">
        <v>2648</v>
      </c>
      <c r="I190" s="212" t="s">
        <v>210</v>
      </c>
      <c r="J190" s="475">
        <v>41337934</v>
      </c>
      <c r="K190" s="212" t="s">
        <v>138</v>
      </c>
      <c r="L190" s="212" t="s">
        <v>139</v>
      </c>
      <c r="M190" s="212" t="s">
        <v>44</v>
      </c>
      <c r="N190" s="212" t="s">
        <v>45</v>
      </c>
      <c r="O190" s="212" t="s">
        <v>142</v>
      </c>
      <c r="P190" s="212" t="s">
        <v>43</v>
      </c>
      <c r="R190" s="212">
        <v>192</v>
      </c>
      <c r="S190" s="479">
        <v>44230</v>
      </c>
      <c r="T190" s="212" t="s">
        <v>3074</v>
      </c>
      <c r="U190" s="475">
        <v>41337934</v>
      </c>
      <c r="V190" s="406"/>
      <c r="W190" s="362"/>
      <c r="X190" s="483">
        <v>139</v>
      </c>
      <c r="Y190" s="484">
        <v>44243</v>
      </c>
      <c r="Z190" s="484">
        <v>44243</v>
      </c>
      <c r="AA190" s="484">
        <v>44455</v>
      </c>
      <c r="AB190" s="485" t="s">
        <v>2650</v>
      </c>
      <c r="AC190" s="483">
        <v>87</v>
      </c>
      <c r="AD190" s="485">
        <v>52178572</v>
      </c>
      <c r="AE190" s="486" t="s">
        <v>3075</v>
      </c>
      <c r="AF190" s="473">
        <v>41337934</v>
      </c>
      <c r="AG190" s="474">
        <f t="shared" si="2"/>
        <v>0</v>
      </c>
      <c r="AJ190" s="475">
        <v>2362168</v>
      </c>
      <c r="AK190" s="475">
        <v>5905419</v>
      </c>
      <c r="AL190" s="475">
        <v>5905419</v>
      </c>
      <c r="AM190" s="306">
        <v>5905419</v>
      </c>
    </row>
    <row r="191" spans="1:39" hidden="1" x14ac:dyDescent="0.3">
      <c r="A191" s="476" t="s">
        <v>2093</v>
      </c>
      <c r="B191" s="477">
        <v>64900000</v>
      </c>
      <c r="C191" s="212" t="s">
        <v>2646</v>
      </c>
      <c r="D191" s="212">
        <v>187</v>
      </c>
      <c r="E191" s="309">
        <v>20215000007183</v>
      </c>
      <c r="F191" s="479">
        <v>44243</v>
      </c>
      <c r="G191" s="309" t="s">
        <v>2640</v>
      </c>
      <c r="H191" s="210" t="s">
        <v>2641</v>
      </c>
      <c r="I191" s="210" t="s">
        <v>228</v>
      </c>
      <c r="J191" s="407">
        <v>64900000</v>
      </c>
      <c r="K191" s="212" t="s">
        <v>288</v>
      </c>
      <c r="L191" s="212" t="s">
        <v>2736</v>
      </c>
      <c r="M191" s="212" t="s">
        <v>44</v>
      </c>
      <c r="N191" s="212" t="s">
        <v>45</v>
      </c>
      <c r="O191" s="212" t="s">
        <v>63</v>
      </c>
      <c r="P191" s="212" t="s">
        <v>674</v>
      </c>
      <c r="R191" s="212">
        <v>247</v>
      </c>
      <c r="S191" s="479">
        <v>44243</v>
      </c>
      <c r="T191" s="212" t="s">
        <v>3076</v>
      </c>
      <c r="U191" s="475">
        <f>64900000-8850000</f>
        <v>56050000</v>
      </c>
      <c r="V191" s="444">
        <v>8850000</v>
      </c>
      <c r="W191" s="398"/>
      <c r="X191" s="308">
        <v>223</v>
      </c>
      <c r="Y191" s="484">
        <v>44258</v>
      </c>
      <c r="Z191" s="484">
        <v>44258</v>
      </c>
      <c r="AA191" s="484">
        <v>44545</v>
      </c>
      <c r="AB191" s="485" t="s">
        <v>2650</v>
      </c>
      <c r="AC191" s="483" t="s">
        <v>3077</v>
      </c>
      <c r="AD191" s="485" t="s">
        <v>3078</v>
      </c>
      <c r="AE191" s="486" t="s">
        <v>3079</v>
      </c>
      <c r="AF191" s="473">
        <v>56050000</v>
      </c>
      <c r="AG191" s="474">
        <f t="shared" si="2"/>
        <v>0</v>
      </c>
      <c r="AK191" s="475">
        <v>5310000</v>
      </c>
      <c r="AL191" s="475">
        <v>5900000</v>
      </c>
      <c r="AM191" s="306">
        <v>5900000</v>
      </c>
    </row>
    <row r="192" spans="1:39" hidden="1" x14ac:dyDescent="0.3">
      <c r="A192" s="446" t="s">
        <v>1927</v>
      </c>
      <c r="B192" s="477">
        <v>309400000</v>
      </c>
      <c r="C192" s="212" t="s">
        <v>3080</v>
      </c>
      <c r="D192" s="212">
        <v>188</v>
      </c>
      <c r="E192" s="478">
        <v>20217000005513</v>
      </c>
      <c r="F192" s="479">
        <v>44230</v>
      </c>
      <c r="G192" s="478" t="s">
        <v>2647</v>
      </c>
      <c r="H192" s="212" t="s">
        <v>2648</v>
      </c>
      <c r="I192" s="212" t="s">
        <v>164</v>
      </c>
      <c r="J192" s="475">
        <v>105000000</v>
      </c>
      <c r="K192" s="212" t="s">
        <v>138</v>
      </c>
      <c r="L192" s="212" t="s">
        <v>139</v>
      </c>
      <c r="M192" s="212" t="s">
        <v>44</v>
      </c>
      <c r="N192" s="212" t="s">
        <v>45</v>
      </c>
      <c r="O192" s="212" t="s">
        <v>142</v>
      </c>
      <c r="P192" s="212" t="s">
        <v>43</v>
      </c>
      <c r="R192" s="212">
        <v>193</v>
      </c>
      <c r="S192" s="479">
        <v>44230</v>
      </c>
      <c r="T192" s="212" t="s">
        <v>3081</v>
      </c>
      <c r="U192" s="475">
        <v>105000000</v>
      </c>
      <c r="V192" s="406"/>
      <c r="W192" s="362"/>
      <c r="X192" s="483">
        <v>184</v>
      </c>
      <c r="Y192" s="484">
        <v>44250</v>
      </c>
      <c r="Z192" s="484">
        <v>44250</v>
      </c>
      <c r="AA192" s="484">
        <v>44553</v>
      </c>
      <c r="AB192" s="485" t="s">
        <v>3082</v>
      </c>
      <c r="AC192" s="483">
        <v>64584</v>
      </c>
      <c r="AD192" s="485">
        <v>900229503</v>
      </c>
      <c r="AE192" s="486" t="s">
        <v>3083</v>
      </c>
      <c r="AF192" s="691">
        <v>105000000</v>
      </c>
      <c r="AG192" s="474">
        <f t="shared" si="2"/>
        <v>0</v>
      </c>
      <c r="AL192" s="475">
        <v>10493743</v>
      </c>
      <c r="AM192" s="306">
        <f>9045236</f>
        <v>9045236</v>
      </c>
    </row>
    <row r="193" spans="1:50" ht="15" hidden="1" customHeight="1" x14ac:dyDescent="0.3">
      <c r="B193" s="477" t="s">
        <v>2683</v>
      </c>
      <c r="C193" s="212" t="s">
        <v>2646</v>
      </c>
      <c r="D193" s="212">
        <v>189</v>
      </c>
      <c r="E193" s="478">
        <v>20217000005583</v>
      </c>
      <c r="F193" s="479">
        <v>44230</v>
      </c>
      <c r="G193" s="478" t="s">
        <v>2647</v>
      </c>
      <c r="H193" s="212" t="s">
        <v>2648</v>
      </c>
      <c r="I193" s="212" t="s">
        <v>164</v>
      </c>
      <c r="J193" s="475">
        <v>6144620</v>
      </c>
      <c r="K193" s="212" t="s">
        <v>138</v>
      </c>
      <c r="L193" s="212" t="s">
        <v>139</v>
      </c>
      <c r="M193" s="212" t="s">
        <v>44</v>
      </c>
      <c r="N193" s="212" t="s">
        <v>45</v>
      </c>
      <c r="O193" s="212" t="s">
        <v>142</v>
      </c>
      <c r="P193" s="212" t="s">
        <v>43</v>
      </c>
      <c r="R193" s="212">
        <v>195</v>
      </c>
      <c r="S193" s="479">
        <v>44230</v>
      </c>
      <c r="T193" s="212" t="s">
        <v>3084</v>
      </c>
      <c r="U193" s="475">
        <v>6144620</v>
      </c>
      <c r="V193" s="406"/>
      <c r="W193" s="362"/>
      <c r="X193" s="483">
        <v>192</v>
      </c>
      <c r="Y193" s="484">
        <v>44252</v>
      </c>
      <c r="Z193" s="484">
        <v>44255</v>
      </c>
      <c r="AA193" s="484">
        <v>44313</v>
      </c>
      <c r="AB193" s="485" t="s">
        <v>2650</v>
      </c>
      <c r="AC193" s="483">
        <v>540</v>
      </c>
      <c r="AD193" s="485">
        <v>74858158</v>
      </c>
      <c r="AE193" s="486" t="s">
        <v>3085</v>
      </c>
      <c r="AF193" s="473">
        <v>6144620</v>
      </c>
      <c r="AG193" s="474">
        <f t="shared" si="2"/>
        <v>0</v>
      </c>
      <c r="AJ193" s="475">
        <v>3072310</v>
      </c>
      <c r="AK193" s="475">
        <v>3072310</v>
      </c>
      <c r="AM193" s="212"/>
    </row>
    <row r="194" spans="1:50" ht="15" hidden="1" customHeight="1" x14ac:dyDescent="0.3">
      <c r="A194" s="476" t="s">
        <v>2479</v>
      </c>
      <c r="B194" s="477">
        <v>58300000</v>
      </c>
      <c r="C194" s="212" t="s">
        <v>2646</v>
      </c>
      <c r="D194" s="212">
        <v>190</v>
      </c>
      <c r="E194" s="478">
        <v>20215000007263</v>
      </c>
      <c r="F194" s="479">
        <v>44239</v>
      </c>
      <c r="G194" s="478" t="s">
        <v>2640</v>
      </c>
      <c r="H194" s="212" t="s">
        <v>2641</v>
      </c>
      <c r="I194" s="212" t="s">
        <v>228</v>
      </c>
      <c r="J194" s="475">
        <v>58300000</v>
      </c>
      <c r="K194" s="212" t="s">
        <v>223</v>
      </c>
      <c r="L194" s="212" t="s">
        <v>236</v>
      </c>
      <c r="M194" s="212" t="s">
        <v>44</v>
      </c>
      <c r="N194" s="212" t="s">
        <v>45</v>
      </c>
      <c r="O194" s="671" t="s">
        <v>46</v>
      </c>
      <c r="P194" s="672" t="s">
        <v>674</v>
      </c>
      <c r="Q194" s="672"/>
      <c r="R194" s="672">
        <v>235</v>
      </c>
      <c r="S194" s="673">
        <v>44242</v>
      </c>
      <c r="T194" s="672" t="s">
        <v>3086</v>
      </c>
      <c r="U194" s="674">
        <f>58300000-20300000</f>
        <v>38000000</v>
      </c>
      <c r="V194" s="444">
        <v>20300000</v>
      </c>
      <c r="W194" s="398"/>
      <c r="X194" s="308">
        <v>224</v>
      </c>
      <c r="Y194" s="484">
        <v>44258</v>
      </c>
      <c r="Z194" s="484">
        <v>44258</v>
      </c>
      <c r="AA194" s="484">
        <v>44545</v>
      </c>
      <c r="AB194" s="485" t="s">
        <v>2650</v>
      </c>
      <c r="AC194" s="211">
        <v>154</v>
      </c>
      <c r="AD194" s="485" t="s">
        <v>3087</v>
      </c>
      <c r="AE194" s="360" t="s">
        <v>3088</v>
      </c>
      <c r="AF194" s="473">
        <v>38000000</v>
      </c>
      <c r="AG194" s="474">
        <f t="shared" ref="AG194:AG253" si="3">+U194-AF194</f>
        <v>0</v>
      </c>
      <c r="AK194" s="475">
        <v>3733333</v>
      </c>
      <c r="AL194" s="475">
        <v>4000000</v>
      </c>
      <c r="AM194" s="306">
        <v>4000000</v>
      </c>
    </row>
    <row r="195" spans="1:50" ht="15" hidden="1" customHeight="1" x14ac:dyDescent="0.3">
      <c r="A195" s="494" t="s">
        <v>2144</v>
      </c>
      <c r="B195" s="495">
        <v>24000000</v>
      </c>
      <c r="C195" s="502" t="s">
        <v>2646</v>
      </c>
      <c r="D195" s="212">
        <v>191</v>
      </c>
      <c r="E195" s="478">
        <v>20213000005693</v>
      </c>
      <c r="F195" s="479">
        <v>44231</v>
      </c>
      <c r="G195" s="478" t="s">
        <v>2640</v>
      </c>
      <c r="H195" s="212" t="s">
        <v>2641</v>
      </c>
      <c r="I195" s="212" t="s">
        <v>432</v>
      </c>
      <c r="J195" s="475">
        <v>24000000</v>
      </c>
      <c r="K195" s="212" t="s">
        <v>358</v>
      </c>
      <c r="L195" s="212" t="s">
        <v>2791</v>
      </c>
      <c r="M195" s="212" t="s">
        <v>44</v>
      </c>
      <c r="N195" s="212" t="s">
        <v>45</v>
      </c>
      <c r="O195" s="212" t="s">
        <v>63</v>
      </c>
      <c r="P195" s="212" t="s">
        <v>674</v>
      </c>
      <c r="R195" s="212">
        <v>198</v>
      </c>
      <c r="S195" s="479">
        <v>44231</v>
      </c>
      <c r="T195" s="212" t="s">
        <v>3089</v>
      </c>
      <c r="U195" s="475">
        <v>24000000</v>
      </c>
      <c r="V195" s="406"/>
      <c r="W195" s="362"/>
      <c r="X195" s="483">
        <v>148</v>
      </c>
      <c r="Y195" s="484">
        <v>44243</v>
      </c>
      <c r="Z195" s="484">
        <v>44243</v>
      </c>
      <c r="AA195" s="484">
        <v>44485</v>
      </c>
      <c r="AB195" s="485" t="s">
        <v>2650</v>
      </c>
      <c r="AC195" s="483">
        <v>98</v>
      </c>
      <c r="AD195" s="485">
        <v>1024535595</v>
      </c>
      <c r="AE195" s="486" t="s">
        <v>3090</v>
      </c>
      <c r="AF195" s="473">
        <v>24000000</v>
      </c>
      <c r="AG195" s="474">
        <f t="shared" si="3"/>
        <v>0</v>
      </c>
      <c r="AL195" s="475">
        <v>1100000</v>
      </c>
      <c r="AM195" s="306">
        <v>3000000</v>
      </c>
    </row>
    <row r="196" spans="1:50" ht="15" hidden="1" customHeight="1" x14ac:dyDescent="0.3">
      <c r="A196" s="494" t="s">
        <v>2145</v>
      </c>
      <c r="B196" s="495">
        <v>56000000</v>
      </c>
      <c r="C196" s="212" t="s">
        <v>2646</v>
      </c>
      <c r="D196" s="478">
        <v>192</v>
      </c>
      <c r="E196" s="478">
        <v>20213000005703</v>
      </c>
      <c r="F196" s="479">
        <v>44231</v>
      </c>
      <c r="G196" s="478" t="s">
        <v>2640</v>
      </c>
      <c r="H196" s="212" t="s">
        <v>2641</v>
      </c>
      <c r="I196" s="212" t="s">
        <v>432</v>
      </c>
      <c r="J196" s="475">
        <v>56000000</v>
      </c>
      <c r="K196" s="212" t="s">
        <v>358</v>
      </c>
      <c r="L196" s="212" t="s">
        <v>2791</v>
      </c>
      <c r="M196" s="212" t="s">
        <v>44</v>
      </c>
      <c r="N196" s="212" t="s">
        <v>45</v>
      </c>
      <c r="O196" s="212" t="s">
        <v>63</v>
      </c>
      <c r="P196" s="212" t="s">
        <v>674</v>
      </c>
      <c r="R196" s="212">
        <v>199</v>
      </c>
      <c r="S196" s="479">
        <v>44231</v>
      </c>
      <c r="T196" s="212" t="s">
        <v>3091</v>
      </c>
      <c r="U196" s="475">
        <f>56000000-1488440</f>
        <v>54511560</v>
      </c>
      <c r="V196" s="411">
        <v>1488440</v>
      </c>
      <c r="W196" s="397"/>
      <c r="X196" s="483">
        <v>190</v>
      </c>
      <c r="Y196" s="484">
        <v>44252</v>
      </c>
      <c r="Z196" s="484">
        <v>44252</v>
      </c>
      <c r="AA196" s="484">
        <v>44494</v>
      </c>
      <c r="AB196" s="485" t="s">
        <v>2650</v>
      </c>
      <c r="AC196" s="483">
        <v>127</v>
      </c>
      <c r="AD196" s="485">
        <v>34546695</v>
      </c>
      <c r="AE196" s="486" t="s">
        <v>3092</v>
      </c>
      <c r="AF196" s="473">
        <v>54511560</v>
      </c>
      <c r="AG196" s="474">
        <f t="shared" si="3"/>
        <v>0</v>
      </c>
      <c r="AJ196" s="475">
        <v>681395</v>
      </c>
      <c r="AK196" s="475">
        <v>6813945</v>
      </c>
      <c r="AL196" s="475">
        <v>6813945</v>
      </c>
      <c r="AM196" s="306">
        <v>6813945</v>
      </c>
    </row>
    <row r="197" spans="1:50" ht="15" hidden="1" customHeight="1" x14ac:dyDescent="0.3">
      <c r="A197" s="476" t="s">
        <v>2250</v>
      </c>
      <c r="B197" s="477">
        <v>58128384</v>
      </c>
      <c r="C197" s="212" t="s">
        <v>2646</v>
      </c>
      <c r="D197" s="478">
        <v>193</v>
      </c>
      <c r="E197" s="309">
        <v>20217000008343</v>
      </c>
      <c r="F197" s="479">
        <v>44243</v>
      </c>
      <c r="G197" s="478" t="s">
        <v>2647</v>
      </c>
      <c r="H197" s="212" t="s">
        <v>2648</v>
      </c>
      <c r="I197" s="212" t="s">
        <v>164</v>
      </c>
      <c r="J197" s="475">
        <v>28000000</v>
      </c>
      <c r="K197" s="212" t="s">
        <v>138</v>
      </c>
      <c r="L197" s="212" t="s">
        <v>139</v>
      </c>
      <c r="M197" s="212" t="s">
        <v>44</v>
      </c>
      <c r="N197" s="212" t="s">
        <v>45</v>
      </c>
      <c r="O197" s="212" t="s">
        <v>142</v>
      </c>
      <c r="P197" s="212" t="s">
        <v>43</v>
      </c>
      <c r="R197" s="212">
        <v>260</v>
      </c>
      <c r="S197" s="479">
        <v>44244</v>
      </c>
      <c r="T197" s="212" t="s">
        <v>3093</v>
      </c>
      <c r="U197" s="475">
        <v>28000000</v>
      </c>
      <c r="V197" s="406"/>
      <c r="W197" s="362"/>
      <c r="X197" s="308">
        <v>225</v>
      </c>
      <c r="Y197" s="484">
        <v>44258</v>
      </c>
      <c r="Z197" s="484">
        <v>44258</v>
      </c>
      <c r="AA197" s="484">
        <v>44380</v>
      </c>
      <c r="AB197" s="485" t="s">
        <v>2650</v>
      </c>
      <c r="AC197" s="211">
        <v>148</v>
      </c>
      <c r="AD197" s="485" t="s">
        <v>3094</v>
      </c>
      <c r="AE197" s="486" t="s">
        <v>3095</v>
      </c>
      <c r="AF197" s="473">
        <v>28000000</v>
      </c>
      <c r="AG197" s="474">
        <f t="shared" si="3"/>
        <v>0</v>
      </c>
      <c r="AK197" s="475">
        <v>6766667</v>
      </c>
      <c r="AL197" s="475">
        <v>7000000</v>
      </c>
      <c r="AM197" s="306">
        <v>7000000</v>
      </c>
    </row>
    <row r="198" spans="1:50" ht="15" hidden="1" customHeight="1" x14ac:dyDescent="0.3">
      <c r="A198" s="494" t="s">
        <v>2521</v>
      </c>
      <c r="B198" s="495">
        <v>56000000</v>
      </c>
      <c r="C198" s="212" t="s">
        <v>2646</v>
      </c>
      <c r="D198" s="478">
        <v>194</v>
      </c>
      <c r="E198" s="478">
        <v>20213000005723</v>
      </c>
      <c r="F198" s="479">
        <v>44231</v>
      </c>
      <c r="G198" s="478" t="s">
        <v>2640</v>
      </c>
      <c r="H198" s="212" t="s">
        <v>2641</v>
      </c>
      <c r="I198" s="212" t="s">
        <v>432</v>
      </c>
      <c r="J198" s="475">
        <v>56000000</v>
      </c>
      <c r="K198" s="212" t="s">
        <v>358</v>
      </c>
      <c r="L198" s="212" t="s">
        <v>2791</v>
      </c>
      <c r="M198" s="212" t="s">
        <v>44</v>
      </c>
      <c r="N198" s="212" t="s">
        <v>45</v>
      </c>
      <c r="O198" s="212" t="s">
        <v>63</v>
      </c>
      <c r="P198" s="212" t="s">
        <v>674</v>
      </c>
      <c r="R198" s="212">
        <v>201</v>
      </c>
      <c r="S198" s="479">
        <v>44231</v>
      </c>
      <c r="T198" s="212" t="s">
        <v>3096</v>
      </c>
      <c r="U198" s="475">
        <f>56000000-1600000</f>
        <v>54400000</v>
      </c>
      <c r="V198" s="406">
        <v>1600000</v>
      </c>
      <c r="W198" s="362"/>
      <c r="X198" s="483" t="s">
        <v>3097</v>
      </c>
      <c r="Y198" s="484">
        <v>44298</v>
      </c>
      <c r="Z198" s="484">
        <v>44298</v>
      </c>
      <c r="AA198" s="484">
        <v>44542</v>
      </c>
      <c r="AB198" s="485" t="s">
        <v>2650</v>
      </c>
      <c r="AC198" s="483" t="s">
        <v>3098</v>
      </c>
      <c r="AD198" s="485" t="s">
        <v>3099</v>
      </c>
      <c r="AE198" s="486" t="s">
        <v>3100</v>
      </c>
      <c r="AF198" s="473">
        <v>54400000</v>
      </c>
      <c r="AG198" s="474">
        <f t="shared" si="3"/>
        <v>0</v>
      </c>
      <c r="AL198" s="475">
        <v>4080000</v>
      </c>
      <c r="AM198" s="306">
        <v>6800000</v>
      </c>
    </row>
    <row r="199" spans="1:50" ht="15" hidden="1" customHeight="1" x14ac:dyDescent="0.3">
      <c r="A199" s="494" t="s">
        <v>2152</v>
      </c>
      <c r="B199" s="495">
        <v>44000000</v>
      </c>
      <c r="C199" s="212" t="s">
        <v>2646</v>
      </c>
      <c r="D199" s="478">
        <v>195</v>
      </c>
      <c r="E199" s="478">
        <v>20213000005753</v>
      </c>
      <c r="F199" s="479">
        <v>44231</v>
      </c>
      <c r="G199" s="478" t="s">
        <v>2640</v>
      </c>
      <c r="H199" s="212" t="s">
        <v>2641</v>
      </c>
      <c r="I199" s="212" t="s">
        <v>432</v>
      </c>
      <c r="J199" s="475">
        <v>41300000</v>
      </c>
      <c r="K199" s="212" t="s">
        <v>358</v>
      </c>
      <c r="L199" s="212" t="s">
        <v>2791</v>
      </c>
      <c r="M199" s="212" t="s">
        <v>44</v>
      </c>
      <c r="N199" s="212" t="s">
        <v>45</v>
      </c>
      <c r="O199" s="212" t="s">
        <v>63</v>
      </c>
      <c r="P199" s="212" t="s">
        <v>674</v>
      </c>
      <c r="R199" s="212">
        <v>202</v>
      </c>
      <c r="S199" s="479">
        <v>44231</v>
      </c>
      <c r="T199" s="212" t="s">
        <v>3101</v>
      </c>
      <c r="U199" s="475">
        <v>41300000</v>
      </c>
      <c r="V199" s="406"/>
      <c r="W199" s="362"/>
      <c r="X199" s="483">
        <v>141</v>
      </c>
      <c r="Y199" s="484">
        <v>44243</v>
      </c>
      <c r="Z199" s="484">
        <v>44243</v>
      </c>
      <c r="AA199" s="484">
        <v>44455</v>
      </c>
      <c r="AB199" s="485" t="s">
        <v>2650</v>
      </c>
      <c r="AC199" s="483">
        <v>90</v>
      </c>
      <c r="AD199" s="485">
        <v>93130090</v>
      </c>
      <c r="AE199" s="486" t="s">
        <v>3102</v>
      </c>
      <c r="AF199" s="473">
        <v>41300000</v>
      </c>
      <c r="AG199" s="474">
        <f t="shared" si="3"/>
        <v>0</v>
      </c>
      <c r="AJ199" s="475">
        <v>2360000</v>
      </c>
      <c r="AK199" s="475">
        <v>5900000</v>
      </c>
      <c r="AL199" s="475">
        <v>5900000</v>
      </c>
      <c r="AM199" s="306">
        <v>5900000</v>
      </c>
    </row>
    <row r="200" spans="1:50" ht="15" hidden="1" customHeight="1" x14ac:dyDescent="0.3">
      <c r="B200" s="477" t="s">
        <v>3103</v>
      </c>
      <c r="C200" s="212" t="s">
        <v>3104</v>
      </c>
      <c r="D200" s="478">
        <v>196</v>
      </c>
      <c r="E200" s="309">
        <v>20217000009023</v>
      </c>
      <c r="F200" s="479">
        <v>44245</v>
      </c>
      <c r="G200" s="478" t="s">
        <v>2647</v>
      </c>
      <c r="H200" s="212" t="s">
        <v>2648</v>
      </c>
      <c r="I200" s="212" t="s">
        <v>164</v>
      </c>
      <c r="J200" s="473">
        <v>1800000</v>
      </c>
      <c r="K200" s="212" t="s">
        <v>138</v>
      </c>
      <c r="L200" s="212" t="s">
        <v>139</v>
      </c>
      <c r="M200" s="212" t="s">
        <v>44</v>
      </c>
      <c r="N200" s="212" t="s">
        <v>45</v>
      </c>
      <c r="O200" s="212" t="s">
        <v>142</v>
      </c>
      <c r="P200" s="212" t="s">
        <v>43</v>
      </c>
      <c r="R200" s="486">
        <v>275</v>
      </c>
      <c r="S200" s="490">
        <v>44246</v>
      </c>
      <c r="T200" s="486" t="s">
        <v>3105</v>
      </c>
      <c r="U200" s="475">
        <v>1800000</v>
      </c>
      <c r="V200" s="406"/>
      <c r="W200" s="362"/>
      <c r="X200" s="308">
        <v>226</v>
      </c>
      <c r="Y200" s="484">
        <v>44258</v>
      </c>
      <c r="Z200" s="484">
        <v>44258</v>
      </c>
      <c r="AA200" s="484">
        <v>44286</v>
      </c>
      <c r="AB200" s="485" t="s">
        <v>3106</v>
      </c>
      <c r="AC200" s="211">
        <v>66</v>
      </c>
      <c r="AD200" s="485" t="s">
        <v>3107</v>
      </c>
      <c r="AE200" s="486" t="s">
        <v>3108</v>
      </c>
      <c r="AF200" s="473">
        <v>1800000</v>
      </c>
      <c r="AG200" s="474">
        <f t="shared" si="3"/>
        <v>0</v>
      </c>
      <c r="AK200" s="475">
        <v>255900</v>
      </c>
      <c r="AL200" s="475">
        <v>782500</v>
      </c>
      <c r="AM200" s="306">
        <v>55400</v>
      </c>
    </row>
    <row r="201" spans="1:50" s="312" customFormat="1" ht="15" hidden="1" customHeight="1" x14ac:dyDescent="0.3">
      <c r="A201" s="476" t="s">
        <v>2578</v>
      </c>
      <c r="B201" s="477">
        <v>18800000</v>
      </c>
      <c r="C201" s="212" t="s">
        <v>2762</v>
      </c>
      <c r="D201" s="311">
        <v>197</v>
      </c>
      <c r="E201" s="309">
        <v>20214000008303</v>
      </c>
      <c r="F201" s="310">
        <v>44243</v>
      </c>
      <c r="G201" s="478" t="s">
        <v>2680</v>
      </c>
      <c r="H201" s="212" t="s">
        <v>2681</v>
      </c>
      <c r="I201" s="212" t="s">
        <v>47</v>
      </c>
      <c r="J201" s="475">
        <v>18800000</v>
      </c>
      <c r="K201" s="212" t="s">
        <v>37</v>
      </c>
      <c r="L201" s="212" t="s">
        <v>2682</v>
      </c>
      <c r="M201" s="212" t="s">
        <v>44</v>
      </c>
      <c r="N201" s="212" t="s">
        <v>45</v>
      </c>
      <c r="O201" s="212" t="s">
        <v>310</v>
      </c>
      <c r="P201" s="212" t="s">
        <v>43</v>
      </c>
      <c r="Q201" s="212"/>
      <c r="R201" s="212">
        <v>254</v>
      </c>
      <c r="S201" s="479">
        <v>44244</v>
      </c>
      <c r="T201" s="212" t="s">
        <v>3109</v>
      </c>
      <c r="U201" s="475">
        <v>18800000</v>
      </c>
      <c r="V201" s="406"/>
      <c r="W201" s="362"/>
      <c r="X201" s="308">
        <v>227</v>
      </c>
      <c r="Y201" s="484">
        <v>44259</v>
      </c>
      <c r="Z201" s="484">
        <v>44259</v>
      </c>
      <c r="AA201" s="484">
        <v>44381</v>
      </c>
      <c r="AB201" s="485" t="s">
        <v>2650</v>
      </c>
      <c r="AC201" s="211">
        <v>146</v>
      </c>
      <c r="AD201" s="485" t="s">
        <v>3110</v>
      </c>
      <c r="AE201" s="486" t="s">
        <v>3111</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3">
      <c r="A202" s="494" t="s">
        <v>3112</v>
      </c>
      <c r="B202" s="495">
        <v>64000000</v>
      </c>
      <c r="C202" s="212" t="s">
        <v>2646</v>
      </c>
      <c r="D202" s="478">
        <v>198</v>
      </c>
      <c r="E202" s="478">
        <v>20213000006133</v>
      </c>
      <c r="F202" s="479">
        <v>44235</v>
      </c>
      <c r="G202" s="478" t="s">
        <v>2640</v>
      </c>
      <c r="H202" s="212" t="s">
        <v>2641</v>
      </c>
      <c r="I202" s="212" t="s">
        <v>432</v>
      </c>
      <c r="J202" s="475">
        <v>64000000</v>
      </c>
      <c r="K202" s="212" t="s">
        <v>358</v>
      </c>
      <c r="L202" s="212" t="s">
        <v>2791</v>
      </c>
      <c r="M202" s="212" t="s">
        <v>44</v>
      </c>
      <c r="N202" s="212" t="s">
        <v>45</v>
      </c>
      <c r="O202" s="212" t="s">
        <v>63</v>
      </c>
      <c r="P202" s="212" t="s">
        <v>674</v>
      </c>
      <c r="R202" s="212">
        <v>209</v>
      </c>
      <c r="S202" s="479">
        <v>44235</v>
      </c>
      <c r="T202" s="212" t="s">
        <v>3113</v>
      </c>
      <c r="U202" s="475">
        <v>64000000</v>
      </c>
      <c r="V202" s="406"/>
      <c r="W202" s="362"/>
      <c r="X202" s="483">
        <v>167</v>
      </c>
      <c r="Y202" s="484">
        <v>44246</v>
      </c>
      <c r="Z202" s="484">
        <v>44246</v>
      </c>
      <c r="AA202" s="484">
        <v>44488</v>
      </c>
      <c r="AB202" s="485" t="s">
        <v>2650</v>
      </c>
      <c r="AC202" s="483">
        <v>113</v>
      </c>
      <c r="AD202" s="485">
        <v>79381983</v>
      </c>
      <c r="AE202" s="486" t="s">
        <v>3114</v>
      </c>
      <c r="AF202" s="473">
        <v>64000000</v>
      </c>
      <c r="AG202" s="474">
        <f t="shared" si="3"/>
        <v>0</v>
      </c>
      <c r="AJ202" s="475">
        <v>1866667</v>
      </c>
      <c r="AK202" s="475">
        <v>8000000</v>
      </c>
      <c r="AL202" s="475">
        <v>8000000</v>
      </c>
      <c r="AM202" s="306">
        <v>8000000</v>
      </c>
    </row>
    <row r="203" spans="1:50" ht="15" hidden="1" customHeight="1" x14ac:dyDescent="0.3">
      <c r="A203" s="494" t="s">
        <v>2387</v>
      </c>
      <c r="B203" s="495">
        <v>32706936</v>
      </c>
      <c r="C203" s="212" t="s">
        <v>2762</v>
      </c>
      <c r="D203" s="478">
        <v>199</v>
      </c>
      <c r="E203" s="478">
        <v>20213000006153</v>
      </c>
      <c r="F203" s="479">
        <v>44235</v>
      </c>
      <c r="G203" s="478" t="s">
        <v>2640</v>
      </c>
      <c r="H203" s="212" t="s">
        <v>2641</v>
      </c>
      <c r="I203" s="212" t="s">
        <v>432</v>
      </c>
      <c r="J203" s="475">
        <v>32706936</v>
      </c>
      <c r="K203" s="212" t="s">
        <v>358</v>
      </c>
      <c r="L203" s="212" t="s">
        <v>2791</v>
      </c>
      <c r="M203" s="212" t="s">
        <v>44</v>
      </c>
      <c r="N203" s="212" t="s">
        <v>45</v>
      </c>
      <c r="O203" s="212" t="s">
        <v>63</v>
      </c>
      <c r="P203" s="212" t="s">
        <v>674</v>
      </c>
      <c r="R203" s="212">
        <v>210</v>
      </c>
      <c r="S203" s="479">
        <v>44235</v>
      </c>
      <c r="T203" s="212" t="s">
        <v>3115</v>
      </c>
      <c r="U203" s="475">
        <v>32706936</v>
      </c>
      <c r="V203" s="406"/>
      <c r="W203" s="362"/>
      <c r="X203" s="483">
        <v>154</v>
      </c>
      <c r="Y203" s="484">
        <v>44244</v>
      </c>
      <c r="Z203" s="484">
        <v>44244</v>
      </c>
      <c r="AA203" s="484">
        <v>44486</v>
      </c>
      <c r="AB203" s="485" t="s">
        <v>2650</v>
      </c>
      <c r="AC203" s="483">
        <v>105</v>
      </c>
      <c r="AD203" s="485">
        <v>1032446801</v>
      </c>
      <c r="AE203" s="486" t="s">
        <v>3116</v>
      </c>
      <c r="AF203" s="473">
        <v>32706936</v>
      </c>
      <c r="AG203" s="474">
        <f t="shared" si="3"/>
        <v>0</v>
      </c>
      <c r="AJ203" s="475">
        <v>1362789</v>
      </c>
      <c r="AK203" s="475">
        <v>4088367</v>
      </c>
      <c r="AL203" s="475">
        <v>4088367</v>
      </c>
      <c r="AM203" s="212"/>
    </row>
    <row r="204" spans="1:50" ht="15" hidden="1" customHeight="1" x14ac:dyDescent="0.3">
      <c r="A204" s="494" t="s">
        <v>2171</v>
      </c>
      <c r="B204" s="495">
        <v>39600000</v>
      </c>
      <c r="C204" s="212" t="s">
        <v>2646</v>
      </c>
      <c r="D204" s="478">
        <v>200</v>
      </c>
      <c r="E204" s="478">
        <v>20215000002853</v>
      </c>
      <c r="F204" s="479">
        <v>44235</v>
      </c>
      <c r="G204" s="478" t="s">
        <v>2640</v>
      </c>
      <c r="H204" s="212" t="s">
        <v>2641</v>
      </c>
      <c r="I204" s="212" t="s">
        <v>228</v>
      </c>
      <c r="J204" s="475">
        <v>39600000</v>
      </c>
      <c r="K204" s="212" t="s">
        <v>223</v>
      </c>
      <c r="L204" s="212" t="s">
        <v>236</v>
      </c>
      <c r="M204" s="212" t="s">
        <v>44</v>
      </c>
      <c r="N204" s="212" t="s">
        <v>45</v>
      </c>
      <c r="O204" s="212" t="s">
        <v>63</v>
      </c>
      <c r="P204" s="212" t="s">
        <v>674</v>
      </c>
      <c r="R204" s="212">
        <v>205</v>
      </c>
      <c r="S204" s="479">
        <v>44235</v>
      </c>
      <c r="T204" s="212" t="s">
        <v>3117</v>
      </c>
      <c r="U204" s="475">
        <f>39600000-14100000</f>
        <v>25500000</v>
      </c>
      <c r="V204" s="406">
        <v>14100000</v>
      </c>
      <c r="W204" s="362"/>
      <c r="X204" s="483" t="s">
        <v>3118</v>
      </c>
      <c r="Y204" s="484">
        <v>44298</v>
      </c>
      <c r="Z204" s="484">
        <v>44298</v>
      </c>
      <c r="AA204" s="484">
        <v>44561</v>
      </c>
      <c r="AB204" s="485" t="s">
        <v>2650</v>
      </c>
      <c r="AC204" s="483" t="s">
        <v>3119</v>
      </c>
      <c r="AD204" s="485" t="s">
        <v>3120</v>
      </c>
      <c r="AE204" s="486" t="s">
        <v>3121</v>
      </c>
      <c r="AF204" s="473">
        <v>25500000</v>
      </c>
      <c r="AG204" s="474">
        <f t="shared" si="3"/>
        <v>0</v>
      </c>
      <c r="AL204" s="475">
        <v>1900000</v>
      </c>
      <c r="AM204" s="306">
        <v>3000000</v>
      </c>
    </row>
    <row r="205" spans="1:50" s="312" customFormat="1" ht="15" hidden="1" customHeight="1" x14ac:dyDescent="0.3">
      <c r="A205" s="503" t="s">
        <v>3122</v>
      </c>
      <c r="B205" s="418">
        <v>55000000</v>
      </c>
      <c r="C205" s="312" t="s">
        <v>2646</v>
      </c>
      <c r="D205" s="325">
        <v>201</v>
      </c>
      <c r="E205" s="325">
        <v>20215000002923</v>
      </c>
      <c r="F205" s="315">
        <v>44235</v>
      </c>
      <c r="G205" s="325" t="s">
        <v>2640</v>
      </c>
      <c r="H205" s="312" t="s">
        <v>2641</v>
      </c>
      <c r="I205" s="312" t="s">
        <v>228</v>
      </c>
      <c r="J205" s="405">
        <v>55000000</v>
      </c>
      <c r="K205" s="312" t="s">
        <v>223</v>
      </c>
      <c r="L205" s="312" t="s">
        <v>257</v>
      </c>
      <c r="M205" s="312" t="s">
        <v>44</v>
      </c>
      <c r="N205" s="312" t="s">
        <v>2936</v>
      </c>
      <c r="O205" s="312" t="s">
        <v>255</v>
      </c>
      <c r="P205" s="312" t="s">
        <v>674</v>
      </c>
      <c r="R205" s="312">
        <v>206</v>
      </c>
      <c r="S205" s="315">
        <v>44235</v>
      </c>
      <c r="T205" s="312" t="s">
        <v>3123</v>
      </c>
      <c r="U205" s="405">
        <f>55000000-55000000</f>
        <v>0</v>
      </c>
      <c r="V205" s="406">
        <v>55000000</v>
      </c>
      <c r="W205" s="362" t="s">
        <v>1509</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3">
      <c r="A206" s="494" t="s">
        <v>1833</v>
      </c>
      <c r="B206" s="495">
        <v>44000000</v>
      </c>
      <c r="C206" s="212" t="s">
        <v>2646</v>
      </c>
      <c r="D206" s="478">
        <v>202</v>
      </c>
      <c r="E206" s="478">
        <v>20215000006303</v>
      </c>
      <c r="F206" s="479">
        <v>44235</v>
      </c>
      <c r="G206" s="478" t="s">
        <v>2640</v>
      </c>
      <c r="H206" s="212" t="s">
        <v>2641</v>
      </c>
      <c r="I206" s="212" t="s">
        <v>228</v>
      </c>
      <c r="J206" s="475">
        <v>44000000</v>
      </c>
      <c r="K206" s="212" t="s">
        <v>223</v>
      </c>
      <c r="L206" s="212" t="s">
        <v>269</v>
      </c>
      <c r="M206" s="212" t="s">
        <v>44</v>
      </c>
      <c r="N206" s="212" t="s">
        <v>45</v>
      </c>
      <c r="O206" s="212" t="s">
        <v>63</v>
      </c>
      <c r="P206" s="212" t="s">
        <v>674</v>
      </c>
      <c r="R206" s="212">
        <v>211</v>
      </c>
      <c r="S206" s="479">
        <v>44235</v>
      </c>
      <c r="T206" s="212" t="s">
        <v>3124</v>
      </c>
      <c r="U206" s="475">
        <f>44000000-4000000</f>
        <v>40000000</v>
      </c>
      <c r="V206" s="444">
        <v>4000000</v>
      </c>
      <c r="W206" s="398"/>
      <c r="X206" s="483">
        <v>153</v>
      </c>
      <c r="Y206" s="484">
        <v>44244</v>
      </c>
      <c r="Z206" s="484">
        <v>44244</v>
      </c>
      <c r="AA206" s="484">
        <v>44547</v>
      </c>
      <c r="AB206" s="485" t="s">
        <v>2650</v>
      </c>
      <c r="AC206" s="483">
        <v>91</v>
      </c>
      <c r="AD206" s="485">
        <v>1010235635</v>
      </c>
      <c r="AE206" s="486" t="s">
        <v>3125</v>
      </c>
      <c r="AF206" s="473">
        <v>40000000</v>
      </c>
      <c r="AG206" s="474">
        <f t="shared" si="3"/>
        <v>0</v>
      </c>
      <c r="AJ206" s="475">
        <v>1600000</v>
      </c>
      <c r="AK206" s="475">
        <v>4000000</v>
      </c>
      <c r="AL206" s="475">
        <v>4000000</v>
      </c>
      <c r="AM206" s="306">
        <v>4000000</v>
      </c>
    </row>
    <row r="207" spans="1:50" ht="15" hidden="1" customHeight="1" x14ac:dyDescent="0.3">
      <c r="A207" s="476" t="s">
        <v>2099</v>
      </c>
      <c r="B207" s="477">
        <v>88320000</v>
      </c>
      <c r="C207" s="212" t="s">
        <v>2646</v>
      </c>
      <c r="D207" s="478">
        <v>203</v>
      </c>
      <c r="E207" s="478">
        <v>20215000001193</v>
      </c>
      <c r="F207" s="479">
        <v>44214</v>
      </c>
      <c r="G207" s="478" t="s">
        <v>2640</v>
      </c>
      <c r="H207" s="212" t="s">
        <v>2641</v>
      </c>
      <c r="I207" s="212" t="s">
        <v>228</v>
      </c>
      <c r="J207" s="475">
        <v>88320000</v>
      </c>
      <c r="K207" s="212" t="s">
        <v>223</v>
      </c>
      <c r="L207" s="212" t="s">
        <v>2758</v>
      </c>
      <c r="M207" s="212" t="s">
        <v>44</v>
      </c>
      <c r="N207" s="212" t="s">
        <v>45</v>
      </c>
      <c r="O207" s="212" t="s">
        <v>63</v>
      </c>
      <c r="P207" s="212" t="s">
        <v>674</v>
      </c>
      <c r="R207" s="212">
        <v>55</v>
      </c>
      <c r="S207" s="479">
        <v>44214</v>
      </c>
      <c r="T207" s="212" t="s">
        <v>3126</v>
      </c>
      <c r="U207" s="475">
        <f>88320000-15170000</f>
        <v>73150000</v>
      </c>
      <c r="V207" s="411">
        <v>15170000</v>
      </c>
      <c r="W207" s="397"/>
      <c r="X207" s="308">
        <v>228</v>
      </c>
      <c r="Y207" s="484">
        <v>44259</v>
      </c>
      <c r="Z207" s="484">
        <v>44259</v>
      </c>
      <c r="AA207" s="484">
        <v>44545</v>
      </c>
      <c r="AB207" s="485" t="s">
        <v>2650</v>
      </c>
      <c r="AC207" s="211">
        <v>164</v>
      </c>
      <c r="AD207" s="485" t="s">
        <v>3127</v>
      </c>
      <c r="AE207" s="486" t="s">
        <v>3128</v>
      </c>
      <c r="AF207" s="473">
        <v>73150000</v>
      </c>
      <c r="AG207" s="474">
        <f t="shared" si="3"/>
        <v>0</v>
      </c>
      <c r="AK207" s="475">
        <v>6930000</v>
      </c>
      <c r="AL207" s="475">
        <v>7700000</v>
      </c>
      <c r="AM207" s="306">
        <v>7700000</v>
      </c>
    </row>
    <row r="208" spans="1:50" ht="15" hidden="1" customHeight="1" x14ac:dyDescent="0.3">
      <c r="A208" s="476" t="s">
        <v>2094</v>
      </c>
      <c r="B208" s="477">
        <v>64900000</v>
      </c>
      <c r="C208" s="212" t="s">
        <v>2646</v>
      </c>
      <c r="D208" s="478">
        <v>204</v>
      </c>
      <c r="E208" s="309">
        <v>20215000007203</v>
      </c>
      <c r="F208" s="479">
        <v>44243</v>
      </c>
      <c r="G208" s="309" t="s">
        <v>2640</v>
      </c>
      <c r="H208" s="210" t="s">
        <v>2641</v>
      </c>
      <c r="I208" s="210" t="s">
        <v>228</v>
      </c>
      <c r="J208" s="407">
        <v>64900000</v>
      </c>
      <c r="K208" s="212" t="s">
        <v>288</v>
      </c>
      <c r="L208" s="212" t="s">
        <v>2736</v>
      </c>
      <c r="M208" s="212" t="s">
        <v>44</v>
      </c>
      <c r="N208" s="212" t="s">
        <v>45</v>
      </c>
      <c r="O208" s="212" t="s">
        <v>63</v>
      </c>
      <c r="P208" s="212" t="s">
        <v>674</v>
      </c>
      <c r="R208" s="212">
        <v>249</v>
      </c>
      <c r="S208" s="479">
        <v>44243</v>
      </c>
      <c r="T208" s="212" t="s">
        <v>3129</v>
      </c>
      <c r="U208" s="475">
        <f>64900000-8850000</f>
        <v>56050000</v>
      </c>
      <c r="V208" s="444">
        <v>8850000</v>
      </c>
      <c r="W208" s="398"/>
      <c r="X208" s="308">
        <v>230</v>
      </c>
      <c r="Y208" s="484">
        <v>44259</v>
      </c>
      <c r="Z208" s="484">
        <v>44259</v>
      </c>
      <c r="AA208" s="484">
        <v>44545</v>
      </c>
      <c r="AB208" s="485" t="s">
        <v>2650</v>
      </c>
      <c r="AC208" s="211">
        <v>162</v>
      </c>
      <c r="AD208" s="485" t="s">
        <v>3130</v>
      </c>
      <c r="AE208" s="486" t="s">
        <v>3131</v>
      </c>
      <c r="AF208" s="473">
        <v>56050000</v>
      </c>
      <c r="AG208" s="474">
        <f t="shared" si="3"/>
        <v>0</v>
      </c>
      <c r="AK208" s="475">
        <v>5113333</v>
      </c>
      <c r="AL208" s="475">
        <v>5900000</v>
      </c>
      <c r="AM208" s="306">
        <v>5900000</v>
      </c>
    </row>
    <row r="209" spans="1:45" hidden="1" x14ac:dyDescent="0.3">
      <c r="A209" s="494" t="s">
        <v>1836</v>
      </c>
      <c r="B209" s="495">
        <v>39600000</v>
      </c>
      <c r="C209" s="212" t="s">
        <v>2646</v>
      </c>
      <c r="D209" s="478">
        <v>205</v>
      </c>
      <c r="E209" s="478">
        <v>20215000006403</v>
      </c>
      <c r="F209" s="479">
        <v>44235</v>
      </c>
      <c r="G209" s="478" t="s">
        <v>2640</v>
      </c>
      <c r="H209" s="212" t="s">
        <v>2641</v>
      </c>
      <c r="I209" s="212" t="s">
        <v>228</v>
      </c>
      <c r="J209" s="475">
        <v>39600000</v>
      </c>
      <c r="K209" s="212" t="s">
        <v>223</v>
      </c>
      <c r="L209" s="212" t="s">
        <v>283</v>
      </c>
      <c r="M209" s="212" t="s">
        <v>44</v>
      </c>
      <c r="N209" s="212" t="s">
        <v>45</v>
      </c>
      <c r="O209" s="212" t="s">
        <v>63</v>
      </c>
      <c r="P209" s="212" t="s">
        <v>674</v>
      </c>
      <c r="R209" s="212">
        <v>214</v>
      </c>
      <c r="S209" s="479">
        <v>44235</v>
      </c>
      <c r="T209" s="212" t="s">
        <v>3132</v>
      </c>
      <c r="U209" s="475">
        <f>39600000-15600000</f>
        <v>24000000</v>
      </c>
      <c r="V209" s="444">
        <v>15600000</v>
      </c>
      <c r="W209" s="398"/>
      <c r="X209" s="483">
        <v>140</v>
      </c>
      <c r="Y209" s="484">
        <v>44243</v>
      </c>
      <c r="Z209" s="484">
        <v>44243</v>
      </c>
      <c r="AA209" s="484">
        <v>44424</v>
      </c>
      <c r="AB209" s="485" t="s">
        <v>2650</v>
      </c>
      <c r="AC209" s="483">
        <v>85</v>
      </c>
      <c r="AD209" s="485">
        <v>1022384109</v>
      </c>
      <c r="AE209" s="486" t="s">
        <v>3133</v>
      </c>
      <c r="AF209" s="473">
        <v>24000000</v>
      </c>
      <c r="AG209" s="474">
        <f t="shared" si="3"/>
        <v>0</v>
      </c>
      <c r="AL209" s="475">
        <v>5600000</v>
      </c>
      <c r="AM209" s="306">
        <v>4000000</v>
      </c>
    </row>
    <row r="210" spans="1:45" hidden="1" x14ac:dyDescent="0.3">
      <c r="A210" s="494" t="s">
        <v>2143</v>
      </c>
      <c r="B210" s="495">
        <v>60000000</v>
      </c>
      <c r="C210" s="212" t="s">
        <v>2646</v>
      </c>
      <c r="D210" s="478">
        <v>206</v>
      </c>
      <c r="E210" s="478">
        <v>20213000005713</v>
      </c>
      <c r="F210" s="479">
        <v>44231</v>
      </c>
      <c r="G210" s="478" t="s">
        <v>2640</v>
      </c>
      <c r="H210" s="212" t="s">
        <v>2641</v>
      </c>
      <c r="I210" s="212" t="s">
        <v>432</v>
      </c>
      <c r="J210" s="475">
        <v>60000000</v>
      </c>
      <c r="K210" s="212" t="s">
        <v>358</v>
      </c>
      <c r="L210" s="212" t="s">
        <v>2791</v>
      </c>
      <c r="M210" s="212" t="s">
        <v>44</v>
      </c>
      <c r="N210" s="212" t="s">
        <v>45</v>
      </c>
      <c r="O210" s="212" t="s">
        <v>63</v>
      </c>
      <c r="P210" s="212" t="s">
        <v>674</v>
      </c>
      <c r="R210" s="212">
        <v>200</v>
      </c>
      <c r="S210" s="479">
        <v>44231</v>
      </c>
      <c r="T210" s="212" t="s">
        <v>3134</v>
      </c>
      <c r="U210" s="475">
        <f>60000000-1854336</f>
        <v>58145664</v>
      </c>
      <c r="V210" s="411">
        <v>1854336</v>
      </c>
      <c r="W210" s="397"/>
      <c r="X210" s="308">
        <v>231</v>
      </c>
      <c r="Y210" s="484">
        <v>44259</v>
      </c>
      <c r="Z210" s="484">
        <v>44259</v>
      </c>
      <c r="AA210" s="484">
        <v>44504</v>
      </c>
      <c r="AB210" s="485" t="s">
        <v>2650</v>
      </c>
      <c r="AC210" s="211">
        <v>163</v>
      </c>
      <c r="AD210" s="485" t="s">
        <v>3135</v>
      </c>
      <c r="AE210" s="486" t="s">
        <v>3136</v>
      </c>
      <c r="AF210" s="473">
        <v>58145664</v>
      </c>
      <c r="AG210" s="474">
        <f t="shared" si="3"/>
        <v>0</v>
      </c>
      <c r="AK210" s="475">
        <v>5330019</v>
      </c>
      <c r="AL210" s="475">
        <v>7268208</v>
      </c>
      <c r="AM210" s="306">
        <v>7268208</v>
      </c>
    </row>
    <row r="211" spans="1:45" hidden="1" x14ac:dyDescent="0.3">
      <c r="A211" s="494" t="s">
        <v>2090</v>
      </c>
      <c r="B211" s="495">
        <v>58300000</v>
      </c>
      <c r="C211" s="212" t="s">
        <v>2646</v>
      </c>
      <c r="D211" s="478">
        <v>207</v>
      </c>
      <c r="E211" s="478">
        <v>20215000006423</v>
      </c>
      <c r="F211" s="479">
        <v>44235</v>
      </c>
      <c r="G211" s="478" t="s">
        <v>2640</v>
      </c>
      <c r="H211" s="212" t="s">
        <v>2641</v>
      </c>
      <c r="I211" s="212" t="s">
        <v>228</v>
      </c>
      <c r="J211" s="475">
        <v>58300000</v>
      </c>
      <c r="K211" s="212" t="s">
        <v>223</v>
      </c>
      <c r="L211" s="212" t="s">
        <v>269</v>
      </c>
      <c r="M211" s="212" t="s">
        <v>44</v>
      </c>
      <c r="N211" s="212" t="s">
        <v>45</v>
      </c>
      <c r="O211" s="212" t="s">
        <v>63</v>
      </c>
      <c r="P211" s="212" t="s">
        <v>674</v>
      </c>
      <c r="R211" s="212">
        <v>216</v>
      </c>
      <c r="S211" s="479">
        <v>44236</v>
      </c>
      <c r="T211" s="212" t="s">
        <v>3137</v>
      </c>
      <c r="U211" s="475">
        <f>58300000-5300000</f>
        <v>53000000</v>
      </c>
      <c r="V211" s="444">
        <v>5300000</v>
      </c>
      <c r="W211" s="398"/>
      <c r="X211" s="483">
        <v>150</v>
      </c>
      <c r="Y211" s="484">
        <v>44244</v>
      </c>
      <c r="Z211" s="484">
        <v>44244</v>
      </c>
      <c r="AA211" s="484">
        <v>44547</v>
      </c>
      <c r="AB211" s="485" t="s">
        <v>2650</v>
      </c>
      <c r="AC211" s="483">
        <v>100</v>
      </c>
      <c r="AD211" s="485">
        <v>1076656936</v>
      </c>
      <c r="AE211" s="486" t="s">
        <v>3138</v>
      </c>
      <c r="AF211" s="473">
        <v>53000000</v>
      </c>
      <c r="AG211" s="474">
        <f t="shared" si="3"/>
        <v>0</v>
      </c>
      <c r="AJ211" s="475">
        <v>2120000</v>
      </c>
      <c r="AK211" s="475">
        <v>5300000</v>
      </c>
      <c r="AL211" s="475">
        <v>5300000</v>
      </c>
      <c r="AM211" s="306">
        <v>5300000</v>
      </c>
    </row>
    <row r="212" spans="1:45" hidden="1" x14ac:dyDescent="0.3">
      <c r="A212" s="476" t="s">
        <v>2096</v>
      </c>
      <c r="B212" s="477">
        <v>28600000</v>
      </c>
      <c r="C212" s="212" t="s">
        <v>2646</v>
      </c>
      <c r="D212" s="478">
        <v>208</v>
      </c>
      <c r="E212" s="478">
        <v>20215000002723</v>
      </c>
      <c r="F212" s="479">
        <v>44225</v>
      </c>
      <c r="G212" s="478" t="s">
        <v>2640</v>
      </c>
      <c r="H212" s="212" t="s">
        <v>2641</v>
      </c>
      <c r="I212" s="212" t="s">
        <v>228</v>
      </c>
      <c r="J212" s="475">
        <v>28600000</v>
      </c>
      <c r="K212" s="212" t="s">
        <v>223</v>
      </c>
      <c r="L212" s="212" t="s">
        <v>2758</v>
      </c>
      <c r="M212" s="212" t="s">
        <v>44</v>
      </c>
      <c r="N212" s="212" t="s">
        <v>45</v>
      </c>
      <c r="O212" s="212" t="s">
        <v>63</v>
      </c>
      <c r="P212" s="212" t="s">
        <v>674</v>
      </c>
      <c r="R212" s="212">
        <v>121</v>
      </c>
      <c r="S212" s="479">
        <v>44225</v>
      </c>
      <c r="T212" s="212" t="s">
        <v>3139</v>
      </c>
      <c r="U212" s="475">
        <f>28600000-2950000</f>
        <v>25650000</v>
      </c>
      <c r="V212" s="444">
        <v>2950000</v>
      </c>
      <c r="W212" s="398"/>
      <c r="X212" s="308">
        <v>232</v>
      </c>
      <c r="Y212" s="484">
        <v>44259</v>
      </c>
      <c r="Z212" s="484">
        <v>44259</v>
      </c>
      <c r="AA212" s="484">
        <v>44545</v>
      </c>
      <c r="AB212" s="485" t="s">
        <v>2650</v>
      </c>
      <c r="AC212" s="211">
        <v>168</v>
      </c>
      <c r="AD212" s="485" t="s">
        <v>3140</v>
      </c>
      <c r="AE212" s="486" t="s">
        <v>3141</v>
      </c>
      <c r="AF212" s="473">
        <v>25650000</v>
      </c>
      <c r="AG212" s="474">
        <f t="shared" si="3"/>
        <v>0</v>
      </c>
      <c r="AK212" s="475">
        <v>2340000</v>
      </c>
      <c r="AL212" s="475">
        <v>2700000</v>
      </c>
      <c r="AM212" s="306">
        <v>2700000</v>
      </c>
    </row>
    <row r="213" spans="1:45" hidden="1" x14ac:dyDescent="0.3">
      <c r="A213" s="494" t="s">
        <v>2091</v>
      </c>
      <c r="B213" s="495">
        <v>64900000</v>
      </c>
      <c r="C213" s="212" t="s">
        <v>2646</v>
      </c>
      <c r="D213" s="478">
        <v>209</v>
      </c>
      <c r="E213" s="478">
        <v>20215000006463</v>
      </c>
      <c r="F213" s="479">
        <v>44235</v>
      </c>
      <c r="G213" s="478" t="s">
        <v>2640</v>
      </c>
      <c r="H213" s="212" t="s">
        <v>2641</v>
      </c>
      <c r="I213" s="212" t="s">
        <v>228</v>
      </c>
      <c r="J213" s="475">
        <v>64900000</v>
      </c>
      <c r="K213" s="212" t="s">
        <v>223</v>
      </c>
      <c r="L213" s="212" t="s">
        <v>233</v>
      </c>
      <c r="M213" s="212" t="s">
        <v>44</v>
      </c>
      <c r="N213" s="212" t="s">
        <v>45</v>
      </c>
      <c r="O213" s="212" t="s">
        <v>63</v>
      </c>
      <c r="P213" s="212" t="s">
        <v>674</v>
      </c>
      <c r="R213" s="212">
        <v>218</v>
      </c>
      <c r="S213" s="479">
        <v>44236</v>
      </c>
      <c r="T213" s="212" t="s">
        <v>3142</v>
      </c>
      <c r="U213" s="475">
        <f>64900000-5900000</f>
        <v>59000000</v>
      </c>
      <c r="V213" s="444">
        <v>5900000</v>
      </c>
      <c r="W213" s="398"/>
      <c r="X213" s="483">
        <v>160</v>
      </c>
      <c r="Y213" s="484">
        <v>44245</v>
      </c>
      <c r="Z213" s="484">
        <v>44245</v>
      </c>
      <c r="AA213" s="484">
        <v>44548</v>
      </c>
      <c r="AB213" s="485" t="s">
        <v>2650</v>
      </c>
      <c r="AC213" s="483">
        <v>110</v>
      </c>
      <c r="AD213" s="485">
        <v>39788923</v>
      </c>
      <c r="AE213" s="486" t="s">
        <v>3143</v>
      </c>
      <c r="AF213" s="473">
        <v>59000000</v>
      </c>
      <c r="AG213" s="474">
        <f t="shared" si="3"/>
        <v>0</v>
      </c>
      <c r="AK213" s="475">
        <v>7866667</v>
      </c>
      <c r="AL213" s="475">
        <v>5900000</v>
      </c>
      <c r="AM213" s="306">
        <v>5900000</v>
      </c>
    </row>
    <row r="214" spans="1:45" hidden="1" x14ac:dyDescent="0.3">
      <c r="A214" s="494" t="s">
        <v>2092</v>
      </c>
      <c r="B214" s="495">
        <v>44000000</v>
      </c>
      <c r="C214" s="212" t="s">
        <v>2646</v>
      </c>
      <c r="D214" s="478">
        <v>210</v>
      </c>
      <c r="E214" s="478">
        <v>20215000006473</v>
      </c>
      <c r="F214" s="479">
        <v>44235</v>
      </c>
      <c r="G214" s="478" t="s">
        <v>2640</v>
      </c>
      <c r="H214" s="212" t="s">
        <v>2641</v>
      </c>
      <c r="I214" s="212" t="s">
        <v>228</v>
      </c>
      <c r="J214" s="475">
        <v>44000000</v>
      </c>
      <c r="K214" s="212" t="s">
        <v>288</v>
      </c>
      <c r="L214" s="212" t="s">
        <v>294</v>
      </c>
      <c r="M214" s="212" t="s">
        <v>44</v>
      </c>
      <c r="N214" s="212" t="s">
        <v>45</v>
      </c>
      <c r="O214" s="212" t="s">
        <v>63</v>
      </c>
      <c r="P214" s="212" t="s">
        <v>674</v>
      </c>
      <c r="R214" s="212">
        <v>219</v>
      </c>
      <c r="S214" s="479">
        <v>44236</v>
      </c>
      <c r="T214" s="212" t="s">
        <v>3144</v>
      </c>
      <c r="U214" s="475">
        <f>44000000-4000000</f>
        <v>40000000</v>
      </c>
      <c r="V214" s="444">
        <v>4000000</v>
      </c>
      <c r="W214" s="398"/>
      <c r="X214" s="483">
        <v>194</v>
      </c>
      <c r="Y214" s="484">
        <v>44252</v>
      </c>
      <c r="Z214" s="484">
        <v>44252</v>
      </c>
      <c r="AA214" s="484">
        <v>44555</v>
      </c>
      <c r="AB214" s="485" t="s">
        <v>2650</v>
      </c>
      <c r="AC214" s="483">
        <v>134</v>
      </c>
      <c r="AD214" s="485">
        <v>1015441871</v>
      </c>
      <c r="AE214" s="486" t="s">
        <v>3145</v>
      </c>
      <c r="AF214" s="473">
        <v>40000000</v>
      </c>
      <c r="AG214" s="474">
        <f t="shared" si="3"/>
        <v>0</v>
      </c>
      <c r="AK214" s="475">
        <v>4400000</v>
      </c>
      <c r="AL214" s="475">
        <v>4000000</v>
      </c>
      <c r="AM214" s="306">
        <v>4000000</v>
      </c>
    </row>
    <row r="215" spans="1:45" hidden="1" x14ac:dyDescent="0.3">
      <c r="A215" s="476" t="s">
        <v>2098</v>
      </c>
      <c r="B215" s="477">
        <v>64900000</v>
      </c>
      <c r="C215" s="212" t="s">
        <v>2646</v>
      </c>
      <c r="D215" s="478">
        <v>211</v>
      </c>
      <c r="E215" s="478">
        <v>20215000000883</v>
      </c>
      <c r="F215" s="479">
        <v>44211</v>
      </c>
      <c r="G215" s="478" t="s">
        <v>2640</v>
      </c>
      <c r="H215" s="212" t="s">
        <v>2641</v>
      </c>
      <c r="I215" s="212" t="s">
        <v>228</v>
      </c>
      <c r="J215" s="475">
        <v>64900000</v>
      </c>
      <c r="K215" s="212" t="s">
        <v>223</v>
      </c>
      <c r="L215" s="212" t="s">
        <v>233</v>
      </c>
      <c r="M215" s="212" t="s">
        <v>44</v>
      </c>
      <c r="N215" s="212" t="s">
        <v>45</v>
      </c>
      <c r="O215" s="212" t="s">
        <v>63</v>
      </c>
      <c r="P215" s="212" t="s">
        <v>674</v>
      </c>
      <c r="R215" s="212">
        <v>35</v>
      </c>
      <c r="S215" s="479">
        <v>44211</v>
      </c>
      <c r="T215" s="212" t="s">
        <v>2720</v>
      </c>
      <c r="U215" s="475">
        <f>64900000-8850000</f>
        <v>56050000</v>
      </c>
      <c r="V215" s="411">
        <v>8850000</v>
      </c>
      <c r="W215" s="397"/>
      <c r="X215" s="308">
        <v>233</v>
      </c>
      <c r="Y215" s="484">
        <v>44259</v>
      </c>
      <c r="Z215" s="484">
        <v>44259</v>
      </c>
      <c r="AA215" s="484">
        <v>44545</v>
      </c>
      <c r="AB215" s="485" t="s">
        <v>2650</v>
      </c>
      <c r="AC215" s="211">
        <v>165</v>
      </c>
      <c r="AD215" s="485" t="s">
        <v>3146</v>
      </c>
      <c r="AE215" s="486" t="s">
        <v>3147</v>
      </c>
      <c r="AF215" s="473">
        <v>56050000</v>
      </c>
      <c r="AG215" s="474">
        <f t="shared" si="3"/>
        <v>0</v>
      </c>
      <c r="AK215" s="475">
        <v>5113333</v>
      </c>
      <c r="AL215" s="475">
        <v>5900000</v>
      </c>
      <c r="AM215" s="306">
        <v>5900000</v>
      </c>
    </row>
    <row r="216" spans="1:45" hidden="1" x14ac:dyDescent="0.3">
      <c r="A216" s="494" t="s">
        <v>2507</v>
      </c>
      <c r="B216" s="495">
        <v>96511665</v>
      </c>
      <c r="C216" s="212" t="s">
        <v>2646</v>
      </c>
      <c r="D216" s="478">
        <v>212</v>
      </c>
      <c r="E216" s="478">
        <v>20212000006273</v>
      </c>
      <c r="F216" s="479">
        <v>44236</v>
      </c>
      <c r="G216" s="478" t="s">
        <v>2640</v>
      </c>
      <c r="H216" s="212" t="s">
        <v>2641</v>
      </c>
      <c r="I216" s="212" t="s">
        <v>391</v>
      </c>
      <c r="J216" s="475">
        <v>36805297</v>
      </c>
      <c r="K216" s="210" t="s">
        <v>2711</v>
      </c>
      <c r="L216" s="212" t="s">
        <v>2712</v>
      </c>
      <c r="M216" s="212" t="s">
        <v>44</v>
      </c>
      <c r="N216" s="212" t="s">
        <v>45</v>
      </c>
      <c r="O216" s="212" t="s">
        <v>63</v>
      </c>
      <c r="P216" s="212" t="s">
        <v>674</v>
      </c>
      <c r="R216" s="212">
        <v>223</v>
      </c>
      <c r="S216" s="479">
        <v>44236</v>
      </c>
      <c r="T216" s="212" t="s">
        <v>3148</v>
      </c>
      <c r="U216" s="475">
        <f>36805297-17797</f>
        <v>36787500</v>
      </c>
      <c r="V216" s="411">
        <v>17797</v>
      </c>
      <c r="W216" s="397"/>
      <c r="X216" s="483">
        <v>191</v>
      </c>
      <c r="Y216" s="484">
        <v>44252</v>
      </c>
      <c r="Z216" s="484">
        <v>44252</v>
      </c>
      <c r="AA216" s="484">
        <v>44387</v>
      </c>
      <c r="AB216" s="485" t="s">
        <v>2650</v>
      </c>
      <c r="AC216" s="483">
        <v>131</v>
      </c>
      <c r="AD216" s="485">
        <v>52783545</v>
      </c>
      <c r="AE216" s="486" t="s">
        <v>3149</v>
      </c>
      <c r="AF216" s="473">
        <v>36787500</v>
      </c>
      <c r="AG216" s="474">
        <f t="shared" si="3"/>
        <v>0</v>
      </c>
      <c r="AK216" s="475">
        <v>9265000</v>
      </c>
      <c r="AL216" s="475">
        <v>8175000</v>
      </c>
      <c r="AM216" s="306">
        <v>8175000</v>
      </c>
    </row>
    <row r="217" spans="1:45" hidden="1" x14ac:dyDescent="0.3">
      <c r="A217" s="494" t="s">
        <v>2186</v>
      </c>
      <c r="B217" s="495">
        <v>48144000</v>
      </c>
      <c r="C217" s="212" t="s">
        <v>2646</v>
      </c>
      <c r="D217" s="478">
        <v>213</v>
      </c>
      <c r="E217" s="478">
        <v>20212000006333</v>
      </c>
      <c r="F217" s="479">
        <v>44236</v>
      </c>
      <c r="G217" s="478" t="s">
        <v>2640</v>
      </c>
      <c r="H217" s="212" t="s">
        <v>2641</v>
      </c>
      <c r="I217" s="212" t="s">
        <v>391</v>
      </c>
      <c r="J217" s="475">
        <v>42945000</v>
      </c>
      <c r="K217" s="210" t="s">
        <v>2711</v>
      </c>
      <c r="L217" s="212" t="s">
        <v>2712</v>
      </c>
      <c r="M217" s="212" t="s">
        <v>44</v>
      </c>
      <c r="N217" s="212" t="s">
        <v>45</v>
      </c>
      <c r="O217" s="212" t="s">
        <v>63</v>
      </c>
      <c r="P217" s="212" t="s">
        <v>674</v>
      </c>
      <c r="R217" s="212">
        <v>224</v>
      </c>
      <c r="S217" s="479">
        <v>44236</v>
      </c>
      <c r="T217" s="212" t="s">
        <v>3150</v>
      </c>
      <c r="U217" s="475">
        <f>42945000-2045000</f>
        <v>40900000</v>
      </c>
      <c r="V217" s="411">
        <v>2045000</v>
      </c>
      <c r="W217" s="397"/>
      <c r="X217" s="483">
        <v>186</v>
      </c>
      <c r="Y217" s="484">
        <v>44251</v>
      </c>
      <c r="Z217" s="484">
        <v>44251</v>
      </c>
      <c r="AA217" s="484">
        <v>44554</v>
      </c>
      <c r="AB217" s="485" t="s">
        <v>2650</v>
      </c>
      <c r="AC217" s="483">
        <v>125</v>
      </c>
      <c r="AD217" s="485">
        <v>1098672264</v>
      </c>
      <c r="AE217" s="486" t="s">
        <v>3151</v>
      </c>
      <c r="AF217" s="473">
        <v>40900000</v>
      </c>
      <c r="AG217" s="474">
        <f t="shared" si="3"/>
        <v>0</v>
      </c>
      <c r="AK217" s="475">
        <v>4635333</v>
      </c>
      <c r="AL217" s="475">
        <v>4090000</v>
      </c>
      <c r="AM217" s="306">
        <v>4090000</v>
      </c>
    </row>
    <row r="218" spans="1:45" hidden="1" x14ac:dyDescent="0.3">
      <c r="A218" s="494" t="s">
        <v>1896</v>
      </c>
      <c r="B218" s="495">
        <v>53226394</v>
      </c>
      <c r="C218" s="212" t="s">
        <v>2646</v>
      </c>
      <c r="D218" s="478">
        <v>214</v>
      </c>
      <c r="E218" s="478">
        <v>20212000006343</v>
      </c>
      <c r="F218" s="479">
        <v>44236</v>
      </c>
      <c r="G218" s="478" t="s">
        <v>2640</v>
      </c>
      <c r="H218" s="212" t="s">
        <v>2641</v>
      </c>
      <c r="I218" s="212" t="s">
        <v>391</v>
      </c>
      <c r="J218" s="475">
        <v>47365500</v>
      </c>
      <c r="K218" s="210" t="s">
        <v>2711</v>
      </c>
      <c r="L218" s="212" t="s">
        <v>2712</v>
      </c>
      <c r="M218" s="212" t="s">
        <v>44</v>
      </c>
      <c r="N218" s="212" t="s">
        <v>45</v>
      </c>
      <c r="O218" s="212" t="s">
        <v>63</v>
      </c>
      <c r="P218" s="212" t="s">
        <v>674</v>
      </c>
      <c r="R218" s="212">
        <v>225</v>
      </c>
      <c r="S218" s="479">
        <v>44236</v>
      </c>
      <c r="T218" s="212" t="s">
        <v>3152</v>
      </c>
      <c r="U218" s="475">
        <f>47365500-6766500</f>
        <v>40599000</v>
      </c>
      <c r="V218" s="411">
        <v>6766500</v>
      </c>
      <c r="W218" s="397"/>
      <c r="X218" s="483" t="s">
        <v>3153</v>
      </c>
      <c r="Y218" s="484">
        <v>44285</v>
      </c>
      <c r="Z218" s="484">
        <v>44285</v>
      </c>
      <c r="AA218" s="484">
        <v>44560</v>
      </c>
      <c r="AB218" s="485" t="s">
        <v>2650</v>
      </c>
      <c r="AC218" s="483" t="s">
        <v>3154</v>
      </c>
      <c r="AD218" s="485" t="s">
        <v>3155</v>
      </c>
      <c r="AE218" s="486" t="s">
        <v>3156</v>
      </c>
      <c r="AF218" s="473">
        <v>40599000</v>
      </c>
      <c r="AG218" s="474">
        <f t="shared" si="3"/>
        <v>0</v>
      </c>
      <c r="AL218" s="475">
        <v>4661367</v>
      </c>
      <c r="AM218" s="306">
        <v>4511000</v>
      </c>
    </row>
    <row r="219" spans="1:45" hidden="1" x14ac:dyDescent="0.3">
      <c r="A219" s="494" t="s">
        <v>1936</v>
      </c>
      <c r="B219" s="495">
        <v>39270000</v>
      </c>
      <c r="C219" s="212" t="s">
        <v>2646</v>
      </c>
      <c r="D219" s="478">
        <v>215</v>
      </c>
      <c r="E219" s="478">
        <v>20212000006353</v>
      </c>
      <c r="F219" s="479">
        <v>44236</v>
      </c>
      <c r="G219" s="478" t="s">
        <v>2640</v>
      </c>
      <c r="H219" s="212" t="s">
        <v>2641</v>
      </c>
      <c r="I219" s="212" t="s">
        <v>391</v>
      </c>
      <c r="J219" s="475">
        <v>37525000</v>
      </c>
      <c r="K219" s="210" t="s">
        <v>2711</v>
      </c>
      <c r="L219" s="212" t="s">
        <v>2712</v>
      </c>
      <c r="M219" s="212" t="s">
        <v>44</v>
      </c>
      <c r="N219" s="212" t="s">
        <v>45</v>
      </c>
      <c r="O219" s="212" t="s">
        <v>63</v>
      </c>
      <c r="P219" s="212" t="s">
        <v>674</v>
      </c>
      <c r="R219" s="212">
        <v>226</v>
      </c>
      <c r="S219" s="479">
        <v>44236</v>
      </c>
      <c r="T219" s="212" t="s">
        <v>3157</v>
      </c>
      <c r="U219" s="475">
        <v>37525000</v>
      </c>
      <c r="V219" s="406"/>
      <c r="W219" s="362"/>
      <c r="X219" s="483">
        <v>162</v>
      </c>
      <c r="Y219" s="484">
        <v>44245</v>
      </c>
      <c r="Z219" s="484">
        <v>44245</v>
      </c>
      <c r="AA219" s="484">
        <v>44530</v>
      </c>
      <c r="AB219" s="485" t="s">
        <v>2650</v>
      </c>
      <c r="AC219" s="483">
        <v>111</v>
      </c>
      <c r="AD219" s="485">
        <v>1030604453</v>
      </c>
      <c r="AE219" s="486" t="s">
        <v>3158</v>
      </c>
      <c r="AF219" s="473">
        <v>37525000</v>
      </c>
      <c r="AG219" s="474">
        <f t="shared" si="3"/>
        <v>0</v>
      </c>
      <c r="AJ219" s="475">
        <v>921667</v>
      </c>
      <c r="AK219" s="475">
        <v>3950000</v>
      </c>
      <c r="AL219" s="475">
        <v>3950000</v>
      </c>
      <c r="AM219" s="306">
        <v>3950000</v>
      </c>
    </row>
    <row r="220" spans="1:45" hidden="1" x14ac:dyDescent="0.3">
      <c r="A220" s="494" t="s">
        <v>1938</v>
      </c>
      <c r="B220" s="495">
        <v>34904400</v>
      </c>
      <c r="C220" s="212" t="s">
        <v>2646</v>
      </c>
      <c r="D220" s="478">
        <v>216</v>
      </c>
      <c r="E220" s="478">
        <v>20212000006373</v>
      </c>
      <c r="F220" s="479">
        <v>44236</v>
      </c>
      <c r="G220" s="478" t="s">
        <v>2640</v>
      </c>
      <c r="H220" s="212" t="s">
        <v>2641</v>
      </c>
      <c r="I220" s="212" t="s">
        <v>391</v>
      </c>
      <c r="J220" s="475">
        <v>32538000</v>
      </c>
      <c r="K220" s="210" t="s">
        <v>2711</v>
      </c>
      <c r="L220" s="212" t="s">
        <v>2712</v>
      </c>
      <c r="M220" s="212" t="s">
        <v>44</v>
      </c>
      <c r="N220" s="212" t="s">
        <v>45</v>
      </c>
      <c r="O220" s="212" t="s">
        <v>63</v>
      </c>
      <c r="P220" s="212" t="s">
        <v>674</v>
      </c>
      <c r="R220" s="212">
        <v>227</v>
      </c>
      <c r="S220" s="479">
        <v>44236</v>
      </c>
      <c r="T220" s="212" t="s">
        <v>3159</v>
      </c>
      <c r="U220" s="475">
        <f>32538000-2958000</f>
        <v>29580000</v>
      </c>
      <c r="V220" s="411">
        <v>2958000</v>
      </c>
      <c r="W220" s="397"/>
      <c r="X220" s="483">
        <v>152</v>
      </c>
      <c r="Y220" s="484">
        <v>44244</v>
      </c>
      <c r="Z220" s="484">
        <v>44244</v>
      </c>
      <c r="AA220" s="484">
        <v>44547</v>
      </c>
      <c r="AB220" s="485" t="s">
        <v>2650</v>
      </c>
      <c r="AC220" s="483">
        <v>97</v>
      </c>
      <c r="AD220" s="485">
        <v>1024514381</v>
      </c>
      <c r="AE220" s="486" t="s">
        <v>3160</v>
      </c>
      <c r="AF220" s="473">
        <v>29580000</v>
      </c>
      <c r="AG220" s="474">
        <f t="shared" si="3"/>
        <v>0</v>
      </c>
      <c r="AJ220" s="475">
        <v>1183200</v>
      </c>
      <c r="AK220" s="475">
        <v>2958000</v>
      </c>
      <c r="AL220" s="475">
        <v>2958000</v>
      </c>
      <c r="AM220" s="306">
        <v>2958000</v>
      </c>
    </row>
    <row r="221" spans="1:45" hidden="1" x14ac:dyDescent="0.3">
      <c r="A221" s="313" t="s">
        <v>2505</v>
      </c>
      <c r="B221" s="419">
        <v>81844800</v>
      </c>
      <c r="C221" s="212" t="s">
        <v>2646</v>
      </c>
      <c r="D221" s="478">
        <v>217</v>
      </c>
      <c r="E221" s="478">
        <v>20212000006263</v>
      </c>
      <c r="F221" s="479">
        <v>44236</v>
      </c>
      <c r="G221" s="478" t="s">
        <v>2640</v>
      </c>
      <c r="H221" s="212" t="s">
        <v>2641</v>
      </c>
      <c r="I221" s="212" t="s">
        <v>391</v>
      </c>
      <c r="J221" s="475">
        <v>77900000</v>
      </c>
      <c r="K221" s="210" t="s">
        <v>2711</v>
      </c>
      <c r="L221" s="212" t="s">
        <v>2712</v>
      </c>
      <c r="M221" s="212" t="s">
        <v>44</v>
      </c>
      <c r="N221" s="212" t="s">
        <v>45</v>
      </c>
      <c r="O221" s="212" t="s">
        <v>63</v>
      </c>
      <c r="P221" s="212" t="s">
        <v>674</v>
      </c>
      <c r="R221" s="212">
        <v>222</v>
      </c>
      <c r="S221" s="479">
        <v>44236</v>
      </c>
      <c r="T221" s="212" t="s">
        <v>2966</v>
      </c>
      <c r="U221" s="475">
        <v>77900000</v>
      </c>
      <c r="V221" s="406"/>
      <c r="W221" s="362"/>
      <c r="X221" s="483">
        <v>159</v>
      </c>
      <c r="Y221" s="484">
        <v>44245</v>
      </c>
      <c r="Z221" s="484">
        <v>44245</v>
      </c>
      <c r="AA221" s="484">
        <v>44530</v>
      </c>
      <c r="AB221" s="485" t="s">
        <v>2650</v>
      </c>
      <c r="AC221" s="483">
        <v>109</v>
      </c>
      <c r="AD221" s="485">
        <v>1010171202</v>
      </c>
      <c r="AE221" s="486" t="s">
        <v>3161</v>
      </c>
      <c r="AF221" s="473">
        <v>77900000</v>
      </c>
      <c r="AG221" s="474">
        <f t="shared" si="3"/>
        <v>0</v>
      </c>
      <c r="AJ221" s="475">
        <v>2733333</v>
      </c>
      <c r="AK221" s="475">
        <v>8200000</v>
      </c>
      <c r="AL221" s="475">
        <v>8200000</v>
      </c>
      <c r="AM221" s="306">
        <v>8200000</v>
      </c>
    </row>
    <row r="222" spans="1:45" hidden="1" x14ac:dyDescent="0.3">
      <c r="A222" s="313" t="s">
        <v>2516</v>
      </c>
      <c r="B222" s="419">
        <v>42636000</v>
      </c>
      <c r="C222" s="212" t="s">
        <v>2646</v>
      </c>
      <c r="D222" s="478">
        <v>218</v>
      </c>
      <c r="E222" s="478">
        <v>20212000006833</v>
      </c>
      <c r="F222" s="479">
        <v>44236</v>
      </c>
      <c r="G222" s="478" t="s">
        <v>2640</v>
      </c>
      <c r="H222" s="212" t="s">
        <v>2641</v>
      </c>
      <c r="I222" s="212" t="s">
        <v>391</v>
      </c>
      <c r="J222" s="475">
        <v>41475000</v>
      </c>
      <c r="K222" s="210" t="s">
        <v>2711</v>
      </c>
      <c r="L222" s="212" t="s">
        <v>2712</v>
      </c>
      <c r="M222" s="212" t="s">
        <v>44</v>
      </c>
      <c r="N222" s="212" t="s">
        <v>45</v>
      </c>
      <c r="O222" s="212" t="s">
        <v>63</v>
      </c>
      <c r="P222" s="212" t="s">
        <v>674</v>
      </c>
      <c r="R222" s="212">
        <v>229</v>
      </c>
      <c r="S222" s="479">
        <v>44236</v>
      </c>
      <c r="T222" s="212" t="s">
        <v>3162</v>
      </c>
      <c r="U222" s="475">
        <f>41475000-1975000</f>
        <v>39500000</v>
      </c>
      <c r="V222" s="411">
        <v>1975000</v>
      </c>
      <c r="W222" s="397"/>
      <c r="X222" s="483">
        <v>146</v>
      </c>
      <c r="Y222" s="484">
        <v>44243</v>
      </c>
      <c r="Z222" s="484">
        <v>44243</v>
      </c>
      <c r="AA222" s="484">
        <v>44546</v>
      </c>
      <c r="AB222" s="485" t="s">
        <v>2650</v>
      </c>
      <c r="AC222" s="483">
        <v>86</v>
      </c>
      <c r="AD222" s="485">
        <v>37729745</v>
      </c>
      <c r="AE222" s="486" t="s">
        <v>3163</v>
      </c>
      <c r="AF222" s="473">
        <v>39500000</v>
      </c>
      <c r="AG222" s="474">
        <f t="shared" si="3"/>
        <v>0</v>
      </c>
      <c r="AJ222" s="475">
        <v>1580000</v>
      </c>
      <c r="AK222" s="475">
        <v>3950000</v>
      </c>
      <c r="AL222" s="475">
        <v>3950000</v>
      </c>
      <c r="AM222" s="306">
        <v>3950000</v>
      </c>
    </row>
    <row r="223" spans="1:45" hidden="1" x14ac:dyDescent="0.3">
      <c r="A223" s="476" t="s">
        <v>2103</v>
      </c>
      <c r="B223" s="477">
        <v>33000000</v>
      </c>
      <c r="C223" s="212" t="s">
        <v>2646</v>
      </c>
      <c r="D223" s="478">
        <v>219</v>
      </c>
      <c r="E223" s="478">
        <v>20215000002883</v>
      </c>
      <c r="F223" s="479">
        <v>44225</v>
      </c>
      <c r="G223" s="478" t="s">
        <v>2640</v>
      </c>
      <c r="H223" s="212" t="s">
        <v>2641</v>
      </c>
      <c r="I223" s="212" t="s">
        <v>228</v>
      </c>
      <c r="J223" s="475">
        <v>33000000</v>
      </c>
      <c r="K223" s="212" t="s">
        <v>223</v>
      </c>
      <c r="L223" s="212" t="s">
        <v>236</v>
      </c>
      <c r="M223" s="212" t="s">
        <v>44</v>
      </c>
      <c r="N223" s="212" t="s">
        <v>45</v>
      </c>
      <c r="O223" s="212" t="s">
        <v>63</v>
      </c>
      <c r="P223" s="212" t="s">
        <v>674</v>
      </c>
      <c r="R223" s="212">
        <v>129</v>
      </c>
      <c r="S223" s="479">
        <v>44225</v>
      </c>
      <c r="T223" s="212" t="s">
        <v>3164</v>
      </c>
      <c r="U223" s="475">
        <f>33000000-12100000</f>
        <v>20900000</v>
      </c>
      <c r="V223" s="444">
        <v>12100000</v>
      </c>
      <c r="W223" s="398"/>
      <c r="X223" s="308">
        <v>234</v>
      </c>
      <c r="Y223" s="484">
        <v>44260</v>
      </c>
      <c r="Z223" s="484">
        <v>44260</v>
      </c>
      <c r="AA223" s="484">
        <v>44545</v>
      </c>
      <c r="AB223" s="485" t="s">
        <v>2650</v>
      </c>
      <c r="AC223" s="211">
        <v>167</v>
      </c>
      <c r="AD223" s="485" t="s">
        <v>3165</v>
      </c>
      <c r="AE223" s="486" t="s">
        <v>3166</v>
      </c>
      <c r="AF223" s="473">
        <v>20900000</v>
      </c>
      <c r="AG223" s="474">
        <f t="shared" si="3"/>
        <v>0</v>
      </c>
      <c r="AK223" s="475">
        <v>1906667</v>
      </c>
      <c r="AL223" s="475">
        <v>2200000</v>
      </c>
      <c r="AM223" s="306">
        <v>2200000</v>
      </c>
      <c r="AQ223" s="504"/>
      <c r="AR223" s="505"/>
      <c r="AS223" s="506"/>
    </row>
    <row r="224" spans="1:45" hidden="1" x14ac:dyDescent="0.3">
      <c r="A224" s="476" t="s">
        <v>2139</v>
      </c>
      <c r="B224" s="419">
        <v>37612975</v>
      </c>
      <c r="C224" s="212" t="s">
        <v>2646</v>
      </c>
      <c r="D224" s="478">
        <v>220</v>
      </c>
      <c r="E224" s="478">
        <v>20217000005603</v>
      </c>
      <c r="F224" s="479">
        <v>44237</v>
      </c>
      <c r="G224" s="478" t="s">
        <v>2647</v>
      </c>
      <c r="H224" s="212" t="s">
        <v>2648</v>
      </c>
      <c r="I224" s="212" t="s">
        <v>164</v>
      </c>
      <c r="J224" s="475">
        <v>29981358</v>
      </c>
      <c r="K224" s="212" t="s">
        <v>138</v>
      </c>
      <c r="L224" s="212" t="s">
        <v>139</v>
      </c>
      <c r="M224" s="212" t="s">
        <v>44</v>
      </c>
      <c r="N224" s="212" t="s">
        <v>45</v>
      </c>
      <c r="O224" s="212" t="s">
        <v>142</v>
      </c>
      <c r="P224" s="212" t="s">
        <v>43</v>
      </c>
      <c r="R224" s="212">
        <v>232</v>
      </c>
      <c r="S224" s="479">
        <v>44238</v>
      </c>
      <c r="T224" s="212" t="s">
        <v>3167</v>
      </c>
      <c r="U224" s="475">
        <v>29981358</v>
      </c>
      <c r="V224" s="406"/>
      <c r="W224" s="362"/>
      <c r="X224" s="483">
        <v>180</v>
      </c>
      <c r="Y224" s="484">
        <v>44250</v>
      </c>
      <c r="Z224" s="484">
        <v>44250</v>
      </c>
      <c r="AA224" s="484">
        <v>44431</v>
      </c>
      <c r="AB224" s="485" t="s">
        <v>2650</v>
      </c>
      <c r="AC224" s="483">
        <v>124</v>
      </c>
      <c r="AD224" s="485">
        <v>1010175004</v>
      </c>
      <c r="AE224" s="486" t="s">
        <v>3168</v>
      </c>
      <c r="AF224" s="473">
        <v>29981358</v>
      </c>
      <c r="AG224" s="474">
        <f t="shared" si="3"/>
        <v>0</v>
      </c>
      <c r="AL224" s="475">
        <v>5996272</v>
      </c>
      <c r="AM224" s="212"/>
      <c r="AQ224" s="507"/>
      <c r="AR224" s="508"/>
      <c r="AS224" s="509"/>
    </row>
    <row r="225" spans="1:50" ht="15" hidden="1" customHeight="1" x14ac:dyDescent="0.3">
      <c r="B225" s="477" t="s">
        <v>2683</v>
      </c>
      <c r="C225" s="212" t="s">
        <v>2646</v>
      </c>
      <c r="D225" s="478">
        <v>221</v>
      </c>
      <c r="E225" s="478">
        <v>20211200007523</v>
      </c>
      <c r="F225" s="479">
        <v>44239</v>
      </c>
      <c r="G225" s="478" t="s">
        <v>2647</v>
      </c>
      <c r="H225" s="212" t="s">
        <v>2648</v>
      </c>
      <c r="I225" s="212" t="s">
        <v>143</v>
      </c>
      <c r="J225" s="475">
        <v>6666666</v>
      </c>
      <c r="K225" s="212" t="s">
        <v>138</v>
      </c>
      <c r="L225" s="212" t="s">
        <v>139</v>
      </c>
      <c r="M225" s="212" t="s">
        <v>44</v>
      </c>
      <c r="N225" s="212" t="s">
        <v>45</v>
      </c>
      <c r="O225" s="212" t="s">
        <v>142</v>
      </c>
      <c r="P225" s="212" t="s">
        <v>43</v>
      </c>
      <c r="R225" s="212">
        <v>233</v>
      </c>
      <c r="S225" s="479">
        <v>44239</v>
      </c>
      <c r="T225" s="212" t="s">
        <v>3169</v>
      </c>
      <c r="U225" s="475">
        <v>6666666</v>
      </c>
      <c r="V225" s="406"/>
      <c r="W225" s="362"/>
      <c r="X225" s="483">
        <v>134</v>
      </c>
      <c r="Y225" s="484">
        <v>44242</v>
      </c>
      <c r="Z225" s="484">
        <v>44243</v>
      </c>
      <c r="AA225" s="484">
        <v>44291</v>
      </c>
      <c r="AB225" s="485" t="s">
        <v>2650</v>
      </c>
      <c r="AC225" s="483">
        <v>561</v>
      </c>
      <c r="AD225" s="485">
        <v>1140414919</v>
      </c>
      <c r="AE225" s="486" t="s">
        <v>3170</v>
      </c>
      <c r="AF225" s="473">
        <v>6666666</v>
      </c>
      <c r="AG225" s="474">
        <f t="shared" si="3"/>
        <v>0</v>
      </c>
      <c r="AJ225" s="475">
        <v>4000000</v>
      </c>
      <c r="AK225" s="475">
        <v>2000000</v>
      </c>
      <c r="AL225" s="475">
        <v>666666</v>
      </c>
      <c r="AM225" s="212"/>
      <c r="AQ225" s="507"/>
      <c r="AR225" s="508"/>
      <c r="AS225" s="509"/>
    </row>
    <row r="226" spans="1:50" ht="15" hidden="1" customHeight="1" x14ac:dyDescent="0.3">
      <c r="A226" s="476" t="s">
        <v>2371</v>
      </c>
      <c r="B226" s="417">
        <v>7500000</v>
      </c>
      <c r="C226" s="212" t="s">
        <v>2646</v>
      </c>
      <c r="D226" s="478">
        <v>222</v>
      </c>
      <c r="E226" s="478">
        <v>20211200007593</v>
      </c>
      <c r="F226" s="479">
        <v>44239</v>
      </c>
      <c r="G226" s="478" t="s">
        <v>2647</v>
      </c>
      <c r="H226" s="212" t="s">
        <v>2648</v>
      </c>
      <c r="I226" s="212" t="s">
        <v>143</v>
      </c>
      <c r="J226" s="475">
        <v>7500000</v>
      </c>
      <c r="K226" s="212" t="s">
        <v>138</v>
      </c>
      <c r="L226" s="212" t="s">
        <v>139</v>
      </c>
      <c r="M226" s="212" t="s">
        <v>44</v>
      </c>
      <c r="N226" s="212" t="s">
        <v>45</v>
      </c>
      <c r="O226" s="212" t="s">
        <v>142</v>
      </c>
      <c r="P226" s="212" t="s">
        <v>43</v>
      </c>
      <c r="R226" s="212">
        <v>236</v>
      </c>
      <c r="S226" s="479">
        <v>44242</v>
      </c>
      <c r="T226" s="212" t="s">
        <v>3171</v>
      </c>
      <c r="U226" s="475">
        <v>7500000</v>
      </c>
      <c r="V226" s="406"/>
      <c r="W226" s="362"/>
      <c r="X226" s="483">
        <v>179</v>
      </c>
      <c r="Y226" s="484">
        <v>44249</v>
      </c>
      <c r="Z226" s="484">
        <v>44249</v>
      </c>
      <c r="AA226" s="484">
        <v>44338</v>
      </c>
      <c r="AB226" s="485" t="s">
        <v>2650</v>
      </c>
      <c r="AC226" s="483">
        <v>116</v>
      </c>
      <c r="AD226" s="485">
        <v>1032485670</v>
      </c>
      <c r="AE226" s="486" t="s">
        <v>3172</v>
      </c>
      <c r="AF226" s="473">
        <v>7500000</v>
      </c>
      <c r="AG226" s="474">
        <f t="shared" si="3"/>
        <v>0</v>
      </c>
      <c r="AK226" s="475">
        <f>583333+2500000</f>
        <v>3083333</v>
      </c>
      <c r="AL226" s="475">
        <v>2500000</v>
      </c>
      <c r="AM226" s="212"/>
      <c r="AQ226" s="507"/>
      <c r="AR226" s="508"/>
      <c r="AS226" s="509"/>
    </row>
    <row r="227" spans="1:50" ht="15" hidden="1" customHeight="1" x14ac:dyDescent="0.3">
      <c r="A227" s="494" t="s">
        <v>2502</v>
      </c>
      <c r="B227" s="495">
        <v>144585266</v>
      </c>
      <c r="C227" s="212" t="s">
        <v>2646</v>
      </c>
      <c r="D227" s="478">
        <v>223</v>
      </c>
      <c r="E227" s="478">
        <v>20212000006253</v>
      </c>
      <c r="F227" s="479">
        <v>44236</v>
      </c>
      <c r="G227" s="478" t="s">
        <v>2640</v>
      </c>
      <c r="H227" s="212" t="s">
        <v>2641</v>
      </c>
      <c r="I227" s="212" t="s">
        <v>391</v>
      </c>
      <c r="J227" s="475">
        <v>128656500</v>
      </c>
      <c r="K227" s="210" t="s">
        <v>2711</v>
      </c>
      <c r="L227" s="212" t="s">
        <v>2712</v>
      </c>
      <c r="M227" s="212" t="s">
        <v>44</v>
      </c>
      <c r="N227" s="212" t="s">
        <v>45</v>
      </c>
      <c r="O227" s="212" t="s">
        <v>63</v>
      </c>
      <c r="P227" s="212" t="s">
        <v>674</v>
      </c>
      <c r="R227" s="212">
        <v>221</v>
      </c>
      <c r="S227" s="479">
        <v>44236</v>
      </c>
      <c r="T227" s="212" t="s">
        <v>3173</v>
      </c>
      <c r="U227" s="475">
        <f>128656500-12253000</f>
        <v>116403500</v>
      </c>
      <c r="V227" s="411">
        <v>12253000</v>
      </c>
      <c r="W227" s="397"/>
      <c r="X227" s="308">
        <v>235</v>
      </c>
      <c r="Y227" s="484">
        <v>44260</v>
      </c>
      <c r="Z227" s="484">
        <v>44260</v>
      </c>
      <c r="AA227" s="484">
        <v>44260</v>
      </c>
      <c r="AB227" s="485" t="s">
        <v>2650</v>
      </c>
      <c r="AC227" s="211">
        <v>166</v>
      </c>
      <c r="AD227" s="485" t="s">
        <v>3174</v>
      </c>
      <c r="AE227" s="486" t="s">
        <v>3175</v>
      </c>
      <c r="AF227" s="473">
        <v>116403500</v>
      </c>
      <c r="AG227" s="474">
        <f t="shared" si="3"/>
        <v>0</v>
      </c>
      <c r="AK227" s="475">
        <v>10619267</v>
      </c>
      <c r="AL227" s="475">
        <v>12253000</v>
      </c>
      <c r="AM227" s="306">
        <v>12253000</v>
      </c>
      <c r="AQ227" s="507"/>
      <c r="AR227" s="508"/>
      <c r="AS227" s="509"/>
    </row>
    <row r="228" spans="1:50" ht="15" hidden="1" customHeight="1" x14ac:dyDescent="0.3">
      <c r="A228" s="476" t="s">
        <v>2251</v>
      </c>
      <c r="B228" s="477">
        <v>55000000</v>
      </c>
      <c r="C228" s="212" t="s">
        <v>2646</v>
      </c>
      <c r="D228" s="212">
        <v>224</v>
      </c>
      <c r="E228" s="478">
        <v>20217000002473</v>
      </c>
      <c r="F228" s="479">
        <v>44229</v>
      </c>
      <c r="G228" s="478" t="s">
        <v>2647</v>
      </c>
      <c r="H228" s="212" t="s">
        <v>2648</v>
      </c>
      <c r="I228" s="212" t="s">
        <v>164</v>
      </c>
      <c r="J228" s="475">
        <v>24530202</v>
      </c>
      <c r="K228" s="212" t="s">
        <v>138</v>
      </c>
      <c r="L228" s="212" t="s">
        <v>139</v>
      </c>
      <c r="M228" s="212" t="s">
        <v>44</v>
      </c>
      <c r="N228" s="212" t="s">
        <v>45</v>
      </c>
      <c r="O228" s="212" t="s">
        <v>142</v>
      </c>
      <c r="P228" s="212" t="s">
        <v>43</v>
      </c>
      <c r="R228" s="212">
        <v>175</v>
      </c>
      <c r="S228" s="479">
        <v>44229</v>
      </c>
      <c r="T228" s="212" t="s">
        <v>3176</v>
      </c>
      <c r="U228" s="475">
        <f>24530202</f>
        <v>24530202</v>
      </c>
      <c r="V228" s="406"/>
      <c r="W228" s="362"/>
      <c r="X228" s="308">
        <v>236</v>
      </c>
      <c r="Y228" s="484">
        <v>44260</v>
      </c>
      <c r="Z228" s="484">
        <v>44260</v>
      </c>
      <c r="AA228" s="484">
        <v>44382</v>
      </c>
      <c r="AB228" s="485" t="s">
        <v>2650</v>
      </c>
      <c r="AC228" s="211">
        <v>173</v>
      </c>
      <c r="AD228" s="485" t="s">
        <v>3177</v>
      </c>
      <c r="AE228" s="486" t="s">
        <v>3178</v>
      </c>
      <c r="AF228" s="473">
        <v>16353468</v>
      </c>
      <c r="AG228" s="474">
        <f t="shared" si="3"/>
        <v>8176734</v>
      </c>
      <c r="AK228" s="475">
        <v>3543251</v>
      </c>
      <c r="AL228" s="475">
        <v>4088367</v>
      </c>
      <c r="AM228" s="306">
        <v>4088367</v>
      </c>
      <c r="AQ228" s="507"/>
      <c r="AR228" s="508"/>
      <c r="AS228" s="509"/>
    </row>
    <row r="229" spans="1:50" s="312" customFormat="1" ht="15.75" hidden="1" customHeight="1" x14ac:dyDescent="0.3">
      <c r="A229" s="361"/>
      <c r="B229" s="420" t="s">
        <v>2683</v>
      </c>
      <c r="C229" s="312" t="s">
        <v>3179</v>
      </c>
      <c r="D229" s="325">
        <v>225</v>
      </c>
      <c r="E229" s="325">
        <v>20214000007813</v>
      </c>
      <c r="F229" s="315">
        <v>44239</v>
      </c>
      <c r="G229" s="325" t="s">
        <v>2680</v>
      </c>
      <c r="H229" s="312" t="s">
        <v>2681</v>
      </c>
      <c r="I229" s="312" t="s">
        <v>47</v>
      </c>
      <c r="J229" s="406">
        <v>10749742</v>
      </c>
      <c r="K229" s="312" t="s">
        <v>37</v>
      </c>
      <c r="L229" s="510" t="s">
        <v>3180</v>
      </c>
      <c r="M229" s="312" t="s">
        <v>44</v>
      </c>
      <c r="N229" s="312" t="s">
        <v>45</v>
      </c>
      <c r="O229" s="212" t="s">
        <v>310</v>
      </c>
      <c r="P229" s="312" t="s">
        <v>43</v>
      </c>
      <c r="R229" s="312">
        <v>238</v>
      </c>
      <c r="S229" s="315">
        <v>44242</v>
      </c>
      <c r="T229" s="312" t="s">
        <v>3181</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3">
      <c r="A230" s="476" t="s">
        <v>2142</v>
      </c>
      <c r="B230" s="477">
        <v>36000000</v>
      </c>
      <c r="C230" s="212" t="s">
        <v>2762</v>
      </c>
      <c r="D230" s="478">
        <v>226</v>
      </c>
      <c r="E230" s="478">
        <v>20213000007853</v>
      </c>
      <c r="F230" s="479">
        <v>44243</v>
      </c>
      <c r="G230" s="478" t="s">
        <v>2640</v>
      </c>
      <c r="H230" s="212" t="s">
        <v>2641</v>
      </c>
      <c r="I230" s="212" t="s">
        <v>432</v>
      </c>
      <c r="J230" s="475">
        <v>16353468</v>
      </c>
      <c r="K230" s="212" t="s">
        <v>358</v>
      </c>
      <c r="L230" s="212" t="s">
        <v>2791</v>
      </c>
      <c r="M230" s="212" t="s">
        <v>44</v>
      </c>
      <c r="N230" s="212" t="s">
        <v>45</v>
      </c>
      <c r="O230" s="212" t="s">
        <v>63</v>
      </c>
      <c r="P230" s="212" t="s">
        <v>674</v>
      </c>
      <c r="R230" s="212">
        <v>240</v>
      </c>
      <c r="S230" s="479">
        <v>44243</v>
      </c>
      <c r="T230" s="212" t="s">
        <v>3182</v>
      </c>
      <c r="U230" s="475">
        <v>16353468</v>
      </c>
      <c r="V230" s="406"/>
      <c r="W230" s="362"/>
      <c r="X230" s="483">
        <v>201</v>
      </c>
      <c r="Y230" s="484">
        <v>44253</v>
      </c>
      <c r="Z230" s="484">
        <v>44253</v>
      </c>
      <c r="AA230" s="484">
        <v>44373</v>
      </c>
      <c r="AB230" s="485" t="s">
        <v>2650</v>
      </c>
      <c r="AC230" s="483">
        <v>139</v>
      </c>
      <c r="AD230" s="485">
        <v>1014246288</v>
      </c>
      <c r="AE230" s="486" t="s">
        <v>3183</v>
      </c>
      <c r="AF230" s="473">
        <v>16353468</v>
      </c>
      <c r="AG230" s="474">
        <f t="shared" si="3"/>
        <v>0</v>
      </c>
      <c r="AK230" s="475">
        <v>4088367</v>
      </c>
      <c r="AL230" s="475">
        <v>4088367</v>
      </c>
      <c r="AM230" s="306">
        <v>4088367</v>
      </c>
      <c r="AQ230" s="507"/>
      <c r="AR230" s="508"/>
      <c r="AS230" s="509"/>
    </row>
    <row r="231" spans="1:50" ht="13.5" hidden="1" customHeight="1" x14ac:dyDescent="0.3">
      <c r="A231" s="476" t="s">
        <v>2135</v>
      </c>
      <c r="B231" s="477">
        <v>39500000</v>
      </c>
      <c r="C231" s="212" t="s">
        <v>2646</v>
      </c>
      <c r="D231" s="478">
        <v>227</v>
      </c>
      <c r="E231" s="478">
        <v>20214000004803</v>
      </c>
      <c r="F231" s="479">
        <v>44229</v>
      </c>
      <c r="G231" s="478" t="s">
        <v>2673</v>
      </c>
      <c r="H231" s="212" t="s">
        <v>2674</v>
      </c>
      <c r="I231" s="212" t="s">
        <v>117</v>
      </c>
      <c r="J231" s="475">
        <v>31600000</v>
      </c>
      <c r="K231" s="212" t="s">
        <v>112</v>
      </c>
      <c r="L231" s="212" t="s">
        <v>2675</v>
      </c>
      <c r="M231" s="212" t="s">
        <v>44</v>
      </c>
      <c r="N231" s="212" t="s">
        <v>45</v>
      </c>
      <c r="O231" s="212" t="s">
        <v>63</v>
      </c>
      <c r="P231" s="212" t="s">
        <v>43</v>
      </c>
      <c r="R231" s="212">
        <v>173</v>
      </c>
      <c r="S231" s="479">
        <v>44229</v>
      </c>
      <c r="T231" s="212" t="s">
        <v>3184</v>
      </c>
      <c r="U231" s="475">
        <v>31600000</v>
      </c>
      <c r="V231" s="406"/>
      <c r="W231" s="362"/>
      <c r="X231" s="308">
        <v>237</v>
      </c>
      <c r="Y231" s="484">
        <v>44260</v>
      </c>
      <c r="Z231" s="484">
        <v>44260</v>
      </c>
      <c r="AA231" s="484">
        <v>44505</v>
      </c>
      <c r="AB231" s="485" t="s">
        <v>2650</v>
      </c>
      <c r="AC231" s="211">
        <v>171</v>
      </c>
      <c r="AD231" s="485" t="s">
        <v>3185</v>
      </c>
      <c r="AE231" s="486" t="s">
        <v>3186</v>
      </c>
      <c r="AF231" s="473">
        <v>31600000</v>
      </c>
      <c r="AG231" s="474">
        <f t="shared" si="3"/>
        <v>0</v>
      </c>
      <c r="AK231" s="475">
        <v>3423333</v>
      </c>
      <c r="AL231" s="475">
        <v>3950000</v>
      </c>
      <c r="AM231" s="306">
        <v>3950000</v>
      </c>
      <c r="AQ231" s="507"/>
      <c r="AR231" s="508"/>
      <c r="AS231" s="509"/>
    </row>
    <row r="232" spans="1:50" ht="13.5" hidden="1" customHeight="1" x14ac:dyDescent="0.3">
      <c r="A232" s="476" t="s">
        <v>2140</v>
      </c>
      <c r="B232" s="477">
        <v>18568000</v>
      </c>
      <c r="C232" s="212" t="s">
        <v>3187</v>
      </c>
      <c r="D232" s="478">
        <v>228</v>
      </c>
      <c r="E232" s="309">
        <v>20213000009223</v>
      </c>
      <c r="F232" s="479">
        <v>44252</v>
      </c>
      <c r="G232" s="478" t="s">
        <v>2640</v>
      </c>
      <c r="H232" s="212" t="s">
        <v>2641</v>
      </c>
      <c r="I232" s="212" t="s">
        <v>432</v>
      </c>
      <c r="J232" s="475">
        <v>18160000</v>
      </c>
      <c r="K232" s="212" t="s">
        <v>342</v>
      </c>
      <c r="L232" s="212" t="s">
        <v>351</v>
      </c>
      <c r="M232" s="212" t="s">
        <v>44</v>
      </c>
      <c r="N232" s="212" t="s">
        <v>45</v>
      </c>
      <c r="O232" s="212" t="s">
        <v>63</v>
      </c>
      <c r="P232" s="212" t="s">
        <v>674</v>
      </c>
      <c r="R232" s="486">
        <v>301</v>
      </c>
      <c r="S232" s="490">
        <v>44252</v>
      </c>
      <c r="T232" s="486" t="s">
        <v>3188</v>
      </c>
      <c r="U232" s="475">
        <v>18160000</v>
      </c>
      <c r="V232" s="406"/>
      <c r="W232" s="362"/>
      <c r="X232" s="308">
        <v>238</v>
      </c>
      <c r="Y232" s="484">
        <v>44260</v>
      </c>
      <c r="Z232" s="484">
        <v>44260</v>
      </c>
      <c r="AA232" s="484">
        <v>44505</v>
      </c>
      <c r="AB232" s="485" t="s">
        <v>2650</v>
      </c>
      <c r="AC232" s="211">
        <v>169</v>
      </c>
      <c r="AD232" s="485" t="s">
        <v>3189</v>
      </c>
      <c r="AE232" s="486" t="s">
        <v>3190</v>
      </c>
      <c r="AF232" s="473">
        <v>18160000</v>
      </c>
      <c r="AG232" s="474">
        <f t="shared" si="3"/>
        <v>0</v>
      </c>
      <c r="AK232" s="475">
        <v>1967333</v>
      </c>
      <c r="AL232" s="475">
        <v>2270000</v>
      </c>
      <c r="AM232" s="306">
        <v>2270000</v>
      </c>
      <c r="AQ232" s="507"/>
      <c r="AR232" s="508"/>
      <c r="AS232" s="509"/>
    </row>
    <row r="233" spans="1:50" ht="13.5" hidden="1" customHeight="1" x14ac:dyDescent="0.3">
      <c r="B233" s="501" t="s">
        <v>3016</v>
      </c>
      <c r="C233" s="212" t="s">
        <v>2762</v>
      </c>
      <c r="D233" s="478">
        <v>229</v>
      </c>
      <c r="E233" s="478">
        <v>20217000008063</v>
      </c>
      <c r="F233" s="479">
        <v>44243</v>
      </c>
      <c r="G233" s="478" t="s">
        <v>2647</v>
      </c>
      <c r="H233" s="212" t="s">
        <v>2648</v>
      </c>
      <c r="I233" s="212" t="s">
        <v>164</v>
      </c>
      <c r="J233" s="475">
        <v>6144620</v>
      </c>
      <c r="K233" s="212" t="s">
        <v>138</v>
      </c>
      <c r="L233" s="212" t="s">
        <v>139</v>
      </c>
      <c r="M233" s="212" t="s">
        <v>44</v>
      </c>
      <c r="N233" s="212" t="s">
        <v>45</v>
      </c>
      <c r="O233" s="212" t="s">
        <v>142</v>
      </c>
      <c r="P233" s="212" t="s">
        <v>43</v>
      </c>
      <c r="R233" s="212">
        <v>245</v>
      </c>
      <c r="S233" s="479">
        <v>44243</v>
      </c>
      <c r="T233" s="212" t="s">
        <v>3191</v>
      </c>
      <c r="U233" s="475">
        <v>6144620</v>
      </c>
      <c r="V233" s="406"/>
      <c r="W233" s="362"/>
      <c r="X233" s="483">
        <v>203</v>
      </c>
      <c r="Y233" s="484">
        <v>44253</v>
      </c>
      <c r="Z233" s="484">
        <v>44254</v>
      </c>
      <c r="AA233" s="484">
        <v>44312</v>
      </c>
      <c r="AB233" s="485" t="s">
        <v>2650</v>
      </c>
      <c r="AC233" s="483">
        <v>524</v>
      </c>
      <c r="AD233" s="485">
        <v>1030662898</v>
      </c>
      <c r="AE233" s="486" t="s">
        <v>3192</v>
      </c>
      <c r="AF233" s="473">
        <v>6144620</v>
      </c>
      <c r="AG233" s="474">
        <f t="shared" si="3"/>
        <v>0</v>
      </c>
      <c r="AJ233" s="475">
        <v>3072310</v>
      </c>
      <c r="AK233" s="475">
        <v>3072310</v>
      </c>
      <c r="AM233" s="212"/>
      <c r="AQ233" s="507"/>
      <c r="AR233" s="508"/>
      <c r="AS233" s="509"/>
    </row>
    <row r="234" spans="1:50" ht="13.5" hidden="1" customHeight="1" x14ac:dyDescent="0.3">
      <c r="B234" s="501" t="s">
        <v>2683</v>
      </c>
      <c r="C234" s="212" t="s">
        <v>2646</v>
      </c>
      <c r="D234" s="478">
        <v>230</v>
      </c>
      <c r="E234" s="478">
        <v>20217000008093</v>
      </c>
      <c r="F234" s="479">
        <v>44243</v>
      </c>
      <c r="G234" s="478" t="s">
        <v>2647</v>
      </c>
      <c r="H234" s="212" t="s">
        <v>2648</v>
      </c>
      <c r="I234" s="212" t="s">
        <v>164</v>
      </c>
      <c r="J234" s="475">
        <v>16000000</v>
      </c>
      <c r="K234" s="212" t="s">
        <v>138</v>
      </c>
      <c r="L234" s="212" t="s">
        <v>139</v>
      </c>
      <c r="M234" s="212" t="s">
        <v>44</v>
      </c>
      <c r="N234" s="212" t="s">
        <v>45</v>
      </c>
      <c r="O234" s="212" t="s">
        <v>142</v>
      </c>
      <c r="P234" s="212" t="s">
        <v>43</v>
      </c>
      <c r="R234" s="212">
        <v>246</v>
      </c>
      <c r="S234" s="479">
        <v>44243</v>
      </c>
      <c r="T234" s="212" t="s">
        <v>3193</v>
      </c>
      <c r="U234" s="475">
        <v>16000000</v>
      </c>
      <c r="V234" s="406"/>
      <c r="W234" s="362"/>
      <c r="X234" s="483">
        <v>168</v>
      </c>
      <c r="Y234" s="484">
        <v>44246</v>
      </c>
      <c r="Z234" s="484">
        <v>44248</v>
      </c>
      <c r="AA234" s="484">
        <v>44306</v>
      </c>
      <c r="AB234" s="485" t="s">
        <v>2650</v>
      </c>
      <c r="AC234" s="483">
        <v>510</v>
      </c>
      <c r="AD234" s="485">
        <v>53011075</v>
      </c>
      <c r="AE234" s="486" t="s">
        <v>3194</v>
      </c>
      <c r="AF234" s="473">
        <v>16000000</v>
      </c>
      <c r="AG234" s="474">
        <f t="shared" si="3"/>
        <v>0</v>
      </c>
      <c r="AL234" s="475">
        <v>10666667</v>
      </c>
      <c r="AM234" s="212"/>
      <c r="AQ234" s="507"/>
      <c r="AR234" s="508"/>
      <c r="AS234" s="509"/>
    </row>
    <row r="235" spans="1:50" ht="15" hidden="1" customHeight="1" x14ac:dyDescent="0.3">
      <c r="A235" s="476" t="s">
        <v>2257</v>
      </c>
      <c r="B235" s="477">
        <v>60000000</v>
      </c>
      <c r="C235" s="212" t="s">
        <v>2762</v>
      </c>
      <c r="D235" s="478">
        <v>231</v>
      </c>
      <c r="E235" s="309">
        <v>20217000010173</v>
      </c>
      <c r="F235" s="310">
        <v>44251</v>
      </c>
      <c r="G235" s="478" t="s">
        <v>2647</v>
      </c>
      <c r="H235" s="212" t="s">
        <v>2648</v>
      </c>
      <c r="I235" s="212" t="s">
        <v>164</v>
      </c>
      <c r="J235" s="475">
        <v>57237138</v>
      </c>
      <c r="K235" s="212" t="s">
        <v>138</v>
      </c>
      <c r="L235" s="212" t="s">
        <v>139</v>
      </c>
      <c r="M235" s="212" t="s">
        <v>44</v>
      </c>
      <c r="N235" s="212" t="s">
        <v>45</v>
      </c>
      <c r="O235" s="212" t="s">
        <v>142</v>
      </c>
      <c r="P235" s="212" t="s">
        <v>43</v>
      </c>
      <c r="R235" s="486">
        <v>293</v>
      </c>
      <c r="S235" s="490">
        <v>44251</v>
      </c>
      <c r="T235" s="486" t="s">
        <v>3195</v>
      </c>
      <c r="U235" s="475">
        <v>57237138</v>
      </c>
      <c r="V235" s="406"/>
      <c r="W235" s="362"/>
      <c r="X235" s="308">
        <v>239</v>
      </c>
      <c r="Y235" s="484">
        <v>44260</v>
      </c>
      <c r="Z235" s="484">
        <v>44260</v>
      </c>
      <c r="AA235" s="484">
        <v>44474</v>
      </c>
      <c r="AB235" s="485" t="s">
        <v>2650</v>
      </c>
      <c r="AC235" s="211">
        <v>170</v>
      </c>
      <c r="AD235" s="485" t="s">
        <v>3196</v>
      </c>
      <c r="AE235" s="486" t="s">
        <v>3197</v>
      </c>
      <c r="AF235" s="473">
        <v>57237138</v>
      </c>
      <c r="AG235" s="474">
        <f t="shared" si="3"/>
        <v>0</v>
      </c>
      <c r="AK235" s="475">
        <v>7359060</v>
      </c>
      <c r="AL235" s="475">
        <v>8176734</v>
      </c>
      <c r="AM235" s="306">
        <v>8176734</v>
      </c>
      <c r="AQ235" s="507"/>
      <c r="AR235" s="508"/>
      <c r="AS235" s="509"/>
    </row>
    <row r="236" spans="1:50" ht="15" hidden="1" customHeight="1" x14ac:dyDescent="0.3">
      <c r="A236" s="476" t="s">
        <v>2477</v>
      </c>
      <c r="B236" s="477">
        <v>21804624</v>
      </c>
      <c r="C236" s="212" t="s">
        <v>2646</v>
      </c>
      <c r="D236" s="478">
        <v>232</v>
      </c>
      <c r="E236" s="478">
        <v>20211300005553</v>
      </c>
      <c r="F236" s="479">
        <v>44230</v>
      </c>
      <c r="G236" s="478" t="s">
        <v>2647</v>
      </c>
      <c r="H236" s="212" t="s">
        <v>2648</v>
      </c>
      <c r="I236" s="212" t="s">
        <v>210</v>
      </c>
      <c r="J236" s="475">
        <v>21804624</v>
      </c>
      <c r="K236" s="212" t="s">
        <v>138</v>
      </c>
      <c r="L236" s="212" t="s">
        <v>139</v>
      </c>
      <c r="M236" s="212" t="s">
        <v>44</v>
      </c>
      <c r="N236" s="212" t="s">
        <v>45</v>
      </c>
      <c r="O236" s="212" t="s">
        <v>142</v>
      </c>
      <c r="P236" s="212" t="s">
        <v>43</v>
      </c>
      <c r="R236" s="212">
        <v>194</v>
      </c>
      <c r="S236" s="479">
        <v>44230</v>
      </c>
      <c r="T236" s="212" t="s">
        <v>3198</v>
      </c>
      <c r="U236" s="475">
        <v>21804624</v>
      </c>
      <c r="V236" s="406"/>
      <c r="W236" s="362"/>
      <c r="X236" s="308">
        <v>240</v>
      </c>
      <c r="Y236" s="484">
        <v>44260</v>
      </c>
      <c r="Z236" s="484">
        <v>44260</v>
      </c>
      <c r="AA236" s="484">
        <v>44382</v>
      </c>
      <c r="AB236" s="485" t="s">
        <v>2650</v>
      </c>
      <c r="AC236" s="211">
        <v>172</v>
      </c>
      <c r="AD236" s="485" t="s">
        <v>3199</v>
      </c>
      <c r="AE236" s="486" t="s">
        <v>3200</v>
      </c>
      <c r="AF236" s="473">
        <v>21804624</v>
      </c>
      <c r="AG236" s="474">
        <f t="shared" si="3"/>
        <v>0</v>
      </c>
      <c r="AK236" s="475">
        <v>4724335</v>
      </c>
      <c r="AL236" s="475">
        <v>5451156</v>
      </c>
      <c r="AM236" s="306">
        <v>5451156</v>
      </c>
      <c r="AQ236" s="507"/>
      <c r="AR236" s="508"/>
      <c r="AS236" s="509"/>
    </row>
    <row r="237" spans="1:50" ht="15" hidden="1" customHeight="1" x14ac:dyDescent="0.3">
      <c r="A237" s="476" t="s">
        <v>1937</v>
      </c>
      <c r="B237" s="477">
        <v>78234000</v>
      </c>
      <c r="C237" s="212" t="s">
        <v>2646</v>
      </c>
      <c r="D237" s="478">
        <v>233</v>
      </c>
      <c r="E237" s="478">
        <v>20212000007973</v>
      </c>
      <c r="F237" s="479">
        <v>44243</v>
      </c>
      <c r="G237" s="478" t="s">
        <v>2640</v>
      </c>
      <c r="H237" s="212" t="s">
        <v>2641</v>
      </c>
      <c r="I237" s="212" t="s">
        <v>391</v>
      </c>
      <c r="J237" s="475">
        <v>66300000</v>
      </c>
      <c r="K237" s="210" t="s">
        <v>2711</v>
      </c>
      <c r="L237" s="212" t="s">
        <v>2712</v>
      </c>
      <c r="M237" s="212" t="s">
        <v>44</v>
      </c>
      <c r="N237" s="212" t="s">
        <v>45</v>
      </c>
      <c r="O237" s="212" t="s">
        <v>63</v>
      </c>
      <c r="P237" s="212" t="s">
        <v>674</v>
      </c>
      <c r="R237" s="212">
        <v>244</v>
      </c>
      <c r="S237" s="479">
        <v>44243</v>
      </c>
      <c r="T237" s="212" t="s">
        <v>3201</v>
      </c>
      <c r="U237" s="475">
        <v>66300000</v>
      </c>
      <c r="V237" s="406"/>
      <c r="W237" s="362"/>
      <c r="X237" s="483">
        <v>202</v>
      </c>
      <c r="Y237" s="484">
        <v>44253</v>
      </c>
      <c r="Z237" s="484">
        <v>44253</v>
      </c>
      <c r="AA237" s="484">
        <v>44556</v>
      </c>
      <c r="AB237" s="485" t="s">
        <v>2650</v>
      </c>
      <c r="AC237" s="483">
        <v>141</v>
      </c>
      <c r="AD237" s="485">
        <v>1012359881</v>
      </c>
      <c r="AE237" s="486" t="s">
        <v>3202</v>
      </c>
      <c r="AF237" s="473">
        <v>66300000</v>
      </c>
      <c r="AG237" s="474">
        <f t="shared" si="3"/>
        <v>0</v>
      </c>
      <c r="AK237" s="475">
        <v>6630000</v>
      </c>
      <c r="AL237" s="475">
        <v>6630000</v>
      </c>
      <c r="AM237" s="306">
        <v>6630000</v>
      </c>
      <c r="AQ237" s="507"/>
      <c r="AR237" s="508"/>
      <c r="AS237" s="509"/>
    </row>
    <row r="238" spans="1:50" ht="15" hidden="1" customHeight="1" x14ac:dyDescent="0.3">
      <c r="B238" s="501"/>
      <c r="C238" s="212" t="s">
        <v>3203</v>
      </c>
      <c r="D238" s="309">
        <v>234</v>
      </c>
      <c r="E238" s="309">
        <v>20215000008993</v>
      </c>
      <c r="F238" s="479">
        <v>44245</v>
      </c>
      <c r="G238" s="478" t="s">
        <v>2640</v>
      </c>
      <c r="H238" s="212" t="s">
        <v>2641</v>
      </c>
      <c r="I238" s="212" t="s">
        <v>228</v>
      </c>
      <c r="J238" s="475">
        <v>9500000</v>
      </c>
      <c r="K238" s="212" t="s">
        <v>223</v>
      </c>
      <c r="L238" s="212" t="s">
        <v>257</v>
      </c>
      <c r="M238" s="212" t="s">
        <v>44</v>
      </c>
      <c r="N238" s="212" t="s">
        <v>45</v>
      </c>
      <c r="O238" s="212" t="s">
        <v>46</v>
      </c>
      <c r="P238" s="212" t="s">
        <v>674</v>
      </c>
      <c r="R238" s="486">
        <v>274</v>
      </c>
      <c r="S238" s="490">
        <v>44246</v>
      </c>
      <c r="T238" s="486" t="s">
        <v>3204</v>
      </c>
      <c r="U238" s="480">
        <f>9500000-500000</f>
        <v>9000000</v>
      </c>
      <c r="V238" s="411">
        <v>500000</v>
      </c>
      <c r="W238" s="398"/>
      <c r="X238" s="308">
        <v>241</v>
      </c>
      <c r="Y238" s="484">
        <v>44260</v>
      </c>
      <c r="Z238" s="484">
        <v>44260</v>
      </c>
      <c r="AA238" s="484">
        <v>44286</v>
      </c>
      <c r="AB238" s="485" t="s">
        <v>3106</v>
      </c>
      <c r="AC238" s="211">
        <v>108</v>
      </c>
      <c r="AD238" s="485" t="s">
        <v>3205</v>
      </c>
      <c r="AE238" s="486" t="s">
        <v>3206</v>
      </c>
      <c r="AF238" s="473">
        <v>9000000</v>
      </c>
      <c r="AG238" s="474">
        <f t="shared" si="3"/>
        <v>0</v>
      </c>
      <c r="AJ238" s="475">
        <v>8374800</v>
      </c>
      <c r="AM238" s="212"/>
      <c r="AQ238" s="507"/>
      <c r="AR238" s="508"/>
      <c r="AS238" s="509"/>
    </row>
    <row r="239" spans="1:50" ht="15" hidden="1" customHeight="1" x14ac:dyDescent="0.3">
      <c r="A239" s="476" t="s">
        <v>2098</v>
      </c>
      <c r="B239" s="477">
        <v>64900000</v>
      </c>
      <c r="C239" s="212" t="s">
        <v>2646</v>
      </c>
      <c r="D239" s="309">
        <v>235</v>
      </c>
      <c r="E239" s="478">
        <v>20215000000873</v>
      </c>
      <c r="F239" s="479">
        <v>44211</v>
      </c>
      <c r="G239" s="478" t="s">
        <v>2640</v>
      </c>
      <c r="H239" s="212" t="s">
        <v>2641</v>
      </c>
      <c r="I239" s="212" t="s">
        <v>228</v>
      </c>
      <c r="J239" s="475">
        <v>64900000</v>
      </c>
      <c r="K239" s="212" t="s">
        <v>223</v>
      </c>
      <c r="L239" s="212" t="s">
        <v>233</v>
      </c>
      <c r="M239" s="212" t="s">
        <v>44</v>
      </c>
      <c r="N239" s="212" t="s">
        <v>45</v>
      </c>
      <c r="O239" s="212" t="s">
        <v>63</v>
      </c>
      <c r="P239" s="212" t="s">
        <v>674</v>
      </c>
      <c r="R239" s="212">
        <v>34</v>
      </c>
      <c r="S239" s="479">
        <v>44211</v>
      </c>
      <c r="T239" s="212" t="s">
        <v>2720</v>
      </c>
      <c r="U239" s="475">
        <f>64900000-8850000</f>
        <v>56050000</v>
      </c>
      <c r="V239" s="411">
        <v>8850000</v>
      </c>
      <c r="W239" s="397"/>
      <c r="X239" s="308">
        <v>242</v>
      </c>
      <c r="Y239" s="484">
        <v>44260</v>
      </c>
      <c r="Z239" s="484">
        <v>44260</v>
      </c>
      <c r="AA239" s="484">
        <v>44545</v>
      </c>
      <c r="AB239" s="485" t="s">
        <v>2650</v>
      </c>
      <c r="AC239" s="211">
        <v>161</v>
      </c>
      <c r="AD239" s="485" t="s">
        <v>3207</v>
      </c>
      <c r="AE239" s="486" t="s">
        <v>3208</v>
      </c>
      <c r="AF239" s="473">
        <v>56050000</v>
      </c>
      <c r="AG239" s="474">
        <f t="shared" si="3"/>
        <v>0</v>
      </c>
      <c r="AK239" s="475">
        <v>5113333</v>
      </c>
      <c r="AL239" s="475">
        <v>5900000</v>
      </c>
      <c r="AM239" s="306">
        <v>5900000</v>
      </c>
      <c r="AQ239" s="507"/>
      <c r="AR239" s="508"/>
      <c r="AS239" s="509"/>
    </row>
    <row r="240" spans="1:50" ht="15.75" hidden="1" customHeight="1" x14ac:dyDescent="0.3">
      <c r="A240" s="476" t="s">
        <v>3209</v>
      </c>
      <c r="B240" s="477">
        <v>27255780</v>
      </c>
      <c r="C240" s="511" t="s">
        <v>2646</v>
      </c>
      <c r="D240" s="309">
        <v>236</v>
      </c>
      <c r="E240" s="309">
        <v>20217000009293</v>
      </c>
      <c r="F240" s="310">
        <v>44249</v>
      </c>
      <c r="G240" s="309" t="s">
        <v>2647</v>
      </c>
      <c r="H240" s="210" t="s">
        <v>2648</v>
      </c>
      <c r="I240" s="210" t="s">
        <v>164</v>
      </c>
      <c r="J240" s="407">
        <v>16353468</v>
      </c>
      <c r="K240" s="210" t="s">
        <v>3210</v>
      </c>
      <c r="L240" s="210" t="s">
        <v>139</v>
      </c>
      <c r="M240" s="210" t="s">
        <v>44</v>
      </c>
      <c r="N240" s="210" t="s">
        <v>45</v>
      </c>
      <c r="O240" s="212" t="s">
        <v>142</v>
      </c>
      <c r="P240" s="210" t="s">
        <v>43</v>
      </c>
      <c r="Q240" s="210"/>
      <c r="R240" s="486">
        <v>280</v>
      </c>
      <c r="S240" s="490">
        <v>44249</v>
      </c>
      <c r="T240" s="486" t="s">
        <v>3211</v>
      </c>
      <c r="U240" s="475">
        <v>16353468</v>
      </c>
      <c r="V240" s="406"/>
      <c r="W240" s="362"/>
      <c r="X240" s="319">
        <v>244</v>
      </c>
      <c r="Y240" s="484">
        <v>44260</v>
      </c>
      <c r="Z240" s="484">
        <v>44260</v>
      </c>
      <c r="AA240" s="484">
        <v>44444</v>
      </c>
      <c r="AB240" s="485" t="s">
        <v>2650</v>
      </c>
      <c r="AC240" s="322">
        <v>175</v>
      </c>
      <c r="AD240" s="485" t="s">
        <v>3212</v>
      </c>
      <c r="AE240" s="486" t="s">
        <v>3213</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3">
      <c r="A241" s="476" t="s">
        <v>2166</v>
      </c>
      <c r="B241" s="477">
        <v>64900000</v>
      </c>
      <c r="C241" s="212" t="s">
        <v>2762</v>
      </c>
      <c r="D241" s="309">
        <v>237</v>
      </c>
      <c r="E241" s="309">
        <v>20215000007213</v>
      </c>
      <c r="F241" s="479">
        <v>44243</v>
      </c>
      <c r="G241" s="309" t="s">
        <v>2640</v>
      </c>
      <c r="H241" s="210" t="s">
        <v>2641</v>
      </c>
      <c r="I241" s="210" t="s">
        <v>228</v>
      </c>
      <c r="J241" s="407">
        <v>64900000</v>
      </c>
      <c r="K241" s="212" t="s">
        <v>288</v>
      </c>
      <c r="L241" s="212" t="s">
        <v>2736</v>
      </c>
      <c r="M241" s="212" t="s">
        <v>44</v>
      </c>
      <c r="N241" s="212" t="s">
        <v>45</v>
      </c>
      <c r="O241" s="212" t="s">
        <v>63</v>
      </c>
      <c r="P241" s="212" t="s">
        <v>674</v>
      </c>
      <c r="R241" s="212">
        <v>250</v>
      </c>
      <c r="S241" s="479">
        <v>44243</v>
      </c>
      <c r="T241" s="212" t="s">
        <v>3214</v>
      </c>
      <c r="U241" s="475">
        <f>64900000-11800000</f>
        <v>53100000</v>
      </c>
      <c r="V241" s="406">
        <v>11800000</v>
      </c>
      <c r="W241" s="362"/>
      <c r="X241" s="483" t="s">
        <v>3215</v>
      </c>
      <c r="Y241" s="484">
        <v>44286</v>
      </c>
      <c r="Z241" s="484">
        <v>44286</v>
      </c>
      <c r="AA241" s="484">
        <v>44561</v>
      </c>
      <c r="AB241" s="485" t="s">
        <v>2650</v>
      </c>
      <c r="AC241" s="483" t="s">
        <v>3216</v>
      </c>
      <c r="AD241" s="485" t="s">
        <v>3217</v>
      </c>
      <c r="AE241" s="486" t="s">
        <v>3218</v>
      </c>
      <c r="AF241" s="473">
        <v>53100000</v>
      </c>
      <c r="AG241" s="474">
        <f t="shared" si="3"/>
        <v>0</v>
      </c>
      <c r="AL241" s="475">
        <v>5900000</v>
      </c>
      <c r="AM241" s="306">
        <v>5900000</v>
      </c>
    </row>
    <row r="242" spans="1:45" hidden="1" x14ac:dyDescent="0.3">
      <c r="A242" s="476" t="s">
        <v>2192</v>
      </c>
      <c r="B242" s="477">
        <v>54162000</v>
      </c>
      <c r="C242" s="212" t="s">
        <v>2646</v>
      </c>
      <c r="D242" s="309">
        <v>238</v>
      </c>
      <c r="E242" s="309">
        <v>20212000008523</v>
      </c>
      <c r="F242" s="479">
        <v>44244</v>
      </c>
      <c r="G242" s="478" t="s">
        <v>2640</v>
      </c>
      <c r="H242" s="212" t="s">
        <v>2641</v>
      </c>
      <c r="I242" s="212" t="s">
        <v>391</v>
      </c>
      <c r="J242" s="475">
        <v>45900000</v>
      </c>
      <c r="K242" s="210" t="s">
        <v>2711</v>
      </c>
      <c r="L242" s="212" t="s">
        <v>2712</v>
      </c>
      <c r="M242" s="212" t="s">
        <v>44</v>
      </c>
      <c r="N242" s="212" t="s">
        <v>45</v>
      </c>
      <c r="O242" s="212" t="s">
        <v>63</v>
      </c>
      <c r="P242" s="212" t="s">
        <v>674</v>
      </c>
      <c r="R242" s="486">
        <v>267</v>
      </c>
      <c r="S242" s="490">
        <v>44244</v>
      </c>
      <c r="T242" s="486" t="s">
        <v>3219</v>
      </c>
      <c r="U242" s="475">
        <f>45900000-2295000</f>
        <v>43605000</v>
      </c>
      <c r="V242" s="411">
        <v>2295000</v>
      </c>
      <c r="W242" s="397"/>
      <c r="X242" s="308">
        <v>245</v>
      </c>
      <c r="Y242" s="484">
        <v>44263</v>
      </c>
      <c r="Z242" s="484">
        <v>44263</v>
      </c>
      <c r="AA242" s="484">
        <v>44561</v>
      </c>
      <c r="AB242" s="485" t="s">
        <v>2650</v>
      </c>
      <c r="AC242" s="211">
        <v>174</v>
      </c>
      <c r="AD242" s="485" t="s">
        <v>3220</v>
      </c>
      <c r="AE242" s="486" t="s">
        <v>3221</v>
      </c>
      <c r="AF242" s="473">
        <v>43605000</v>
      </c>
      <c r="AG242" s="474">
        <f t="shared" si="3"/>
        <v>0</v>
      </c>
      <c r="AK242" s="475">
        <v>3519000</v>
      </c>
      <c r="AL242" s="475">
        <v>4590000</v>
      </c>
      <c r="AM242" s="306">
        <v>4590000</v>
      </c>
    </row>
    <row r="243" spans="1:45" hidden="1" x14ac:dyDescent="0.3">
      <c r="A243" s="476" t="s">
        <v>2188</v>
      </c>
      <c r="B243" s="477">
        <v>27255780</v>
      </c>
      <c r="C243" s="212" t="s">
        <v>2646</v>
      </c>
      <c r="D243" s="309">
        <v>239</v>
      </c>
      <c r="E243" s="309">
        <v>20217000008923</v>
      </c>
      <c r="F243" s="479">
        <v>44245</v>
      </c>
      <c r="G243" s="478" t="s">
        <v>2647</v>
      </c>
      <c r="H243" s="212" t="s">
        <v>2648</v>
      </c>
      <c r="I243" s="212" t="s">
        <v>164</v>
      </c>
      <c r="J243" s="473" t="s">
        <v>3222</v>
      </c>
      <c r="K243" s="212" t="s">
        <v>138</v>
      </c>
      <c r="L243" s="212" t="s">
        <v>139</v>
      </c>
      <c r="M243" s="212" t="s">
        <v>44</v>
      </c>
      <c r="N243" s="212" t="s">
        <v>45</v>
      </c>
      <c r="O243" s="212" t="s">
        <v>142</v>
      </c>
      <c r="P243" s="212" t="s">
        <v>43</v>
      </c>
      <c r="R243" s="486">
        <v>271</v>
      </c>
      <c r="S243" s="490">
        <v>44246</v>
      </c>
      <c r="T243" s="486" t="s">
        <v>3223</v>
      </c>
      <c r="U243" s="475">
        <v>16353468</v>
      </c>
      <c r="V243" s="406"/>
      <c r="W243" s="362"/>
      <c r="X243" s="308">
        <v>246</v>
      </c>
      <c r="Y243" s="484">
        <v>44263</v>
      </c>
      <c r="Z243" s="484">
        <v>44263</v>
      </c>
      <c r="AA243" s="484">
        <v>44447</v>
      </c>
      <c r="AB243" s="485" t="s">
        <v>2650</v>
      </c>
      <c r="AC243" s="211">
        <v>178</v>
      </c>
      <c r="AD243" s="485" t="s">
        <v>3224</v>
      </c>
      <c r="AE243" s="486" t="s">
        <v>3225</v>
      </c>
      <c r="AF243" s="473">
        <v>16353468</v>
      </c>
      <c r="AG243" s="474">
        <f t="shared" si="3"/>
        <v>0</v>
      </c>
      <c r="AK243" s="475">
        <v>1998757</v>
      </c>
      <c r="AL243" s="475">
        <v>2725578</v>
      </c>
      <c r="AM243" s="306">
        <v>2725578</v>
      </c>
    </row>
    <row r="244" spans="1:45" hidden="1" x14ac:dyDescent="0.3">
      <c r="A244" s="476" t="s">
        <v>1915</v>
      </c>
      <c r="B244" s="477">
        <v>44000000</v>
      </c>
      <c r="C244" s="212" t="s">
        <v>2646</v>
      </c>
      <c r="D244" s="309">
        <v>240</v>
      </c>
      <c r="E244" s="309">
        <v>20215000007253</v>
      </c>
      <c r="F244" s="479">
        <v>44243</v>
      </c>
      <c r="G244" s="309" t="s">
        <v>2640</v>
      </c>
      <c r="H244" s="210" t="s">
        <v>2641</v>
      </c>
      <c r="I244" s="210" t="s">
        <v>228</v>
      </c>
      <c r="J244" s="407">
        <v>44000000</v>
      </c>
      <c r="K244" s="212" t="s">
        <v>288</v>
      </c>
      <c r="L244" s="212" t="s">
        <v>2736</v>
      </c>
      <c r="M244" s="212" t="s">
        <v>44</v>
      </c>
      <c r="N244" s="212" t="s">
        <v>45</v>
      </c>
      <c r="O244" s="212" t="s">
        <v>63</v>
      </c>
      <c r="P244" s="212" t="s">
        <v>674</v>
      </c>
      <c r="R244" s="212">
        <v>253</v>
      </c>
      <c r="S244" s="479">
        <v>44243</v>
      </c>
      <c r="T244" s="212" t="s">
        <v>3226</v>
      </c>
      <c r="U244" s="475">
        <f>44000000-12000000</f>
        <v>32000000</v>
      </c>
      <c r="V244" s="406">
        <v>12000000</v>
      </c>
      <c r="W244" s="362"/>
      <c r="X244" s="483" t="s">
        <v>3227</v>
      </c>
      <c r="Y244" s="484">
        <v>44308</v>
      </c>
      <c r="Z244" s="484">
        <v>44308</v>
      </c>
      <c r="AA244" s="484">
        <v>44551</v>
      </c>
      <c r="AB244" s="485" t="s">
        <v>2650</v>
      </c>
      <c r="AC244" s="483" t="s">
        <v>3228</v>
      </c>
      <c r="AD244" s="485" t="s">
        <v>3229</v>
      </c>
      <c r="AE244" s="486" t="s">
        <v>3230</v>
      </c>
      <c r="AF244" s="473">
        <v>32000000</v>
      </c>
      <c r="AG244" s="474">
        <f t="shared" si="3"/>
        <v>0</v>
      </c>
      <c r="AL244" s="475">
        <v>1200000</v>
      </c>
      <c r="AM244" s="306">
        <v>4000000</v>
      </c>
    </row>
    <row r="245" spans="1:45" s="312" customFormat="1" ht="15.6" hidden="1" x14ac:dyDescent="0.3">
      <c r="A245" s="361"/>
      <c r="B245" s="417" t="s">
        <v>3016</v>
      </c>
      <c r="C245" s="510" t="s">
        <v>3231</v>
      </c>
      <c r="D245" s="312">
        <v>241</v>
      </c>
      <c r="E245" s="325">
        <v>20214000008263</v>
      </c>
      <c r="F245" s="315">
        <v>44243</v>
      </c>
      <c r="G245" s="325" t="s">
        <v>2680</v>
      </c>
      <c r="H245" s="312" t="s">
        <v>2681</v>
      </c>
      <c r="I245" s="312" t="s">
        <v>47</v>
      </c>
      <c r="J245" s="406">
        <v>14021839</v>
      </c>
      <c r="K245" s="312" t="s">
        <v>37</v>
      </c>
      <c r="L245" s="510" t="s">
        <v>3180</v>
      </c>
      <c r="M245" s="312" t="s">
        <v>44</v>
      </c>
      <c r="N245" s="312" t="s">
        <v>45</v>
      </c>
      <c r="O245" s="212" t="s">
        <v>310</v>
      </c>
      <c r="P245" s="312" t="s">
        <v>77</v>
      </c>
      <c r="R245" s="312">
        <v>255</v>
      </c>
      <c r="S245" s="315">
        <v>44244</v>
      </c>
      <c r="T245" s="312" t="s">
        <v>3232</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3">
      <c r="A246" s="476" t="s">
        <v>2185</v>
      </c>
      <c r="B246" s="477">
        <v>64900000</v>
      </c>
      <c r="C246" s="212" t="s">
        <v>2646</v>
      </c>
      <c r="D246" s="478">
        <v>242</v>
      </c>
      <c r="E246" s="478">
        <v>20215000006383</v>
      </c>
      <c r="F246" s="479">
        <v>44235</v>
      </c>
      <c r="G246" s="478" t="s">
        <v>2640</v>
      </c>
      <c r="H246" s="212" t="s">
        <v>2641</v>
      </c>
      <c r="I246" s="212" t="s">
        <v>228</v>
      </c>
      <c r="J246" s="475">
        <v>64900000</v>
      </c>
      <c r="K246" s="212" t="s">
        <v>223</v>
      </c>
      <c r="L246" s="212" t="s">
        <v>283</v>
      </c>
      <c r="M246" s="212" t="s">
        <v>44</v>
      </c>
      <c r="N246" s="212" t="s">
        <v>45</v>
      </c>
      <c r="O246" s="212" t="s">
        <v>63</v>
      </c>
      <c r="P246" s="212" t="s">
        <v>674</v>
      </c>
      <c r="R246" s="212">
        <v>212</v>
      </c>
      <c r="S246" s="479">
        <v>44235</v>
      </c>
      <c r="T246" s="212" t="s">
        <v>3233</v>
      </c>
      <c r="U246" s="475">
        <f>64900000-11800000</f>
        <v>53100000</v>
      </c>
      <c r="V246" s="444">
        <v>11800000</v>
      </c>
      <c r="W246" s="398"/>
      <c r="X246" s="308">
        <v>247</v>
      </c>
      <c r="Y246" s="484">
        <v>44263</v>
      </c>
      <c r="Z246" s="484">
        <v>44263</v>
      </c>
      <c r="AA246" s="484">
        <v>44538</v>
      </c>
      <c r="AB246" s="485" t="s">
        <v>2650</v>
      </c>
      <c r="AC246" s="211">
        <v>179</v>
      </c>
      <c r="AD246" s="485" t="s">
        <v>3234</v>
      </c>
      <c r="AE246" s="486" t="s">
        <v>3235</v>
      </c>
      <c r="AF246" s="473">
        <v>53100000</v>
      </c>
      <c r="AG246" s="474">
        <f t="shared" si="3"/>
        <v>0</v>
      </c>
      <c r="AM246" s="212"/>
    </row>
    <row r="247" spans="1:45" hidden="1" x14ac:dyDescent="0.3">
      <c r="A247" s="476" t="s">
        <v>3236</v>
      </c>
      <c r="B247" s="475">
        <v>31600000</v>
      </c>
      <c r="C247" s="212" t="s">
        <v>2646</v>
      </c>
      <c r="D247" s="478">
        <v>243</v>
      </c>
      <c r="E247" s="478">
        <v>20214000004813</v>
      </c>
      <c r="F247" s="479">
        <v>44229</v>
      </c>
      <c r="G247" s="478" t="s">
        <v>2673</v>
      </c>
      <c r="H247" s="212" t="s">
        <v>2674</v>
      </c>
      <c r="I247" s="212" t="s">
        <v>117</v>
      </c>
      <c r="J247" s="475">
        <v>31600000</v>
      </c>
      <c r="K247" s="212" t="s">
        <v>112</v>
      </c>
      <c r="L247" s="212" t="s">
        <v>2675</v>
      </c>
      <c r="M247" s="212" t="s">
        <v>44</v>
      </c>
      <c r="N247" s="212" t="s">
        <v>45</v>
      </c>
      <c r="O247" s="212" t="s">
        <v>63</v>
      </c>
      <c r="P247" s="212" t="s">
        <v>43</v>
      </c>
      <c r="R247" s="212">
        <v>174</v>
      </c>
      <c r="S247" s="479">
        <v>44229</v>
      </c>
      <c r="T247" s="212" t="s">
        <v>3237</v>
      </c>
      <c r="U247" s="475">
        <v>31600000</v>
      </c>
      <c r="V247" s="406"/>
      <c r="W247" s="362"/>
      <c r="X247" s="308">
        <v>248</v>
      </c>
      <c r="Y247" s="484">
        <v>44263</v>
      </c>
      <c r="Z247" s="484">
        <v>44263</v>
      </c>
      <c r="AA247" s="484">
        <v>44508</v>
      </c>
      <c r="AB247" s="485" t="s">
        <v>2650</v>
      </c>
      <c r="AC247" s="211">
        <v>181</v>
      </c>
      <c r="AD247" s="485" t="s">
        <v>3238</v>
      </c>
      <c r="AE247" s="486" t="s">
        <v>3239</v>
      </c>
      <c r="AF247" s="473">
        <v>31600000</v>
      </c>
      <c r="AG247" s="474">
        <f t="shared" si="3"/>
        <v>0</v>
      </c>
      <c r="AK247" s="475">
        <v>2896666</v>
      </c>
      <c r="AL247" s="475">
        <v>3950000</v>
      </c>
      <c r="AM247" s="306">
        <v>3950000</v>
      </c>
      <c r="AQ247" s="507"/>
      <c r="AR247" s="508"/>
      <c r="AS247" s="509"/>
    </row>
    <row r="248" spans="1:45" ht="15.6" hidden="1" x14ac:dyDescent="0.3">
      <c r="B248" s="501" t="s">
        <v>2683</v>
      </c>
      <c r="C248" s="515" t="s">
        <v>3240</v>
      </c>
      <c r="D248" s="478">
        <v>243</v>
      </c>
      <c r="E248" s="309">
        <v>20217000009773</v>
      </c>
      <c r="F248" s="310">
        <v>44250</v>
      </c>
      <c r="G248" s="478" t="s">
        <v>2647</v>
      </c>
      <c r="H248" s="212" t="s">
        <v>2648</v>
      </c>
      <c r="I248" s="212" t="s">
        <v>164</v>
      </c>
      <c r="J248" s="475">
        <v>9889912</v>
      </c>
      <c r="K248" s="212" t="s">
        <v>138</v>
      </c>
      <c r="L248" s="212" t="s">
        <v>139</v>
      </c>
      <c r="M248" s="212" t="s">
        <v>44</v>
      </c>
      <c r="N248" s="212" t="s">
        <v>45</v>
      </c>
      <c r="O248" s="212" t="s">
        <v>142</v>
      </c>
      <c r="P248" s="212" t="s">
        <v>43</v>
      </c>
      <c r="R248" s="486">
        <v>285</v>
      </c>
      <c r="S248" s="490">
        <v>44250</v>
      </c>
      <c r="T248" s="486" t="s">
        <v>3241</v>
      </c>
      <c r="U248" s="475">
        <v>9889912</v>
      </c>
      <c r="V248" s="406"/>
      <c r="W248" s="362"/>
      <c r="X248" s="308">
        <v>249</v>
      </c>
      <c r="Y248" s="484">
        <v>44263</v>
      </c>
      <c r="Z248" s="484">
        <v>44264</v>
      </c>
      <c r="AA248" s="484">
        <v>44315</v>
      </c>
      <c r="AB248" s="485" t="s">
        <v>2650</v>
      </c>
      <c r="AC248" s="211">
        <v>615</v>
      </c>
      <c r="AD248" s="485" t="s">
        <v>3242</v>
      </c>
      <c r="AE248" s="486" t="s">
        <v>3243</v>
      </c>
      <c r="AF248" s="473">
        <v>9889912</v>
      </c>
      <c r="AG248" s="474">
        <f t="shared" si="3"/>
        <v>0</v>
      </c>
      <c r="AK248" s="475">
        <v>5705719</v>
      </c>
      <c r="AL248" s="475">
        <v>4184193</v>
      </c>
      <c r="AM248" s="212"/>
    </row>
    <row r="249" spans="1:45" hidden="1" x14ac:dyDescent="0.3">
      <c r="A249" s="476" t="s">
        <v>2190</v>
      </c>
      <c r="B249" s="477">
        <v>40000000</v>
      </c>
      <c r="C249" s="212" t="s">
        <v>3187</v>
      </c>
      <c r="D249" s="478">
        <v>244</v>
      </c>
      <c r="E249" s="309">
        <v>20213000010293</v>
      </c>
      <c r="F249" s="479">
        <v>44252</v>
      </c>
      <c r="G249" s="478" t="s">
        <v>2640</v>
      </c>
      <c r="H249" s="212" t="s">
        <v>2641</v>
      </c>
      <c r="I249" s="212" t="s">
        <v>432</v>
      </c>
      <c r="J249" s="475">
        <v>39975144</v>
      </c>
      <c r="K249" s="212" t="s">
        <v>342</v>
      </c>
      <c r="L249" s="212" t="s">
        <v>351</v>
      </c>
      <c r="M249" s="212" t="s">
        <v>44</v>
      </c>
      <c r="N249" s="212" t="s">
        <v>45</v>
      </c>
      <c r="O249" s="212" t="s">
        <v>63</v>
      </c>
      <c r="P249" s="212" t="s">
        <v>674</v>
      </c>
      <c r="R249" s="486">
        <v>303</v>
      </c>
      <c r="S249" s="490">
        <v>44252</v>
      </c>
      <c r="T249" s="486" t="s">
        <v>3244</v>
      </c>
      <c r="U249" s="475">
        <v>39975144</v>
      </c>
      <c r="V249" s="406"/>
      <c r="W249" s="362"/>
      <c r="X249" s="308">
        <v>250</v>
      </c>
      <c r="Y249" s="484">
        <v>44264</v>
      </c>
      <c r="Z249" s="484">
        <v>44264</v>
      </c>
      <c r="AA249" s="484">
        <v>44509</v>
      </c>
      <c r="AB249" s="485" t="s">
        <v>2650</v>
      </c>
      <c r="AC249" s="211">
        <v>176</v>
      </c>
      <c r="AD249" s="485" t="s">
        <v>3245</v>
      </c>
      <c r="AE249" s="486" t="s">
        <v>3246</v>
      </c>
      <c r="AF249" s="473">
        <v>39975144</v>
      </c>
      <c r="AG249" s="474">
        <f t="shared" si="3"/>
        <v>0</v>
      </c>
      <c r="AK249" s="475">
        <v>3497825</v>
      </c>
      <c r="AL249" s="475">
        <v>4996893</v>
      </c>
      <c r="AM249" s="306">
        <v>4996893</v>
      </c>
    </row>
    <row r="250" spans="1:45" hidden="1" x14ac:dyDescent="0.3">
      <c r="A250" s="476" t="s">
        <v>1908</v>
      </c>
      <c r="B250" s="477">
        <v>60180000</v>
      </c>
      <c r="C250" s="212" t="s">
        <v>2762</v>
      </c>
      <c r="D250" s="478">
        <v>245</v>
      </c>
      <c r="E250" s="309">
        <v>20212000008503</v>
      </c>
      <c r="F250" s="479">
        <v>44244</v>
      </c>
      <c r="G250" s="478" t="s">
        <v>2640</v>
      </c>
      <c r="H250" s="212" t="s">
        <v>2641</v>
      </c>
      <c r="I250" s="212" t="s">
        <v>391</v>
      </c>
      <c r="J250" s="475">
        <v>51000000</v>
      </c>
      <c r="K250" s="210" t="s">
        <v>2711</v>
      </c>
      <c r="L250" s="212" t="s">
        <v>2712</v>
      </c>
      <c r="M250" s="212" t="s">
        <v>44</v>
      </c>
      <c r="N250" s="212" t="s">
        <v>45</v>
      </c>
      <c r="O250" s="212" t="s">
        <v>63</v>
      </c>
      <c r="P250" s="212" t="s">
        <v>674</v>
      </c>
      <c r="R250" s="486">
        <v>265</v>
      </c>
      <c r="S250" s="490">
        <v>44244</v>
      </c>
      <c r="T250" s="486" t="s">
        <v>3247</v>
      </c>
      <c r="U250" s="475">
        <f>51000000-2550000</f>
        <v>48450000</v>
      </c>
      <c r="V250" s="411">
        <v>2550000</v>
      </c>
      <c r="W250" s="397"/>
      <c r="X250" s="308">
        <v>251</v>
      </c>
      <c r="Y250" s="484">
        <v>44264</v>
      </c>
      <c r="Z250" s="484">
        <v>44264</v>
      </c>
      <c r="AA250" s="484">
        <v>44561</v>
      </c>
      <c r="AB250" s="485" t="s">
        <v>2650</v>
      </c>
      <c r="AC250" s="211">
        <v>182</v>
      </c>
      <c r="AD250" s="485" t="s">
        <v>3248</v>
      </c>
      <c r="AE250" s="486" t="s">
        <v>3249</v>
      </c>
      <c r="AF250" s="473">
        <v>48450000</v>
      </c>
      <c r="AG250" s="474">
        <f t="shared" si="3"/>
        <v>0</v>
      </c>
      <c r="AK250" s="475">
        <v>3740000</v>
      </c>
      <c r="AL250" s="475">
        <v>5100000</v>
      </c>
      <c r="AM250" s="306">
        <v>5100000</v>
      </c>
    </row>
    <row r="251" spans="1:45" hidden="1" x14ac:dyDescent="0.3">
      <c r="A251" s="476" t="s">
        <v>2191</v>
      </c>
      <c r="B251" s="477">
        <v>42000000</v>
      </c>
      <c r="C251" s="212" t="s">
        <v>2646</v>
      </c>
      <c r="D251" s="478">
        <v>246</v>
      </c>
      <c r="E251" s="478">
        <v>20213000007873</v>
      </c>
      <c r="F251" s="479">
        <v>44243</v>
      </c>
      <c r="G251" s="478" t="s">
        <v>2640</v>
      </c>
      <c r="H251" s="212" t="s">
        <v>2641</v>
      </c>
      <c r="I251" s="212" t="s">
        <v>432</v>
      </c>
      <c r="J251" s="475">
        <v>35400000</v>
      </c>
      <c r="K251" s="212" t="s">
        <v>358</v>
      </c>
      <c r="L251" s="212" t="s">
        <v>2791</v>
      </c>
      <c r="M251" s="212" t="s">
        <v>44</v>
      </c>
      <c r="N251" s="212" t="s">
        <v>45</v>
      </c>
      <c r="O251" s="212" t="s">
        <v>63</v>
      </c>
      <c r="P251" s="212" t="s">
        <v>674</v>
      </c>
      <c r="R251" s="212">
        <v>242</v>
      </c>
      <c r="S251" s="479">
        <v>44243</v>
      </c>
      <c r="T251" s="212" t="s">
        <v>3250</v>
      </c>
      <c r="U251" s="475">
        <v>35400000</v>
      </c>
      <c r="V251" s="406"/>
      <c r="W251" s="362"/>
      <c r="X251" s="308">
        <v>252</v>
      </c>
      <c r="Y251" s="484">
        <v>44264</v>
      </c>
      <c r="Z251" s="484">
        <v>44264</v>
      </c>
      <c r="AA251" s="484">
        <v>44539</v>
      </c>
      <c r="AB251" s="485" t="s">
        <v>2650</v>
      </c>
      <c r="AC251" s="211">
        <v>180</v>
      </c>
      <c r="AD251" s="485" t="s">
        <v>3251</v>
      </c>
      <c r="AE251" s="486" t="s">
        <v>3252</v>
      </c>
      <c r="AF251" s="473">
        <v>35400000</v>
      </c>
      <c r="AG251" s="474">
        <f t="shared" si="3"/>
        <v>0</v>
      </c>
      <c r="AK251" s="475">
        <v>3933333</v>
      </c>
      <c r="AL251" s="475">
        <v>5900000</v>
      </c>
      <c r="AM251" s="306">
        <v>5900000</v>
      </c>
    </row>
    <row r="252" spans="1:45" ht="15.6" hidden="1" x14ac:dyDescent="0.3">
      <c r="B252" s="501" t="s">
        <v>2683</v>
      </c>
      <c r="C252" s="516" t="s">
        <v>3253</v>
      </c>
      <c r="D252" s="478">
        <v>247</v>
      </c>
      <c r="E252" s="309">
        <v>20217000009763</v>
      </c>
      <c r="F252" s="310">
        <v>44250</v>
      </c>
      <c r="G252" s="478" t="s">
        <v>2647</v>
      </c>
      <c r="H252" s="212" t="s">
        <v>2648</v>
      </c>
      <c r="I252" s="212" t="s">
        <v>164</v>
      </c>
      <c r="J252" s="475">
        <v>8005562</v>
      </c>
      <c r="K252" s="212" t="s">
        <v>138</v>
      </c>
      <c r="L252" s="212" t="s">
        <v>139</v>
      </c>
      <c r="M252" s="212" t="s">
        <v>44</v>
      </c>
      <c r="N252" s="212" t="s">
        <v>45</v>
      </c>
      <c r="O252" s="212" t="s">
        <v>142</v>
      </c>
      <c r="P252" s="212" t="s">
        <v>43</v>
      </c>
      <c r="R252" s="486">
        <v>284</v>
      </c>
      <c r="S252" s="490">
        <v>44250</v>
      </c>
      <c r="T252" s="486" t="s">
        <v>3254</v>
      </c>
      <c r="U252" s="475">
        <v>8005562</v>
      </c>
      <c r="V252" s="406"/>
      <c r="W252" s="362"/>
      <c r="X252" s="308">
        <v>253</v>
      </c>
      <c r="Y252" s="484">
        <v>44264</v>
      </c>
      <c r="Z252" s="484">
        <v>44270</v>
      </c>
      <c r="AA252" s="484">
        <v>44328</v>
      </c>
      <c r="AB252" s="485" t="s">
        <v>2650</v>
      </c>
      <c r="AC252" s="211">
        <v>600</v>
      </c>
      <c r="AD252" s="485" t="s">
        <v>3255</v>
      </c>
      <c r="AE252" s="486" t="s">
        <v>3256</v>
      </c>
      <c r="AF252" s="473">
        <v>8005562</v>
      </c>
      <c r="AG252" s="474">
        <f t="shared" si="3"/>
        <v>0</v>
      </c>
      <c r="AL252" s="475">
        <v>6741527</v>
      </c>
      <c r="AM252" s="212"/>
    </row>
    <row r="253" spans="1:45" hidden="1" x14ac:dyDescent="0.3">
      <c r="B253" s="501" t="s">
        <v>2683</v>
      </c>
      <c r="C253" s="212" t="s">
        <v>3257</v>
      </c>
      <c r="D253" s="478">
        <v>248</v>
      </c>
      <c r="E253" s="478">
        <v>20215000006633</v>
      </c>
      <c r="F253" s="479">
        <v>44236</v>
      </c>
      <c r="G253" s="478" t="s">
        <v>2640</v>
      </c>
      <c r="H253" s="212" t="s">
        <v>2641</v>
      </c>
      <c r="I253" s="212" t="s">
        <v>228</v>
      </c>
      <c r="J253" s="475">
        <v>17064600</v>
      </c>
      <c r="K253" s="212" t="s">
        <v>223</v>
      </c>
      <c r="L253" s="212" t="s">
        <v>257</v>
      </c>
      <c r="M253" s="212" t="s">
        <v>44</v>
      </c>
      <c r="N253" s="212" t="s">
        <v>45</v>
      </c>
      <c r="O253" s="212" t="s">
        <v>46</v>
      </c>
      <c r="P253" s="212" t="s">
        <v>674</v>
      </c>
      <c r="R253" s="212">
        <v>228</v>
      </c>
      <c r="S253" s="479">
        <v>44236</v>
      </c>
      <c r="T253" s="212" t="s">
        <v>3258</v>
      </c>
      <c r="U253" s="475">
        <v>17064600</v>
      </c>
      <c r="V253" s="406"/>
      <c r="W253" s="362"/>
      <c r="X253" s="308">
        <v>254</v>
      </c>
      <c r="Y253" s="484">
        <v>44264</v>
      </c>
      <c r="Z253" s="484">
        <v>44264</v>
      </c>
      <c r="AA253" s="484">
        <v>44561</v>
      </c>
      <c r="AB253" s="485" t="s">
        <v>2666</v>
      </c>
      <c r="AC253" s="211">
        <v>707</v>
      </c>
      <c r="AD253" s="485" t="s">
        <v>3259</v>
      </c>
      <c r="AE253" s="486" t="s">
        <v>2667</v>
      </c>
      <c r="AF253" s="473">
        <v>17064600</v>
      </c>
      <c r="AG253" s="474">
        <f t="shared" si="3"/>
        <v>0</v>
      </c>
      <c r="AK253" s="475">
        <v>17064600</v>
      </c>
      <c r="AM253" s="212"/>
    </row>
    <row r="254" spans="1:45" hidden="1" x14ac:dyDescent="0.3">
      <c r="A254" s="476" t="s">
        <v>2402</v>
      </c>
      <c r="B254" s="477">
        <v>36000000</v>
      </c>
      <c r="C254" s="212" t="s">
        <v>3187</v>
      </c>
      <c r="D254" s="478">
        <v>249</v>
      </c>
      <c r="E254" s="478">
        <v>20211400013173</v>
      </c>
      <c r="F254" s="479">
        <v>44264</v>
      </c>
      <c r="G254" s="478" t="s">
        <v>2647</v>
      </c>
      <c r="H254" s="212" t="s">
        <v>2648</v>
      </c>
      <c r="I254" s="212" t="s">
        <v>184</v>
      </c>
      <c r="J254" s="475">
        <v>36000000</v>
      </c>
      <c r="K254" s="212" t="s">
        <v>138</v>
      </c>
      <c r="L254" s="212" t="s">
        <v>2652</v>
      </c>
      <c r="M254" s="212" t="s">
        <v>44</v>
      </c>
      <c r="N254" s="212" t="s">
        <v>45</v>
      </c>
      <c r="O254" s="212" t="s">
        <v>142</v>
      </c>
      <c r="P254" s="212" t="s">
        <v>43</v>
      </c>
      <c r="R254" s="212">
        <v>348</v>
      </c>
      <c r="S254" s="490">
        <v>44264</v>
      </c>
      <c r="T254" s="486" t="s">
        <v>3260</v>
      </c>
      <c r="U254" s="475">
        <v>36000000</v>
      </c>
      <c r="V254" s="406"/>
      <c r="W254" s="362"/>
      <c r="X254" s="308">
        <v>256</v>
      </c>
      <c r="Y254" s="484">
        <v>44264</v>
      </c>
      <c r="Z254" s="484">
        <v>44264</v>
      </c>
      <c r="AA254" s="484">
        <v>44539</v>
      </c>
      <c r="AB254" s="485" t="s">
        <v>2650</v>
      </c>
      <c r="AC254" s="211">
        <v>177</v>
      </c>
      <c r="AD254" s="485" t="s">
        <v>3261</v>
      </c>
      <c r="AE254" s="486" t="s">
        <v>3262</v>
      </c>
      <c r="AF254" s="473">
        <v>36000000</v>
      </c>
      <c r="AK254" s="475">
        <v>3150000</v>
      </c>
      <c r="AL254" s="475">
        <v>4500000</v>
      </c>
      <c r="AM254" s="306">
        <v>4500000</v>
      </c>
    </row>
    <row r="255" spans="1:45" hidden="1" x14ac:dyDescent="0.3">
      <c r="A255" s="476" t="s">
        <v>1895</v>
      </c>
      <c r="B255" s="477">
        <v>61383600</v>
      </c>
      <c r="C255" s="212" t="s">
        <v>2646</v>
      </c>
      <c r="D255" s="478">
        <v>250</v>
      </c>
      <c r="E255" s="309">
        <v>20212000008493</v>
      </c>
      <c r="F255" s="479">
        <v>44244</v>
      </c>
      <c r="G255" s="478" t="s">
        <v>2640</v>
      </c>
      <c r="H255" s="212" t="s">
        <v>2641</v>
      </c>
      <c r="I255" s="212" t="s">
        <v>391</v>
      </c>
      <c r="J255" s="475">
        <v>52020000</v>
      </c>
      <c r="K255" s="210" t="s">
        <v>2711</v>
      </c>
      <c r="L255" s="212" t="s">
        <v>2712</v>
      </c>
      <c r="M255" s="212" t="s">
        <v>44</v>
      </c>
      <c r="N255" s="212" t="s">
        <v>45</v>
      </c>
      <c r="O255" s="212" t="s">
        <v>63</v>
      </c>
      <c r="P255" s="212" t="s">
        <v>674</v>
      </c>
      <c r="R255" s="486">
        <v>264</v>
      </c>
      <c r="S255" s="490">
        <v>44244</v>
      </c>
      <c r="T255" s="486" t="s">
        <v>3263</v>
      </c>
      <c r="U255" s="475">
        <v>52020000</v>
      </c>
      <c r="V255" s="406"/>
      <c r="W255" s="362"/>
      <c r="X255" s="483" t="s">
        <v>3264</v>
      </c>
      <c r="Y255" s="484">
        <v>44307</v>
      </c>
      <c r="Z255" s="484">
        <v>44307</v>
      </c>
      <c r="AA255" s="484">
        <v>44550</v>
      </c>
      <c r="AB255" s="485" t="s">
        <v>2650</v>
      </c>
      <c r="AC255" s="483" t="s">
        <v>3265</v>
      </c>
      <c r="AD255" s="485" t="s">
        <v>3266</v>
      </c>
      <c r="AE255" s="486" t="s">
        <v>3267</v>
      </c>
      <c r="AF255" s="496">
        <v>41616000</v>
      </c>
      <c r="AG255" s="474">
        <f t="shared" ref="AG255:AG261" si="4">+U255-AF255</f>
        <v>10404000</v>
      </c>
      <c r="AM255" s="212"/>
    </row>
    <row r="256" spans="1:45" hidden="1" x14ac:dyDescent="0.3">
      <c r="A256" s="476" t="s">
        <v>2165</v>
      </c>
      <c r="B256" s="477">
        <v>64900000</v>
      </c>
      <c r="C256" s="212" t="s">
        <v>2646</v>
      </c>
      <c r="D256" s="478">
        <v>251</v>
      </c>
      <c r="E256" s="309">
        <v>20215000007243</v>
      </c>
      <c r="F256" s="479">
        <v>44243</v>
      </c>
      <c r="G256" s="309" t="s">
        <v>2640</v>
      </c>
      <c r="H256" s="210" t="s">
        <v>2641</v>
      </c>
      <c r="I256" s="210" t="s">
        <v>228</v>
      </c>
      <c r="J256" s="407">
        <v>64900000</v>
      </c>
      <c r="K256" s="212" t="s">
        <v>288</v>
      </c>
      <c r="L256" s="212" t="s">
        <v>2736</v>
      </c>
      <c r="M256" s="212" t="s">
        <v>44</v>
      </c>
      <c r="N256" s="212" t="s">
        <v>45</v>
      </c>
      <c r="O256" s="212" t="s">
        <v>63</v>
      </c>
      <c r="P256" s="212" t="s">
        <v>674</v>
      </c>
      <c r="R256" s="212">
        <v>252</v>
      </c>
      <c r="S256" s="479">
        <v>44243</v>
      </c>
      <c r="T256" s="212" t="s">
        <v>3268</v>
      </c>
      <c r="U256" s="475">
        <f>64900000-26900000</f>
        <v>38000000</v>
      </c>
      <c r="V256" s="444">
        <v>26900000</v>
      </c>
      <c r="W256" s="398"/>
      <c r="X256" s="308">
        <v>257</v>
      </c>
      <c r="Y256" s="484">
        <v>44265</v>
      </c>
      <c r="Z256" s="484">
        <v>44265</v>
      </c>
      <c r="AA256" s="484">
        <v>44561</v>
      </c>
      <c r="AB256" s="485" t="s">
        <v>2650</v>
      </c>
      <c r="AC256" s="211">
        <v>183</v>
      </c>
      <c r="AD256" s="485" t="s">
        <v>3269</v>
      </c>
      <c r="AE256" s="486" t="s">
        <v>3270</v>
      </c>
      <c r="AF256" s="473">
        <v>38000000</v>
      </c>
      <c r="AG256" s="474">
        <f t="shared" si="4"/>
        <v>0</v>
      </c>
      <c r="AK256" s="475">
        <v>2666667</v>
      </c>
      <c r="AL256" s="475">
        <v>4000000</v>
      </c>
      <c r="AM256" s="306">
        <v>4000000</v>
      </c>
    </row>
    <row r="257" spans="1:50" s="312" customFormat="1" ht="15" hidden="1" customHeight="1" x14ac:dyDescent="0.3">
      <c r="A257" s="361" t="s">
        <v>1899</v>
      </c>
      <c r="B257" s="417">
        <v>65836059</v>
      </c>
      <c r="C257" s="312" t="s">
        <v>2646</v>
      </c>
      <c r="D257" s="325">
        <v>252</v>
      </c>
      <c r="E257" s="325">
        <v>20212000008513</v>
      </c>
      <c r="F257" s="315">
        <v>44244</v>
      </c>
      <c r="G257" s="325" t="s">
        <v>2640</v>
      </c>
      <c r="H257" s="312" t="s">
        <v>2641</v>
      </c>
      <c r="I257" s="312" t="s">
        <v>391</v>
      </c>
      <c r="J257" s="405">
        <v>56270000</v>
      </c>
      <c r="K257" s="312" t="s">
        <v>2711</v>
      </c>
      <c r="L257" s="312" t="s">
        <v>2712</v>
      </c>
      <c r="M257" s="312" t="s">
        <v>44</v>
      </c>
      <c r="N257" s="312" t="s">
        <v>45</v>
      </c>
      <c r="O257" s="312" t="s">
        <v>63</v>
      </c>
      <c r="P257" s="312" t="s">
        <v>674</v>
      </c>
      <c r="R257" s="312">
        <v>266</v>
      </c>
      <c r="S257" s="315">
        <v>44244</v>
      </c>
      <c r="T257" s="393" t="s">
        <v>1899</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3">
      <c r="A258" s="476" t="s">
        <v>2162</v>
      </c>
      <c r="B258" s="477">
        <v>39600000</v>
      </c>
      <c r="C258" s="212" t="s">
        <v>2646</v>
      </c>
      <c r="D258" s="478">
        <v>253</v>
      </c>
      <c r="E258" s="478">
        <v>20215000006393</v>
      </c>
      <c r="F258" s="479">
        <v>44235</v>
      </c>
      <c r="G258" s="478" t="s">
        <v>2640</v>
      </c>
      <c r="H258" s="212" t="s">
        <v>2641</v>
      </c>
      <c r="I258" s="212" t="s">
        <v>228</v>
      </c>
      <c r="J258" s="475">
        <v>39600000</v>
      </c>
      <c r="K258" s="212" t="s">
        <v>223</v>
      </c>
      <c r="L258" s="212" t="s">
        <v>283</v>
      </c>
      <c r="M258" s="212" t="s">
        <v>44</v>
      </c>
      <c r="N258" s="212" t="s">
        <v>45</v>
      </c>
      <c r="O258" s="212" t="s">
        <v>63</v>
      </c>
      <c r="P258" s="212" t="s">
        <v>674</v>
      </c>
      <c r="R258" s="212">
        <v>213</v>
      </c>
      <c r="S258" s="479">
        <v>44235</v>
      </c>
      <c r="T258" s="212" t="s">
        <v>3271</v>
      </c>
      <c r="U258" s="475">
        <f>39600000-7200000</f>
        <v>32400000</v>
      </c>
      <c r="V258" s="444">
        <v>7200000</v>
      </c>
      <c r="W258" s="398"/>
      <c r="X258" s="308">
        <v>258</v>
      </c>
      <c r="Y258" s="484">
        <v>44265</v>
      </c>
      <c r="Z258" s="484">
        <v>44265</v>
      </c>
      <c r="AA258" s="484">
        <v>44540</v>
      </c>
      <c r="AB258" s="485" t="s">
        <v>2650</v>
      </c>
      <c r="AC258" s="211">
        <v>184</v>
      </c>
      <c r="AD258" s="485" t="s">
        <v>3272</v>
      </c>
      <c r="AE258" s="486" t="s">
        <v>3273</v>
      </c>
      <c r="AF258" s="473">
        <v>32400000</v>
      </c>
      <c r="AG258" s="474">
        <f t="shared" si="4"/>
        <v>0</v>
      </c>
      <c r="AK258" s="475">
        <v>2520000</v>
      </c>
      <c r="AL258" s="475">
        <v>3600000</v>
      </c>
      <c r="AM258" s="306">
        <v>3600000</v>
      </c>
    </row>
    <row r="259" spans="1:50" ht="15" hidden="1" customHeight="1" x14ac:dyDescent="0.3">
      <c r="B259" s="477" t="s">
        <v>2683</v>
      </c>
      <c r="C259" s="212" t="s">
        <v>2646</v>
      </c>
      <c r="D259" s="478">
        <v>254</v>
      </c>
      <c r="E259" s="309">
        <v>20217000008603</v>
      </c>
      <c r="F259" s="479">
        <v>44244</v>
      </c>
      <c r="G259" s="478" t="s">
        <v>2647</v>
      </c>
      <c r="H259" s="212" t="s">
        <v>2648</v>
      </c>
      <c r="I259" s="212" t="s">
        <v>164</v>
      </c>
      <c r="J259" s="475">
        <v>7900226</v>
      </c>
      <c r="K259" s="212" t="s">
        <v>138</v>
      </c>
      <c r="L259" s="212" t="s">
        <v>139</v>
      </c>
      <c r="M259" s="212" t="s">
        <v>44</v>
      </c>
      <c r="N259" s="212" t="s">
        <v>45</v>
      </c>
      <c r="O259" s="212" t="s">
        <v>142</v>
      </c>
      <c r="P259" s="212" t="s">
        <v>43</v>
      </c>
      <c r="R259" s="486">
        <v>268</v>
      </c>
      <c r="S259" s="490">
        <v>44244</v>
      </c>
      <c r="T259" s="486" t="s">
        <v>3274</v>
      </c>
      <c r="U259" s="475">
        <v>7900226</v>
      </c>
      <c r="V259" s="406"/>
      <c r="W259" s="362"/>
      <c r="X259" s="483">
        <v>169</v>
      </c>
      <c r="Y259" s="484">
        <v>44246</v>
      </c>
      <c r="Z259" s="484">
        <v>44249</v>
      </c>
      <c r="AA259" s="484">
        <v>44307</v>
      </c>
      <c r="AB259" s="485" t="s">
        <v>2650</v>
      </c>
      <c r="AC259" s="483">
        <v>499</v>
      </c>
      <c r="AD259" s="485">
        <v>9535500</v>
      </c>
      <c r="AE259" s="486" t="s">
        <v>3275</v>
      </c>
      <c r="AF259" s="473">
        <v>7900226</v>
      </c>
      <c r="AG259" s="474">
        <f t="shared" si="4"/>
        <v>0</v>
      </c>
      <c r="AJ259" s="475">
        <v>3950113</v>
      </c>
      <c r="AK259" s="475">
        <v>3950113</v>
      </c>
      <c r="AM259" s="212"/>
    </row>
    <row r="260" spans="1:50" ht="15.75" hidden="1" customHeight="1" x14ac:dyDescent="0.3">
      <c r="B260" s="477" t="s">
        <v>2683</v>
      </c>
      <c r="C260" s="515" t="s">
        <v>3276</v>
      </c>
      <c r="D260" s="478">
        <v>255</v>
      </c>
      <c r="E260" s="309">
        <v>20214000008653</v>
      </c>
      <c r="F260" s="479">
        <v>44244</v>
      </c>
      <c r="G260" s="478" t="s">
        <v>2680</v>
      </c>
      <c r="H260" s="212" t="s">
        <v>2681</v>
      </c>
      <c r="I260" s="212" t="s">
        <v>47</v>
      </c>
      <c r="J260" s="480">
        <v>43792000</v>
      </c>
      <c r="K260" s="212" t="s">
        <v>37</v>
      </c>
      <c r="L260" s="515" t="s">
        <v>3180</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2650</v>
      </c>
      <c r="AC260" s="483">
        <v>332</v>
      </c>
      <c r="AD260" s="485">
        <v>901105939</v>
      </c>
      <c r="AE260" s="486" t="s">
        <v>3277</v>
      </c>
      <c r="AF260" s="488">
        <v>43792000</v>
      </c>
      <c r="AG260" s="474">
        <f t="shared" si="4"/>
        <v>0</v>
      </c>
      <c r="AH260" s="480"/>
      <c r="AL260" s="475">
        <v>21896000</v>
      </c>
      <c r="AM260" s="212"/>
    </row>
    <row r="261" spans="1:50" ht="15" hidden="1" customHeight="1" x14ac:dyDescent="0.3">
      <c r="A261" s="476" t="s">
        <v>2308</v>
      </c>
      <c r="B261" s="477">
        <v>250000000</v>
      </c>
      <c r="C261" s="212" t="s">
        <v>3278</v>
      </c>
      <c r="D261" s="478">
        <v>256</v>
      </c>
      <c r="E261" s="309">
        <v>20211400008903</v>
      </c>
      <c r="F261" s="479">
        <v>44245</v>
      </c>
      <c r="G261" s="478" t="s">
        <v>2647</v>
      </c>
      <c r="H261" s="212" t="s">
        <v>2648</v>
      </c>
      <c r="I261" s="212" t="s">
        <v>184</v>
      </c>
      <c r="J261" s="475">
        <v>250000000</v>
      </c>
      <c r="K261" s="212" t="s">
        <v>138</v>
      </c>
      <c r="L261" s="212" t="s">
        <v>2652</v>
      </c>
      <c r="M261" s="212" t="s">
        <v>44</v>
      </c>
      <c r="N261" s="212" t="s">
        <v>45</v>
      </c>
      <c r="O261" s="212" t="s">
        <v>194</v>
      </c>
      <c r="P261" s="212" t="s">
        <v>43</v>
      </c>
      <c r="R261" s="486">
        <v>270</v>
      </c>
      <c r="S261" s="490">
        <v>44246</v>
      </c>
      <c r="T261" s="486" t="s">
        <v>3279</v>
      </c>
      <c r="U261" s="475">
        <f>250000000-1190992</f>
        <v>248809008</v>
      </c>
      <c r="V261" s="406">
        <v>1190992</v>
      </c>
      <c r="W261" s="362" t="s">
        <v>1509</v>
      </c>
      <c r="X261" s="483" t="s">
        <v>3280</v>
      </c>
      <c r="Y261" s="484">
        <v>44291</v>
      </c>
      <c r="Z261" s="484">
        <v>44291</v>
      </c>
      <c r="AA261" s="484">
        <v>44561</v>
      </c>
      <c r="AB261" s="485" t="s">
        <v>3281</v>
      </c>
      <c r="AC261" s="483" t="s">
        <v>3282</v>
      </c>
      <c r="AD261" s="485" t="s">
        <v>3283</v>
      </c>
      <c r="AE261" s="486" t="s">
        <v>2843</v>
      </c>
      <c r="AF261" s="473">
        <v>248809008</v>
      </c>
      <c r="AG261" s="474">
        <f t="shared" si="4"/>
        <v>0</v>
      </c>
      <c r="AM261" s="212"/>
    </row>
    <row r="262" spans="1:50" ht="15" hidden="1" customHeight="1" x14ac:dyDescent="0.3">
      <c r="A262" s="476" t="s">
        <v>2440</v>
      </c>
      <c r="B262" s="477">
        <v>65000000</v>
      </c>
      <c r="C262" s="212" t="s">
        <v>2646</v>
      </c>
      <c r="D262" s="478">
        <v>257</v>
      </c>
      <c r="E262" s="309">
        <v>20211200012143</v>
      </c>
      <c r="F262" s="479">
        <v>44259</v>
      </c>
      <c r="G262" s="478" t="s">
        <v>2647</v>
      </c>
      <c r="H262" s="212" t="s">
        <v>2648</v>
      </c>
      <c r="I262" s="212" t="s">
        <v>143</v>
      </c>
      <c r="J262" s="475">
        <v>19800000</v>
      </c>
      <c r="K262" s="212" t="s">
        <v>138</v>
      </c>
      <c r="L262" s="212" t="s">
        <v>139</v>
      </c>
      <c r="M262" s="212" t="s">
        <v>44</v>
      </c>
      <c r="N262" s="212" t="s">
        <v>45</v>
      </c>
      <c r="O262" s="212" t="s">
        <v>142</v>
      </c>
      <c r="P262" s="212" t="s">
        <v>43</v>
      </c>
      <c r="R262" s="212">
        <v>330</v>
      </c>
      <c r="S262" s="490">
        <v>44259</v>
      </c>
      <c r="T262" s="486" t="s">
        <v>3014</v>
      </c>
      <c r="U262" s="475">
        <v>19800000</v>
      </c>
      <c r="V262" s="406"/>
      <c r="W262" s="362"/>
      <c r="X262" s="308">
        <v>259</v>
      </c>
      <c r="Y262" s="484">
        <v>44265</v>
      </c>
      <c r="Z262" s="484">
        <v>44265</v>
      </c>
      <c r="AA262" s="484">
        <v>44387</v>
      </c>
      <c r="AB262" s="485" t="s">
        <v>2650</v>
      </c>
      <c r="AC262" s="211">
        <v>188</v>
      </c>
      <c r="AD262" s="485" t="s">
        <v>3284</v>
      </c>
      <c r="AE262" s="486" t="s">
        <v>3285</v>
      </c>
      <c r="AF262" s="473">
        <v>19800000</v>
      </c>
      <c r="AK262" s="475">
        <v>3300000</v>
      </c>
      <c r="AL262" s="475">
        <v>4950000</v>
      </c>
      <c r="AM262" s="306">
        <v>4950000</v>
      </c>
    </row>
    <row r="263" spans="1:50" ht="15" hidden="1" customHeight="1" x14ac:dyDescent="0.3">
      <c r="A263" s="476" t="s">
        <v>1897</v>
      </c>
      <c r="B263" s="477">
        <v>134074420</v>
      </c>
      <c r="C263" s="212" t="s">
        <v>2646</v>
      </c>
      <c r="D263" s="478">
        <v>258</v>
      </c>
      <c r="E263" s="309">
        <v>20212000008463</v>
      </c>
      <c r="F263" s="479">
        <v>44244</v>
      </c>
      <c r="G263" s="478" t="s">
        <v>2640</v>
      </c>
      <c r="H263" s="212" t="s">
        <v>2641</v>
      </c>
      <c r="I263" s="212" t="s">
        <v>391</v>
      </c>
      <c r="J263" s="475">
        <v>79530000</v>
      </c>
      <c r="K263" s="210" t="s">
        <v>2711</v>
      </c>
      <c r="L263" s="212" t="s">
        <v>2712</v>
      </c>
      <c r="M263" s="212" t="s">
        <v>44</v>
      </c>
      <c r="N263" s="212" t="s">
        <v>45</v>
      </c>
      <c r="O263" s="212" t="s">
        <v>63</v>
      </c>
      <c r="P263" s="212" t="s">
        <v>674</v>
      </c>
      <c r="R263" s="486">
        <v>262</v>
      </c>
      <c r="S263" s="490">
        <v>44244</v>
      </c>
      <c r="T263" s="486" t="s">
        <v>3286</v>
      </c>
      <c r="U263" s="475">
        <f>79534000-22724000</f>
        <v>56810000</v>
      </c>
      <c r="V263" s="411">
        <v>22724000</v>
      </c>
      <c r="W263" s="397"/>
      <c r="X263" s="308">
        <v>260</v>
      </c>
      <c r="Y263" s="484">
        <v>44265</v>
      </c>
      <c r="Z263" s="484">
        <v>44265</v>
      </c>
      <c r="AA263" s="484">
        <v>44418</v>
      </c>
      <c r="AB263" s="485" t="s">
        <v>2650</v>
      </c>
      <c r="AC263" s="211">
        <v>186</v>
      </c>
      <c r="AD263" s="485" t="s">
        <v>3287</v>
      </c>
      <c r="AE263" s="486" t="s">
        <v>3288</v>
      </c>
      <c r="AF263" s="473">
        <v>56810000</v>
      </c>
      <c r="AG263" s="474">
        <f>+U263-AF263</f>
        <v>0</v>
      </c>
      <c r="AK263" s="475">
        <v>7195933</v>
      </c>
      <c r="AM263" s="306">
        <v>11362000</v>
      </c>
    </row>
    <row r="264" spans="1:50" ht="15" hidden="1" customHeight="1" x14ac:dyDescent="0.3">
      <c r="A264" s="476" t="s">
        <v>2328</v>
      </c>
      <c r="B264" s="477">
        <v>37260000</v>
      </c>
      <c r="C264" s="212" t="s">
        <v>2646</v>
      </c>
      <c r="D264" s="478">
        <v>259</v>
      </c>
      <c r="E264" s="478">
        <v>20211400001553</v>
      </c>
      <c r="F264" s="479">
        <v>44214</v>
      </c>
      <c r="G264" s="478" t="s">
        <v>2647</v>
      </c>
      <c r="H264" s="212" t="s">
        <v>2648</v>
      </c>
      <c r="I264" s="212" t="s">
        <v>184</v>
      </c>
      <c r="J264" s="475">
        <v>37260000</v>
      </c>
      <c r="K264" s="212" t="s">
        <v>138</v>
      </c>
      <c r="L264" s="212" t="s">
        <v>2652</v>
      </c>
      <c r="M264" s="212" t="s">
        <v>44</v>
      </c>
      <c r="N264" s="212" t="s">
        <v>45</v>
      </c>
      <c r="O264" s="212" t="s">
        <v>142</v>
      </c>
      <c r="P264" s="212" t="s">
        <v>43</v>
      </c>
      <c r="R264" s="212">
        <v>67</v>
      </c>
      <c r="S264" s="479">
        <v>44214</v>
      </c>
      <c r="T264" s="212" t="s">
        <v>3289</v>
      </c>
      <c r="U264" s="475">
        <f>37260000-1260000</f>
        <v>36000000</v>
      </c>
      <c r="V264" s="406">
        <v>1260000</v>
      </c>
      <c r="W264" s="362" t="s">
        <v>1509</v>
      </c>
      <c r="X264" s="308">
        <v>261</v>
      </c>
      <c r="Y264" s="484">
        <v>44266</v>
      </c>
      <c r="Z264" s="484">
        <v>44266</v>
      </c>
      <c r="AA264" s="484">
        <v>44511</v>
      </c>
      <c r="AB264" s="485" t="s">
        <v>2650</v>
      </c>
      <c r="AC264" s="211">
        <v>187</v>
      </c>
      <c r="AD264" s="485" t="s">
        <v>3290</v>
      </c>
      <c r="AE264" s="486" t="s">
        <v>3291</v>
      </c>
      <c r="AF264" s="473">
        <v>36000000</v>
      </c>
      <c r="AG264" s="474">
        <f>+U264-AF264</f>
        <v>0</v>
      </c>
      <c r="AK264" s="475">
        <v>3000000</v>
      </c>
      <c r="AL264" s="475">
        <v>4500000</v>
      </c>
      <c r="AM264" s="306">
        <v>4500000</v>
      </c>
    </row>
    <row r="265" spans="1:50" s="312" customFormat="1" ht="15" hidden="1" customHeight="1" x14ac:dyDescent="0.3">
      <c r="A265" s="361" t="s">
        <v>3292</v>
      </c>
      <c r="B265" s="417">
        <v>58300000</v>
      </c>
      <c r="C265" s="312" t="s">
        <v>2646</v>
      </c>
      <c r="D265" s="325">
        <v>260</v>
      </c>
      <c r="E265" s="325">
        <v>20215000008973</v>
      </c>
      <c r="F265" s="315">
        <v>44245</v>
      </c>
      <c r="G265" s="325" t="s">
        <v>2640</v>
      </c>
      <c r="H265" s="312" t="s">
        <v>2641</v>
      </c>
      <c r="I265" s="312" t="s">
        <v>228</v>
      </c>
      <c r="J265" s="405">
        <v>58300000</v>
      </c>
      <c r="K265" s="312" t="s">
        <v>223</v>
      </c>
      <c r="L265" s="312" t="s">
        <v>2758</v>
      </c>
      <c r="M265" s="312" t="s">
        <v>44</v>
      </c>
      <c r="N265" s="312" t="s">
        <v>45</v>
      </c>
      <c r="O265" s="312" t="s">
        <v>63</v>
      </c>
      <c r="P265" s="312" t="s">
        <v>674</v>
      </c>
      <c r="R265" s="360">
        <v>273</v>
      </c>
      <c r="S265" s="363">
        <v>44246</v>
      </c>
      <c r="T265" s="360" t="s">
        <v>3293</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3">
      <c r="A266" s="476" t="s">
        <v>2586</v>
      </c>
      <c r="B266" s="477">
        <v>22400000</v>
      </c>
      <c r="C266" s="212" t="s">
        <v>2646</v>
      </c>
      <c r="D266" s="478">
        <v>261</v>
      </c>
      <c r="E266" s="309">
        <v>20213000009213</v>
      </c>
      <c r="F266" s="479">
        <v>44252</v>
      </c>
      <c r="G266" s="478" t="s">
        <v>2640</v>
      </c>
      <c r="H266" s="212" t="s">
        <v>2641</v>
      </c>
      <c r="I266" s="212" t="s">
        <v>432</v>
      </c>
      <c r="J266" s="475">
        <v>22400000</v>
      </c>
      <c r="K266" s="212" t="s">
        <v>342</v>
      </c>
      <c r="L266" s="212" t="s">
        <v>351</v>
      </c>
      <c r="M266" s="212" t="s">
        <v>44</v>
      </c>
      <c r="N266" s="212" t="s">
        <v>45</v>
      </c>
      <c r="O266" s="212" t="s">
        <v>63</v>
      </c>
      <c r="P266" s="212" t="s">
        <v>674</v>
      </c>
      <c r="R266" s="486">
        <v>300</v>
      </c>
      <c r="S266" s="490">
        <v>44252</v>
      </c>
      <c r="T266" s="486" t="s">
        <v>3294</v>
      </c>
      <c r="U266" s="475">
        <v>22400000</v>
      </c>
      <c r="V266" s="406"/>
      <c r="W266" s="362"/>
      <c r="X266" s="308">
        <v>262</v>
      </c>
      <c r="Y266" s="484">
        <v>44266</v>
      </c>
      <c r="Z266" s="484">
        <v>44266</v>
      </c>
      <c r="AA266" s="484">
        <v>44511</v>
      </c>
      <c r="AB266" s="485" t="s">
        <v>2650</v>
      </c>
      <c r="AC266" s="211">
        <v>185</v>
      </c>
      <c r="AD266" s="485" t="s">
        <v>3295</v>
      </c>
      <c r="AE266" s="486" t="s">
        <v>3018</v>
      </c>
      <c r="AF266" s="473">
        <v>22400000</v>
      </c>
      <c r="AG266" s="474">
        <f>+U266-AF266</f>
        <v>0</v>
      </c>
      <c r="AK266" s="475">
        <v>1773333</v>
      </c>
      <c r="AL266" s="475">
        <v>2800000</v>
      </c>
      <c r="AM266" s="306">
        <v>2053333</v>
      </c>
    </row>
    <row r="267" spans="1:50" s="312" customFormat="1" ht="15" hidden="1" customHeight="1" x14ac:dyDescent="0.3">
      <c r="A267" s="361" t="s">
        <v>2257</v>
      </c>
      <c r="B267" s="417">
        <v>60000000</v>
      </c>
      <c r="C267" s="312" t="s">
        <v>2762</v>
      </c>
      <c r="D267" s="325">
        <v>262</v>
      </c>
      <c r="E267" s="325">
        <v>20217000009273</v>
      </c>
      <c r="F267" s="315">
        <v>44246</v>
      </c>
      <c r="G267" s="325" t="s">
        <v>2647</v>
      </c>
      <c r="H267" s="312" t="s">
        <v>2648</v>
      </c>
      <c r="I267" s="312" t="s">
        <v>164</v>
      </c>
      <c r="J267" s="405">
        <v>58145664</v>
      </c>
      <c r="K267" s="312" t="s">
        <v>138</v>
      </c>
      <c r="L267" s="312" t="s">
        <v>139</v>
      </c>
      <c r="M267" s="312" t="s">
        <v>44</v>
      </c>
      <c r="N267" s="312" t="s">
        <v>45</v>
      </c>
      <c r="O267" s="312" t="s">
        <v>142</v>
      </c>
      <c r="P267" s="312" t="s">
        <v>43</v>
      </c>
      <c r="R267" s="360">
        <v>277</v>
      </c>
      <c r="S267" s="363">
        <v>44246</v>
      </c>
      <c r="T267" s="360" t="s">
        <v>3195</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3">
      <c r="A268" s="476" t="s">
        <v>2419</v>
      </c>
      <c r="B268" s="477">
        <v>44064000</v>
      </c>
      <c r="C268" s="212" t="s">
        <v>2646</v>
      </c>
      <c r="D268" s="478">
        <v>263</v>
      </c>
      <c r="E268" s="309">
        <v>20212000011393</v>
      </c>
      <c r="F268" s="479">
        <v>44258</v>
      </c>
      <c r="G268" s="478" t="s">
        <v>2640</v>
      </c>
      <c r="H268" s="212" t="s">
        <v>2641</v>
      </c>
      <c r="I268" s="212" t="s">
        <v>391</v>
      </c>
      <c r="J268" s="475">
        <v>28560000</v>
      </c>
      <c r="K268" s="210" t="s">
        <v>2711</v>
      </c>
      <c r="L268" s="212" t="s">
        <v>2712</v>
      </c>
      <c r="M268" s="212" t="s">
        <v>44</v>
      </c>
      <c r="N268" s="212" t="s">
        <v>45</v>
      </c>
      <c r="O268" s="212" t="s">
        <v>63</v>
      </c>
      <c r="P268" s="212" t="s">
        <v>674</v>
      </c>
      <c r="R268" s="212">
        <v>326</v>
      </c>
      <c r="S268" s="490">
        <v>44258</v>
      </c>
      <c r="T268" s="486" t="s">
        <v>3296</v>
      </c>
      <c r="U268" s="475">
        <v>28560000</v>
      </c>
      <c r="V268" s="406"/>
      <c r="W268" s="362"/>
      <c r="X268" s="308">
        <v>263</v>
      </c>
      <c r="Y268" s="484">
        <v>44267</v>
      </c>
      <c r="Z268" s="484">
        <v>44267</v>
      </c>
      <c r="AA268" s="484">
        <v>44389</v>
      </c>
      <c r="AB268" s="485" t="s">
        <v>2650</v>
      </c>
      <c r="AC268" s="211">
        <v>189</v>
      </c>
      <c r="AD268" s="485" t="s">
        <v>3297</v>
      </c>
      <c r="AE268" s="486" t="s">
        <v>3298</v>
      </c>
      <c r="AF268" s="473">
        <v>28560000</v>
      </c>
      <c r="AK268" s="475">
        <v>3570000</v>
      </c>
      <c r="AL268" s="475">
        <v>7140000</v>
      </c>
      <c r="AM268" s="306">
        <v>7140000</v>
      </c>
    </row>
    <row r="269" spans="1:50" s="312" customFormat="1" ht="15.75" hidden="1" customHeight="1" x14ac:dyDescent="0.3">
      <c r="A269" s="476"/>
      <c r="B269" s="501" t="s">
        <v>2683</v>
      </c>
      <c r="C269" s="510" t="s">
        <v>3299</v>
      </c>
      <c r="D269" s="325">
        <v>264</v>
      </c>
      <c r="E269" s="325">
        <v>20215000009113</v>
      </c>
      <c r="F269" s="315">
        <v>44249</v>
      </c>
      <c r="G269" s="325" t="s">
        <v>2640</v>
      </c>
      <c r="H269" s="312" t="s">
        <v>2641</v>
      </c>
      <c r="I269" s="312" t="s">
        <v>228</v>
      </c>
      <c r="J269" s="405">
        <v>114229680</v>
      </c>
      <c r="K269" s="312" t="s">
        <v>223</v>
      </c>
      <c r="L269" s="312" t="s">
        <v>236</v>
      </c>
      <c r="M269" s="312" t="s">
        <v>44</v>
      </c>
      <c r="N269" s="312" t="s">
        <v>45</v>
      </c>
      <c r="O269" s="312" t="s">
        <v>265</v>
      </c>
      <c r="P269" s="312" t="s">
        <v>674</v>
      </c>
      <c r="Q269" s="312" t="s">
        <v>3300</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3">
      <c r="A270" s="476"/>
      <c r="B270" s="501" t="s">
        <v>2683</v>
      </c>
      <c r="C270" s="517" t="s">
        <v>3301</v>
      </c>
      <c r="D270" s="309">
        <v>265</v>
      </c>
      <c r="E270" s="478">
        <v>20211200013063</v>
      </c>
      <c r="F270" s="479">
        <v>44264</v>
      </c>
      <c r="G270" s="478" t="s">
        <v>2647</v>
      </c>
      <c r="H270" s="212" t="s">
        <v>2648</v>
      </c>
      <c r="I270" s="212" t="s">
        <v>143</v>
      </c>
      <c r="J270" s="475">
        <v>11401390</v>
      </c>
      <c r="K270" s="212" t="s">
        <v>138</v>
      </c>
      <c r="L270" s="212" t="s">
        <v>139</v>
      </c>
      <c r="M270" s="212" t="s">
        <v>44</v>
      </c>
      <c r="N270" s="212" t="s">
        <v>45</v>
      </c>
      <c r="O270" s="212" t="s">
        <v>142</v>
      </c>
      <c r="P270" s="212" t="s">
        <v>43</v>
      </c>
      <c r="Q270" s="212"/>
      <c r="R270" s="212">
        <v>347</v>
      </c>
      <c r="S270" s="490">
        <v>44264</v>
      </c>
      <c r="T270" s="486" t="s">
        <v>3302</v>
      </c>
      <c r="U270" s="475">
        <v>11401390</v>
      </c>
      <c r="V270" s="406"/>
      <c r="W270" s="362"/>
      <c r="X270" s="308">
        <v>264</v>
      </c>
      <c r="Y270" s="484">
        <v>44267</v>
      </c>
      <c r="Z270" s="484">
        <v>44269</v>
      </c>
      <c r="AA270" s="484">
        <v>44334</v>
      </c>
      <c r="AB270" s="485" t="s">
        <v>2650</v>
      </c>
      <c r="AC270" s="211">
        <v>492</v>
      </c>
      <c r="AD270" s="485" t="s">
        <v>3303</v>
      </c>
      <c r="AE270" s="486" t="s">
        <v>3304</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3">
      <c r="A271" s="476"/>
      <c r="B271" s="501" t="s">
        <v>2683</v>
      </c>
      <c r="C271" s="518" t="s">
        <v>3305</v>
      </c>
      <c r="D271" s="309">
        <v>266</v>
      </c>
      <c r="E271" s="309">
        <v>20212000009583</v>
      </c>
      <c r="F271" s="310">
        <v>44249</v>
      </c>
      <c r="G271" s="309" t="s">
        <v>2640</v>
      </c>
      <c r="H271" s="210" t="s">
        <v>2641</v>
      </c>
      <c r="I271" s="212" t="s">
        <v>391</v>
      </c>
      <c r="J271" s="407">
        <v>2304653299</v>
      </c>
      <c r="K271" s="210" t="s">
        <v>2711</v>
      </c>
      <c r="L271" s="210" t="s">
        <v>3306</v>
      </c>
      <c r="M271" s="210" t="s">
        <v>44</v>
      </c>
      <c r="N271" s="210" t="s">
        <v>45</v>
      </c>
      <c r="O271" s="212" t="s">
        <v>46</v>
      </c>
      <c r="P271" s="210" t="s">
        <v>674</v>
      </c>
      <c r="R271" s="486">
        <v>281</v>
      </c>
      <c r="S271" s="490">
        <v>44249</v>
      </c>
      <c r="T271" s="486" t="s">
        <v>3307</v>
      </c>
      <c r="U271" s="475">
        <v>2304653299</v>
      </c>
      <c r="V271" s="406"/>
      <c r="W271" s="362"/>
      <c r="X271" s="483">
        <v>196</v>
      </c>
      <c r="Y271" s="484">
        <v>44253</v>
      </c>
      <c r="Z271" s="484">
        <v>44256</v>
      </c>
      <c r="AA271" s="484">
        <v>44561</v>
      </c>
      <c r="AB271" s="485" t="s">
        <v>2837</v>
      </c>
      <c r="AC271" s="483">
        <v>460</v>
      </c>
      <c r="AD271" s="485">
        <v>901272929</v>
      </c>
      <c r="AE271" s="486" t="s">
        <v>3308</v>
      </c>
      <c r="AF271" s="473">
        <v>2304653299</v>
      </c>
      <c r="AG271" s="474">
        <f>+U271-AF271</f>
        <v>0</v>
      </c>
      <c r="AH271" s="407"/>
      <c r="AI271" s="407"/>
      <c r="AJ271" s="475"/>
      <c r="AK271" s="475"/>
      <c r="AL271" s="475"/>
      <c r="AM271" s="212"/>
    </row>
    <row r="272" spans="1:50" s="210" customFormat="1" ht="15" hidden="1" customHeight="1" x14ac:dyDescent="0.3">
      <c r="A272" s="476" t="s">
        <v>2520</v>
      </c>
      <c r="B272" s="477">
        <v>72000000</v>
      </c>
      <c r="C272" s="212" t="s">
        <v>2646</v>
      </c>
      <c r="D272" s="309">
        <v>267</v>
      </c>
      <c r="E272" s="309">
        <v>20213000008953</v>
      </c>
      <c r="F272" s="479">
        <v>44245</v>
      </c>
      <c r="G272" s="478" t="s">
        <v>2640</v>
      </c>
      <c r="H272" s="212" t="s">
        <v>2641</v>
      </c>
      <c r="I272" s="212" t="s">
        <v>432</v>
      </c>
      <c r="J272" s="475">
        <v>72000000</v>
      </c>
      <c r="K272" s="212" t="s">
        <v>358</v>
      </c>
      <c r="L272" s="212" t="s">
        <v>2791</v>
      </c>
      <c r="M272" s="212" t="s">
        <v>44</v>
      </c>
      <c r="N272" s="212" t="s">
        <v>45</v>
      </c>
      <c r="O272" s="212" t="s">
        <v>63</v>
      </c>
      <c r="P272" s="212" t="s">
        <v>674</v>
      </c>
      <c r="Q272" s="212"/>
      <c r="R272" s="486">
        <v>272</v>
      </c>
      <c r="S272" s="490">
        <v>44246</v>
      </c>
      <c r="T272" s="486" t="s">
        <v>3309</v>
      </c>
      <c r="U272" s="475">
        <v>72000000</v>
      </c>
      <c r="V272" s="406"/>
      <c r="W272" s="362"/>
      <c r="X272" s="308">
        <v>265</v>
      </c>
      <c r="Y272" s="484">
        <v>44270</v>
      </c>
      <c r="Z272" s="484">
        <v>44270</v>
      </c>
      <c r="AA272" s="484">
        <v>44515</v>
      </c>
      <c r="AB272" s="485" t="s">
        <v>2650</v>
      </c>
      <c r="AC272" s="211">
        <v>191</v>
      </c>
      <c r="AD272" s="485" t="s">
        <v>3310</v>
      </c>
      <c r="AE272" s="486" t="s">
        <v>3311</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3">
      <c r="A273" s="361" t="s">
        <v>3312</v>
      </c>
      <c r="B273" s="417">
        <v>36000000</v>
      </c>
      <c r="C273" s="312" t="s">
        <v>2646</v>
      </c>
      <c r="D273" s="325">
        <v>268</v>
      </c>
      <c r="E273" s="325">
        <v>20211400009723</v>
      </c>
      <c r="F273" s="315">
        <v>44250</v>
      </c>
      <c r="G273" s="325" t="s">
        <v>2647</v>
      </c>
      <c r="H273" s="312" t="s">
        <v>2648</v>
      </c>
      <c r="I273" s="312" t="s">
        <v>184</v>
      </c>
      <c r="J273" s="405">
        <v>36000000</v>
      </c>
      <c r="K273" s="312" t="s">
        <v>138</v>
      </c>
      <c r="L273" s="312" t="s">
        <v>2652</v>
      </c>
      <c r="M273" s="312" t="s">
        <v>44</v>
      </c>
      <c r="N273" s="312" t="s">
        <v>45</v>
      </c>
      <c r="O273" s="312" t="s">
        <v>142</v>
      </c>
      <c r="P273" s="312" t="s">
        <v>43</v>
      </c>
      <c r="R273" s="360">
        <v>283</v>
      </c>
      <c r="S273" s="363">
        <v>44250</v>
      </c>
      <c r="T273" s="360" t="s">
        <v>3313</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3">
      <c r="A274" s="361" t="s">
        <v>2302</v>
      </c>
      <c r="B274" s="417">
        <v>32697000</v>
      </c>
      <c r="C274" s="312" t="s">
        <v>3314</v>
      </c>
      <c r="D274" s="325">
        <v>269</v>
      </c>
      <c r="E274" s="325">
        <v>20211400009713</v>
      </c>
      <c r="F274" s="315">
        <v>44250</v>
      </c>
      <c r="G274" s="325" t="s">
        <v>2647</v>
      </c>
      <c r="H274" s="312" t="s">
        <v>2648</v>
      </c>
      <c r="I274" s="312" t="s">
        <v>184</v>
      </c>
      <c r="J274" s="405">
        <v>32697000</v>
      </c>
      <c r="K274" s="312" t="s">
        <v>138</v>
      </c>
      <c r="L274" s="312" t="s">
        <v>2652</v>
      </c>
      <c r="M274" s="312" t="s">
        <v>2842</v>
      </c>
      <c r="N274" s="312" t="s">
        <v>157</v>
      </c>
      <c r="O274" s="312" t="s">
        <v>158</v>
      </c>
      <c r="P274" s="312" t="s">
        <v>43</v>
      </c>
      <c r="Q274" s="312" t="s">
        <v>3300</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3">
      <c r="B275" s="501" t="s">
        <v>3016</v>
      </c>
      <c r="C275" s="212" t="s">
        <v>3315</v>
      </c>
      <c r="D275" s="478">
        <v>270</v>
      </c>
      <c r="E275" s="478">
        <v>20214000013073</v>
      </c>
      <c r="F275" s="310">
        <v>44265</v>
      </c>
      <c r="G275" s="478" t="s">
        <v>2680</v>
      </c>
      <c r="H275" s="212" t="s">
        <v>2681</v>
      </c>
      <c r="I275" s="212" t="s">
        <v>47</v>
      </c>
      <c r="J275" s="475">
        <v>15565001</v>
      </c>
      <c r="K275" s="212" t="s">
        <v>37</v>
      </c>
      <c r="L275" s="212" t="s">
        <v>81</v>
      </c>
      <c r="M275" s="212" t="s">
        <v>44</v>
      </c>
      <c r="N275" s="212" t="s">
        <v>45</v>
      </c>
      <c r="O275" s="212" t="s">
        <v>310</v>
      </c>
      <c r="P275" s="210" t="s">
        <v>77</v>
      </c>
      <c r="R275" s="212">
        <v>369</v>
      </c>
      <c r="S275" s="490">
        <v>44265</v>
      </c>
      <c r="T275" s="486" t="s">
        <v>3316</v>
      </c>
      <c r="U275" s="475">
        <v>15565001</v>
      </c>
      <c r="V275" s="406"/>
      <c r="W275" s="362"/>
      <c r="X275" s="308">
        <v>266</v>
      </c>
      <c r="Y275" s="484">
        <v>44270</v>
      </c>
      <c r="Z275" s="484">
        <v>44270</v>
      </c>
      <c r="AA275" s="484">
        <v>44272</v>
      </c>
      <c r="AB275" s="485" t="s">
        <v>2670</v>
      </c>
      <c r="AC275" s="211">
        <v>689</v>
      </c>
      <c r="AD275" s="485" t="s">
        <v>3317</v>
      </c>
      <c r="AE275" s="486" t="s">
        <v>3318</v>
      </c>
      <c r="AF275" s="473">
        <v>15565001</v>
      </c>
      <c r="AL275" s="475">
        <v>14008499</v>
      </c>
      <c r="AM275" s="212"/>
    </row>
    <row r="276" spans="1:39" hidden="1" x14ac:dyDescent="0.3">
      <c r="A276" s="476" t="s">
        <v>2518</v>
      </c>
      <c r="B276" s="477">
        <v>60000000</v>
      </c>
      <c r="C276" s="212" t="s">
        <v>2646</v>
      </c>
      <c r="D276" s="478">
        <v>271</v>
      </c>
      <c r="E276" s="309">
        <v>20213000010793</v>
      </c>
      <c r="F276" s="479">
        <v>44253</v>
      </c>
      <c r="G276" s="478" t="s">
        <v>2640</v>
      </c>
      <c r="H276" s="212" t="s">
        <v>2641</v>
      </c>
      <c r="I276" s="212" t="s">
        <v>432</v>
      </c>
      <c r="J276" s="475">
        <v>60000000</v>
      </c>
      <c r="K276" s="212" t="s">
        <v>342</v>
      </c>
      <c r="L276" s="212" t="s">
        <v>351</v>
      </c>
      <c r="M276" s="212" t="s">
        <v>44</v>
      </c>
      <c r="N276" s="212" t="s">
        <v>45</v>
      </c>
      <c r="O276" s="212" t="s">
        <v>63</v>
      </c>
      <c r="P276" s="212" t="s">
        <v>674</v>
      </c>
      <c r="R276" s="212">
        <v>309</v>
      </c>
      <c r="S276" s="479">
        <v>44256</v>
      </c>
      <c r="T276" s="212" t="s">
        <v>3319</v>
      </c>
      <c r="U276" s="475">
        <v>60000000</v>
      </c>
      <c r="V276" s="406"/>
      <c r="W276" s="362"/>
      <c r="X276" s="483" t="s">
        <v>3320</v>
      </c>
      <c r="Y276" s="484">
        <v>44271</v>
      </c>
      <c r="Z276" s="484">
        <v>44271</v>
      </c>
      <c r="AA276" s="484">
        <v>44516</v>
      </c>
      <c r="AB276" s="485" t="s">
        <v>2650</v>
      </c>
      <c r="AC276" s="483" t="s">
        <v>3321</v>
      </c>
      <c r="AD276" s="485" t="s">
        <v>3322</v>
      </c>
      <c r="AE276" s="486" t="s">
        <v>3323</v>
      </c>
      <c r="AF276" s="473">
        <v>60000000</v>
      </c>
      <c r="AG276" s="474">
        <f>+U276-AF276</f>
        <v>0</v>
      </c>
      <c r="AK276" s="475">
        <v>3750000</v>
      </c>
      <c r="AL276" s="475">
        <v>7500000</v>
      </c>
      <c r="AM276" s="306">
        <v>7500000</v>
      </c>
    </row>
    <row r="277" spans="1:39" ht="15.6" hidden="1" x14ac:dyDescent="0.3">
      <c r="B277" s="501" t="s">
        <v>2683</v>
      </c>
      <c r="C277" s="515" t="s">
        <v>3324</v>
      </c>
      <c r="D277" s="478">
        <v>272</v>
      </c>
      <c r="E277" s="309">
        <v>20217000009783</v>
      </c>
      <c r="F277" s="310">
        <v>44250</v>
      </c>
      <c r="G277" s="478" t="s">
        <v>2647</v>
      </c>
      <c r="H277" s="212" t="s">
        <v>2648</v>
      </c>
      <c r="I277" s="212" t="s">
        <v>164</v>
      </c>
      <c r="J277" s="475">
        <v>6320181</v>
      </c>
      <c r="K277" s="212" t="s">
        <v>138</v>
      </c>
      <c r="L277" s="212" t="s">
        <v>139</v>
      </c>
      <c r="M277" s="212" t="s">
        <v>44</v>
      </c>
      <c r="N277" s="212" t="s">
        <v>45</v>
      </c>
      <c r="O277" s="212" t="s">
        <v>142</v>
      </c>
      <c r="P277" s="212" t="s">
        <v>43</v>
      </c>
      <c r="R277" s="486">
        <v>286</v>
      </c>
      <c r="S277" s="490">
        <v>44250</v>
      </c>
      <c r="T277" s="486" t="s">
        <v>3325</v>
      </c>
      <c r="U277" s="475">
        <v>6320181</v>
      </c>
      <c r="V277" s="406"/>
      <c r="W277" s="362"/>
      <c r="X277" s="483" t="s">
        <v>3326</v>
      </c>
      <c r="Y277" s="484">
        <v>44285</v>
      </c>
      <c r="Z277" s="484">
        <v>44286</v>
      </c>
      <c r="AA277" s="484">
        <v>44339</v>
      </c>
      <c r="AB277" s="485" t="s">
        <v>2650</v>
      </c>
      <c r="AC277" s="483" t="s">
        <v>3327</v>
      </c>
      <c r="AD277" s="485" t="s">
        <v>3328</v>
      </c>
      <c r="AE277" s="486" t="s">
        <v>3329</v>
      </c>
      <c r="AF277" s="473">
        <v>6320181</v>
      </c>
      <c r="AG277" s="474">
        <f>+U277-AF277</f>
        <v>0</v>
      </c>
      <c r="AL277" s="475">
        <v>3511212</v>
      </c>
      <c r="AM277" s="306">
        <v>2691929</v>
      </c>
    </row>
    <row r="278" spans="1:39" ht="15.6" hidden="1" x14ac:dyDescent="0.3">
      <c r="B278" s="501" t="s">
        <v>2683</v>
      </c>
      <c r="C278" s="515" t="s">
        <v>3330</v>
      </c>
      <c r="D278" s="478">
        <v>273</v>
      </c>
      <c r="E278" s="309">
        <v>20217000009843</v>
      </c>
      <c r="F278" s="310">
        <v>44250</v>
      </c>
      <c r="G278" s="478" t="s">
        <v>2647</v>
      </c>
      <c r="H278" s="212" t="s">
        <v>2648</v>
      </c>
      <c r="I278" s="212" t="s">
        <v>164</v>
      </c>
      <c r="J278" s="475">
        <v>9400000</v>
      </c>
      <c r="K278" s="212" t="s">
        <v>138</v>
      </c>
      <c r="L278" s="212" t="s">
        <v>139</v>
      </c>
      <c r="M278" s="212" t="s">
        <v>44</v>
      </c>
      <c r="N278" s="212" t="s">
        <v>45</v>
      </c>
      <c r="O278" s="212" t="s">
        <v>142</v>
      </c>
      <c r="P278" s="212" t="s">
        <v>43</v>
      </c>
      <c r="R278" s="486">
        <v>287</v>
      </c>
      <c r="S278" s="490">
        <v>44250</v>
      </c>
      <c r="T278" s="486" t="s">
        <v>3331</v>
      </c>
      <c r="U278" s="475">
        <v>9400000</v>
      </c>
      <c r="V278" s="406"/>
      <c r="W278" s="362"/>
      <c r="X278" s="483">
        <v>204</v>
      </c>
      <c r="Y278" s="484">
        <v>44253</v>
      </c>
      <c r="Z278" s="484">
        <v>44256</v>
      </c>
      <c r="AA278" s="484">
        <v>44316</v>
      </c>
      <c r="AB278" s="485" t="s">
        <v>2650</v>
      </c>
      <c r="AC278" s="483">
        <v>485</v>
      </c>
      <c r="AD278" s="485">
        <v>80021844</v>
      </c>
      <c r="AE278" s="486" t="s">
        <v>3332</v>
      </c>
      <c r="AF278" s="473">
        <v>9400000</v>
      </c>
      <c r="AG278" s="474">
        <f>+U278-AF278</f>
        <v>0</v>
      </c>
      <c r="AK278" s="475">
        <v>4700000</v>
      </c>
      <c r="AL278" s="475">
        <v>4700000</v>
      </c>
      <c r="AM278" s="212"/>
    </row>
    <row r="279" spans="1:39" ht="15.6" hidden="1" x14ac:dyDescent="0.3">
      <c r="B279" s="501" t="s">
        <v>3016</v>
      </c>
      <c r="C279" s="515" t="s">
        <v>3333</v>
      </c>
      <c r="D279" s="478">
        <v>274</v>
      </c>
      <c r="E279" s="309">
        <v>20211200009973</v>
      </c>
      <c r="F279" s="479">
        <v>44251</v>
      </c>
      <c r="G279" s="478" t="s">
        <v>2647</v>
      </c>
      <c r="H279" s="212" t="s">
        <v>2648</v>
      </c>
      <c r="I279" s="212" t="s">
        <v>143</v>
      </c>
      <c r="J279" s="475">
        <v>4500000</v>
      </c>
      <c r="K279" s="212" t="s">
        <v>138</v>
      </c>
      <c r="L279" s="212" t="s">
        <v>139</v>
      </c>
      <c r="M279" s="212" t="s">
        <v>44</v>
      </c>
      <c r="N279" s="212" t="s">
        <v>45</v>
      </c>
      <c r="O279" s="212" t="s">
        <v>142</v>
      </c>
      <c r="P279" s="212" t="s">
        <v>43</v>
      </c>
      <c r="R279" s="486">
        <v>291</v>
      </c>
      <c r="S279" s="490">
        <v>44251</v>
      </c>
      <c r="T279" s="486" t="s">
        <v>3334</v>
      </c>
      <c r="U279" s="475">
        <v>4500000</v>
      </c>
      <c r="V279" s="406"/>
      <c r="W279" s="362"/>
      <c r="X279" s="483">
        <v>205</v>
      </c>
      <c r="Y279" s="484">
        <v>44253</v>
      </c>
      <c r="Z279" s="484">
        <v>44256</v>
      </c>
      <c r="AA279" s="484">
        <v>44286</v>
      </c>
      <c r="AB279" s="485" t="s">
        <v>2650</v>
      </c>
      <c r="AC279" s="483">
        <v>768</v>
      </c>
      <c r="AD279" s="485">
        <v>52833154</v>
      </c>
      <c r="AE279" s="486" t="s">
        <v>3335</v>
      </c>
      <c r="AF279" s="473">
        <v>4500000</v>
      </c>
      <c r="AG279" s="474">
        <f>+U279-AF279</f>
        <v>0</v>
      </c>
      <c r="AK279" s="475">
        <v>4500000</v>
      </c>
      <c r="AM279" s="212"/>
    </row>
    <row r="280" spans="1:39" ht="15.6" hidden="1" x14ac:dyDescent="0.3">
      <c r="B280" s="501"/>
      <c r="C280" s="519" t="s">
        <v>3336</v>
      </c>
      <c r="D280" s="478">
        <v>275</v>
      </c>
      <c r="E280" s="478">
        <v>20212000012583</v>
      </c>
      <c r="F280" s="479">
        <v>44263</v>
      </c>
      <c r="G280" s="478" t="s">
        <v>2640</v>
      </c>
      <c r="H280" s="212" t="s">
        <v>2641</v>
      </c>
      <c r="I280" s="212" t="s">
        <v>391</v>
      </c>
      <c r="J280" s="475">
        <v>1120863564</v>
      </c>
      <c r="K280" s="212" t="s">
        <v>426</v>
      </c>
      <c r="L280" s="212" t="s">
        <v>427</v>
      </c>
      <c r="M280" s="212" t="s">
        <v>44</v>
      </c>
      <c r="N280" s="212" t="s">
        <v>45</v>
      </c>
      <c r="O280" s="212" t="s">
        <v>63</v>
      </c>
      <c r="P280" s="212" t="s">
        <v>674</v>
      </c>
      <c r="R280" s="212">
        <v>341</v>
      </c>
      <c r="S280" s="490">
        <v>44263</v>
      </c>
      <c r="T280" s="486" t="s">
        <v>3337</v>
      </c>
      <c r="U280" s="475">
        <v>1120863564</v>
      </c>
      <c r="V280" s="480"/>
      <c r="W280" s="520"/>
      <c r="X280" s="483" t="s">
        <v>3338</v>
      </c>
      <c r="Y280" s="484">
        <v>44271</v>
      </c>
      <c r="Z280" s="484">
        <v>44271</v>
      </c>
      <c r="AA280" s="484">
        <v>44561</v>
      </c>
      <c r="AB280" s="485" t="s">
        <v>3339</v>
      </c>
      <c r="AC280" s="483" t="s">
        <v>3340</v>
      </c>
      <c r="AD280" s="485" t="s">
        <v>3341</v>
      </c>
      <c r="AE280" s="486" t="s">
        <v>3342</v>
      </c>
      <c r="AF280" s="473">
        <v>1120863564</v>
      </c>
      <c r="AM280" s="212"/>
    </row>
    <row r="281" spans="1:39" ht="15.6" hidden="1" x14ac:dyDescent="0.3">
      <c r="B281" s="501" t="s">
        <v>2796</v>
      </c>
      <c r="C281" s="515" t="s">
        <v>3343</v>
      </c>
      <c r="D281" s="309">
        <v>276</v>
      </c>
      <c r="E281" s="309">
        <v>20214000009283</v>
      </c>
      <c r="F281" s="310">
        <v>44246</v>
      </c>
      <c r="G281" s="478" t="s">
        <v>2673</v>
      </c>
      <c r="H281" s="212" t="s">
        <v>2674</v>
      </c>
      <c r="I281" s="212" t="s">
        <v>117</v>
      </c>
      <c r="J281" s="475">
        <v>1410000000</v>
      </c>
      <c r="K281" s="212" t="s">
        <v>112</v>
      </c>
      <c r="L281" s="212" t="s">
        <v>113</v>
      </c>
      <c r="M281" s="212" t="s">
        <v>44</v>
      </c>
      <c r="N281" s="212" t="s">
        <v>45</v>
      </c>
      <c r="O281" s="212" t="s">
        <v>142</v>
      </c>
      <c r="P281" s="212" t="s">
        <v>43</v>
      </c>
      <c r="R281" s="486">
        <v>278</v>
      </c>
      <c r="S281" s="490">
        <v>44246</v>
      </c>
      <c r="T281" s="486" t="s">
        <v>3344</v>
      </c>
      <c r="U281" s="475">
        <v>1410000000</v>
      </c>
      <c r="V281" s="406"/>
      <c r="W281" s="362"/>
      <c r="X281" s="483">
        <v>271</v>
      </c>
      <c r="Y281" s="484">
        <v>44271</v>
      </c>
      <c r="Z281" s="484">
        <v>44287</v>
      </c>
      <c r="AA281" s="484">
        <v>44377</v>
      </c>
      <c r="AB281" s="485" t="s">
        <v>2837</v>
      </c>
      <c r="AC281" s="483" t="s">
        <v>3345</v>
      </c>
      <c r="AD281" s="485" t="s">
        <v>3346</v>
      </c>
      <c r="AE281" s="486" t="s">
        <v>3347</v>
      </c>
      <c r="AF281" s="473">
        <v>1410000000</v>
      </c>
      <c r="AG281" s="474">
        <f t="shared" ref="AG281:AG302" si="5">+U281-AF281</f>
        <v>0</v>
      </c>
      <c r="AM281" s="306">
        <v>470000000</v>
      </c>
    </row>
    <row r="282" spans="1:39" s="312" customFormat="1" hidden="1" x14ac:dyDescent="0.3">
      <c r="A282" s="361" t="s">
        <v>1983</v>
      </c>
      <c r="B282" s="417">
        <v>53148771</v>
      </c>
      <c r="C282" s="312" t="s">
        <v>2646</v>
      </c>
      <c r="D282" s="325">
        <v>277</v>
      </c>
      <c r="E282" s="325">
        <v>20217000010313</v>
      </c>
      <c r="F282" s="315">
        <v>44251</v>
      </c>
      <c r="G282" s="325" t="s">
        <v>2647</v>
      </c>
      <c r="H282" s="312" t="s">
        <v>2648</v>
      </c>
      <c r="I282" s="312" t="s">
        <v>164</v>
      </c>
      <c r="J282" s="405">
        <v>29072832</v>
      </c>
      <c r="K282" s="312" t="s">
        <v>138</v>
      </c>
      <c r="L282" s="312" t="s">
        <v>139</v>
      </c>
      <c r="M282" s="312" t="s">
        <v>44</v>
      </c>
      <c r="N282" s="312" t="s">
        <v>45</v>
      </c>
      <c r="O282" s="312" t="s">
        <v>142</v>
      </c>
      <c r="P282" s="312" t="s">
        <v>43</v>
      </c>
      <c r="R282" s="360">
        <v>294</v>
      </c>
      <c r="S282" s="363">
        <v>44251</v>
      </c>
      <c r="T282" s="360" t="s">
        <v>3348</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3">
      <c r="A283" s="476" t="s">
        <v>2017</v>
      </c>
      <c r="B283" s="477">
        <v>24530202</v>
      </c>
      <c r="C283" s="212" t="s">
        <v>2646</v>
      </c>
      <c r="D283" s="478">
        <v>278</v>
      </c>
      <c r="E283" s="309">
        <v>20217000010363</v>
      </c>
      <c r="F283" s="310">
        <v>44251</v>
      </c>
      <c r="G283" s="478" t="s">
        <v>2647</v>
      </c>
      <c r="H283" s="212" t="s">
        <v>2648</v>
      </c>
      <c r="I283" s="212" t="s">
        <v>164</v>
      </c>
      <c r="J283" s="475">
        <v>19079046</v>
      </c>
      <c r="K283" s="212" t="s">
        <v>138</v>
      </c>
      <c r="L283" s="212" t="s">
        <v>139</v>
      </c>
      <c r="M283" s="212" t="s">
        <v>44</v>
      </c>
      <c r="N283" s="212" t="s">
        <v>45</v>
      </c>
      <c r="O283" s="212" t="s">
        <v>142</v>
      </c>
      <c r="P283" s="212" t="s">
        <v>43</v>
      </c>
      <c r="R283" s="486">
        <v>296</v>
      </c>
      <c r="S283" s="490">
        <v>44251</v>
      </c>
      <c r="T283" s="486" t="s">
        <v>3349</v>
      </c>
      <c r="U283" s="475">
        <v>19079046</v>
      </c>
      <c r="V283" s="406"/>
      <c r="W283" s="362"/>
      <c r="X283" s="483" t="s">
        <v>3350</v>
      </c>
      <c r="Y283" s="484">
        <v>44286</v>
      </c>
      <c r="Z283" s="484">
        <v>44286</v>
      </c>
      <c r="AA283" s="484">
        <v>44500</v>
      </c>
      <c r="AB283" s="485" t="s">
        <v>2650</v>
      </c>
      <c r="AC283" s="483" t="s">
        <v>3320</v>
      </c>
      <c r="AD283" s="485" t="s">
        <v>3351</v>
      </c>
      <c r="AE283" s="486" t="s">
        <v>3352</v>
      </c>
      <c r="AF283" s="473">
        <v>19079046</v>
      </c>
      <c r="AG283" s="474">
        <f t="shared" si="5"/>
        <v>0</v>
      </c>
      <c r="AL283" s="475">
        <v>2362168</v>
      </c>
      <c r="AM283" s="306">
        <v>2725578</v>
      </c>
    </row>
    <row r="284" spans="1:39" hidden="1" x14ac:dyDescent="0.3">
      <c r="A284" s="476" t="s">
        <v>1979</v>
      </c>
      <c r="B284" s="477">
        <v>32706936</v>
      </c>
      <c r="C284" s="212" t="s">
        <v>2646</v>
      </c>
      <c r="D284" s="478">
        <v>279</v>
      </c>
      <c r="E284" s="309">
        <v>20217000010393</v>
      </c>
      <c r="F284" s="310">
        <v>44251</v>
      </c>
      <c r="G284" s="478" t="s">
        <v>2647</v>
      </c>
      <c r="H284" s="212" t="s">
        <v>2648</v>
      </c>
      <c r="I284" s="212" t="s">
        <v>164</v>
      </c>
      <c r="J284" s="475">
        <v>19079046</v>
      </c>
      <c r="K284" s="212" t="s">
        <v>138</v>
      </c>
      <c r="L284" s="212" t="s">
        <v>139</v>
      </c>
      <c r="M284" s="212" t="s">
        <v>44</v>
      </c>
      <c r="N284" s="212" t="s">
        <v>45</v>
      </c>
      <c r="O284" s="212" t="s">
        <v>142</v>
      </c>
      <c r="P284" s="212" t="s">
        <v>43</v>
      </c>
      <c r="R284" s="486">
        <v>298</v>
      </c>
      <c r="S284" s="490">
        <v>44251</v>
      </c>
      <c r="T284" s="486" t="s">
        <v>3353</v>
      </c>
      <c r="U284" s="475">
        <v>19079046</v>
      </c>
      <c r="V284" s="406"/>
      <c r="W284" s="362"/>
      <c r="X284" s="483" t="s">
        <v>3354</v>
      </c>
      <c r="Y284" s="484">
        <v>44292</v>
      </c>
      <c r="Z284" s="484">
        <v>44292</v>
      </c>
      <c r="AA284" s="484">
        <v>44506</v>
      </c>
      <c r="AB284" s="485" t="s">
        <v>2650</v>
      </c>
      <c r="AC284" s="483" t="s">
        <v>3355</v>
      </c>
      <c r="AD284" s="485" t="s">
        <v>3356</v>
      </c>
      <c r="AE284" s="486" t="s">
        <v>3357</v>
      </c>
      <c r="AF284" s="473">
        <v>19079046</v>
      </c>
      <c r="AG284" s="474">
        <f t="shared" si="5"/>
        <v>0</v>
      </c>
      <c r="AL284" s="475">
        <v>2271315</v>
      </c>
      <c r="AM284" s="306">
        <v>2725578</v>
      </c>
    </row>
    <row r="285" spans="1:39" hidden="1" x14ac:dyDescent="0.3">
      <c r="A285" s="476" t="s">
        <v>2003</v>
      </c>
      <c r="B285" s="477">
        <v>44972037</v>
      </c>
      <c r="C285" s="212" t="s">
        <v>2646</v>
      </c>
      <c r="D285" s="478">
        <v>280</v>
      </c>
      <c r="E285" s="309">
        <v>20217000010403</v>
      </c>
      <c r="F285" s="310">
        <v>44251</v>
      </c>
      <c r="G285" s="478" t="s">
        <v>2647</v>
      </c>
      <c r="H285" s="212" t="s">
        <v>2648</v>
      </c>
      <c r="I285" s="212" t="s">
        <v>164</v>
      </c>
      <c r="J285" s="475">
        <v>20441835</v>
      </c>
      <c r="K285" s="212" t="s">
        <v>138</v>
      </c>
      <c r="L285" s="212" t="s">
        <v>139</v>
      </c>
      <c r="M285" s="212" t="s">
        <v>44</v>
      </c>
      <c r="N285" s="212" t="s">
        <v>45</v>
      </c>
      <c r="O285" s="212" t="s">
        <v>142</v>
      </c>
      <c r="P285" s="212" t="s">
        <v>43</v>
      </c>
      <c r="R285" s="486">
        <v>299</v>
      </c>
      <c r="S285" s="490">
        <v>44251</v>
      </c>
      <c r="T285" s="486" t="s">
        <v>3358</v>
      </c>
      <c r="U285" s="475">
        <v>20441835</v>
      </c>
      <c r="V285" s="406"/>
      <c r="W285" s="362"/>
      <c r="X285" s="483" t="s">
        <v>3359</v>
      </c>
      <c r="Y285" s="484">
        <v>44292</v>
      </c>
      <c r="Z285" s="484">
        <v>44292</v>
      </c>
      <c r="AA285" s="484">
        <v>44445</v>
      </c>
      <c r="AB285" s="485" t="s">
        <v>2650</v>
      </c>
      <c r="AC285" s="483" t="s">
        <v>3360</v>
      </c>
      <c r="AD285" s="485" t="s">
        <v>3361</v>
      </c>
      <c r="AE285" s="486" t="s">
        <v>2817</v>
      </c>
      <c r="AF285" s="473">
        <v>20441835</v>
      </c>
      <c r="AG285" s="474">
        <f t="shared" si="5"/>
        <v>0</v>
      </c>
      <c r="AL285" s="475">
        <v>3270693</v>
      </c>
      <c r="AM285" s="306">
        <v>4088367</v>
      </c>
    </row>
    <row r="286" spans="1:39" hidden="1" x14ac:dyDescent="0.3">
      <c r="A286" s="476" t="s">
        <v>2375</v>
      </c>
      <c r="B286" s="477">
        <v>65413872</v>
      </c>
      <c r="C286" s="212" t="s">
        <v>2646</v>
      </c>
      <c r="D286" s="478">
        <v>281</v>
      </c>
      <c r="E286" s="309">
        <v>20217000010353</v>
      </c>
      <c r="F286" s="310">
        <v>44251</v>
      </c>
      <c r="G286" s="478" t="s">
        <v>2647</v>
      </c>
      <c r="H286" s="212" t="s">
        <v>2648</v>
      </c>
      <c r="I286" s="212" t="s">
        <v>164</v>
      </c>
      <c r="J286" s="475">
        <v>50877456</v>
      </c>
      <c r="K286" s="212" t="s">
        <v>138</v>
      </c>
      <c r="L286" s="212" t="s">
        <v>139</v>
      </c>
      <c r="M286" s="212" t="s">
        <v>44</v>
      </c>
      <c r="N286" s="212" t="s">
        <v>45</v>
      </c>
      <c r="O286" s="212" t="s">
        <v>142</v>
      </c>
      <c r="P286" s="212" t="s">
        <v>43</v>
      </c>
      <c r="R286" s="486">
        <v>295</v>
      </c>
      <c r="S286" s="490">
        <v>44251</v>
      </c>
      <c r="T286" s="486" t="s">
        <v>3362</v>
      </c>
      <c r="U286" s="475">
        <v>50877456</v>
      </c>
      <c r="V286" s="406"/>
      <c r="W286" s="362"/>
      <c r="X286" s="483" t="s">
        <v>3228</v>
      </c>
      <c r="Y286" s="484">
        <v>44286</v>
      </c>
      <c r="Z286" s="484">
        <v>44286</v>
      </c>
      <c r="AA286" s="484">
        <v>44500</v>
      </c>
      <c r="AB286" s="485" t="s">
        <v>2650</v>
      </c>
      <c r="AC286" s="483" t="s">
        <v>3338</v>
      </c>
      <c r="AD286" s="485" t="s">
        <v>3363</v>
      </c>
      <c r="AE286" s="486" t="s">
        <v>3364</v>
      </c>
      <c r="AF286" s="473">
        <v>50877456</v>
      </c>
      <c r="AG286" s="474">
        <f t="shared" si="5"/>
        <v>0</v>
      </c>
      <c r="AL286" s="475">
        <v>6299113</v>
      </c>
      <c r="AM286" s="306">
        <v>7268208</v>
      </c>
    </row>
    <row r="287" spans="1:39" hidden="1" x14ac:dyDescent="0.3">
      <c r="A287" s="476" t="s">
        <v>2016</v>
      </c>
      <c r="B287" s="477">
        <v>36795303</v>
      </c>
      <c r="C287" s="212" t="s">
        <v>2646</v>
      </c>
      <c r="D287" s="478">
        <v>282</v>
      </c>
      <c r="E287" s="309">
        <v>20217000010373</v>
      </c>
      <c r="F287" s="310">
        <v>44251</v>
      </c>
      <c r="G287" s="478" t="s">
        <v>2647</v>
      </c>
      <c r="H287" s="212" t="s">
        <v>2648</v>
      </c>
      <c r="I287" s="212" t="s">
        <v>164</v>
      </c>
      <c r="J287" s="475">
        <v>28618569</v>
      </c>
      <c r="K287" s="212" t="s">
        <v>138</v>
      </c>
      <c r="L287" s="212" t="s">
        <v>139</v>
      </c>
      <c r="M287" s="212" t="s">
        <v>44</v>
      </c>
      <c r="N287" s="212" t="s">
        <v>45</v>
      </c>
      <c r="O287" s="212" t="s">
        <v>142</v>
      </c>
      <c r="P287" s="212" t="s">
        <v>43</v>
      </c>
      <c r="R287" s="486">
        <v>297</v>
      </c>
      <c r="S287" s="490">
        <v>44251</v>
      </c>
      <c r="T287" s="486" t="s">
        <v>3365</v>
      </c>
      <c r="U287" s="475">
        <v>28618569</v>
      </c>
      <c r="V287" s="406"/>
      <c r="W287" s="362"/>
      <c r="X287" s="483" t="s">
        <v>3366</v>
      </c>
      <c r="Y287" s="484">
        <v>44292</v>
      </c>
      <c r="Z287" s="484">
        <v>44292</v>
      </c>
      <c r="AA287" s="484">
        <v>44506</v>
      </c>
      <c r="AB287" s="485" t="s">
        <v>2650</v>
      </c>
      <c r="AC287" s="483" t="s">
        <v>3367</v>
      </c>
      <c r="AD287" s="485" t="s">
        <v>3368</v>
      </c>
      <c r="AE287" s="486" t="s">
        <v>3369</v>
      </c>
      <c r="AF287" s="473">
        <v>28618569</v>
      </c>
      <c r="AG287" s="474">
        <f t="shared" si="5"/>
        <v>0</v>
      </c>
      <c r="AL287" s="475">
        <v>3406973</v>
      </c>
      <c r="AM287" s="306">
        <v>4088367</v>
      </c>
    </row>
    <row r="288" spans="1:39" hidden="1" x14ac:dyDescent="0.3">
      <c r="A288" s="476" t="s">
        <v>2302</v>
      </c>
      <c r="B288" s="477">
        <v>32697000</v>
      </c>
      <c r="C288" s="212" t="s">
        <v>3314</v>
      </c>
      <c r="D288" s="478">
        <v>283</v>
      </c>
      <c r="E288" s="309">
        <v>20211400009713</v>
      </c>
      <c r="F288" s="310">
        <v>44251</v>
      </c>
      <c r="G288" s="478" t="s">
        <v>2647</v>
      </c>
      <c r="H288" s="212" t="s">
        <v>2648</v>
      </c>
      <c r="I288" s="212" t="s">
        <v>184</v>
      </c>
      <c r="J288" s="475">
        <v>32697000</v>
      </c>
      <c r="K288" s="212" t="s">
        <v>138</v>
      </c>
      <c r="L288" s="212" t="s">
        <v>2652</v>
      </c>
      <c r="M288" s="212" t="s">
        <v>2842</v>
      </c>
      <c r="N288" s="212" t="s">
        <v>157</v>
      </c>
      <c r="O288" s="212" t="s">
        <v>158</v>
      </c>
      <c r="P288" s="212" t="s">
        <v>43</v>
      </c>
      <c r="R288" s="486">
        <v>292</v>
      </c>
      <c r="S288" s="490">
        <v>44251</v>
      </c>
      <c r="T288" s="486" t="s">
        <v>3370</v>
      </c>
      <c r="U288" s="475">
        <f>32697000-22886999</f>
        <v>9810001</v>
      </c>
      <c r="V288" s="406">
        <v>22886999</v>
      </c>
      <c r="W288" s="362" t="s">
        <v>1509</v>
      </c>
      <c r="X288" s="483" t="s">
        <v>3371</v>
      </c>
      <c r="Y288" s="484">
        <v>44294</v>
      </c>
      <c r="Z288" s="484">
        <v>44294</v>
      </c>
      <c r="AA288" s="484">
        <v>44561</v>
      </c>
      <c r="AB288" s="485" t="s">
        <v>2650</v>
      </c>
      <c r="AC288" s="483" t="s">
        <v>3372</v>
      </c>
      <c r="AD288" s="485" t="s">
        <v>3373</v>
      </c>
      <c r="AE288" s="486" t="s">
        <v>3374</v>
      </c>
      <c r="AF288" s="473">
        <v>9810001</v>
      </c>
      <c r="AG288" s="474">
        <f t="shared" si="5"/>
        <v>0</v>
      </c>
      <c r="AM288" s="212"/>
    </row>
    <row r="289" spans="1:39" hidden="1" x14ac:dyDescent="0.3">
      <c r="A289" s="476" t="s">
        <v>1899</v>
      </c>
      <c r="B289" s="477">
        <v>65836059</v>
      </c>
      <c r="C289" s="212" t="s">
        <v>2762</v>
      </c>
      <c r="D289" s="478">
        <v>284</v>
      </c>
      <c r="E289" s="309">
        <v>20212000009863</v>
      </c>
      <c r="F289" s="479">
        <v>44251</v>
      </c>
      <c r="G289" s="478" t="s">
        <v>2640</v>
      </c>
      <c r="H289" s="212" t="s">
        <v>2641</v>
      </c>
      <c r="I289" s="212" t="s">
        <v>391</v>
      </c>
      <c r="J289" s="475">
        <v>60170000</v>
      </c>
      <c r="K289" s="210" t="s">
        <v>2711</v>
      </c>
      <c r="L289" s="212" t="s">
        <v>2712</v>
      </c>
      <c r="M289" s="212" t="s">
        <v>44</v>
      </c>
      <c r="N289" s="212" t="s">
        <v>45</v>
      </c>
      <c r="O289" s="212" t="s">
        <v>63</v>
      </c>
      <c r="P289" s="212" t="s">
        <v>674</v>
      </c>
      <c r="R289" s="486">
        <v>290</v>
      </c>
      <c r="S289" s="490">
        <v>44251</v>
      </c>
      <c r="T289" s="486" t="s">
        <v>3375</v>
      </c>
      <c r="U289" s="475">
        <f>60170000-6017000</f>
        <v>54153000</v>
      </c>
      <c r="V289" s="411">
        <v>6017000</v>
      </c>
      <c r="W289" s="397"/>
      <c r="X289" s="483" t="s">
        <v>3376</v>
      </c>
      <c r="Y289" s="484">
        <v>44271</v>
      </c>
      <c r="Z289" s="484">
        <v>44271</v>
      </c>
      <c r="AA289" s="484">
        <v>44546</v>
      </c>
      <c r="AB289" s="485" t="s">
        <v>2650</v>
      </c>
      <c r="AC289" s="483" t="s">
        <v>3377</v>
      </c>
      <c r="AD289" s="485" t="s">
        <v>3378</v>
      </c>
      <c r="AE289" s="486" t="s">
        <v>3379</v>
      </c>
      <c r="AF289" s="473">
        <v>54153000</v>
      </c>
      <c r="AG289" s="474">
        <f t="shared" si="5"/>
        <v>0</v>
      </c>
      <c r="AK289" s="475">
        <v>3008500</v>
      </c>
      <c r="AL289" s="475">
        <v>6017000</v>
      </c>
      <c r="AM289" s="306">
        <v>6017000</v>
      </c>
    </row>
    <row r="290" spans="1:39" hidden="1" x14ac:dyDescent="0.3">
      <c r="A290" s="476" t="s">
        <v>2168</v>
      </c>
      <c r="B290" s="477">
        <v>44000000</v>
      </c>
      <c r="C290" s="212" t="s">
        <v>2646</v>
      </c>
      <c r="D290" s="478">
        <v>285</v>
      </c>
      <c r="E290" s="309">
        <v>20215000007233</v>
      </c>
      <c r="F290" s="479">
        <v>44243</v>
      </c>
      <c r="G290" s="309" t="s">
        <v>2640</v>
      </c>
      <c r="H290" s="210" t="s">
        <v>2641</v>
      </c>
      <c r="I290" s="210" t="s">
        <v>228</v>
      </c>
      <c r="J290" s="407">
        <v>44000000</v>
      </c>
      <c r="K290" s="212" t="s">
        <v>288</v>
      </c>
      <c r="L290" s="212" t="s">
        <v>2736</v>
      </c>
      <c r="M290" s="212" t="s">
        <v>44</v>
      </c>
      <c r="N290" s="212" t="s">
        <v>45</v>
      </c>
      <c r="O290" s="212" t="s">
        <v>63</v>
      </c>
      <c r="P290" s="212" t="s">
        <v>674</v>
      </c>
      <c r="R290" s="212">
        <v>251</v>
      </c>
      <c r="S290" s="479">
        <v>44243</v>
      </c>
      <c r="T290" s="212" t="s">
        <v>3380</v>
      </c>
      <c r="U290" s="475">
        <f>44000000-6000000</f>
        <v>38000000</v>
      </c>
      <c r="V290" s="444">
        <v>6000000</v>
      </c>
      <c r="W290" s="398"/>
      <c r="X290" s="483" t="s">
        <v>3381</v>
      </c>
      <c r="Y290" s="484">
        <v>44271</v>
      </c>
      <c r="Z290" s="484">
        <v>44271</v>
      </c>
      <c r="AA290" s="484">
        <v>44561</v>
      </c>
      <c r="AB290" s="485" t="s">
        <v>2650</v>
      </c>
      <c r="AC290" s="483" t="s">
        <v>3382</v>
      </c>
      <c r="AD290" s="485" t="s">
        <v>3383</v>
      </c>
      <c r="AE290" s="486" t="s">
        <v>3384</v>
      </c>
      <c r="AF290" s="473">
        <v>38000000</v>
      </c>
      <c r="AG290" s="474">
        <f t="shared" si="5"/>
        <v>0</v>
      </c>
      <c r="AK290" s="475">
        <v>2000000</v>
      </c>
      <c r="AL290" s="475">
        <v>4000000</v>
      </c>
      <c r="AM290" s="306">
        <v>4000000</v>
      </c>
    </row>
    <row r="291" spans="1:39" hidden="1" x14ac:dyDescent="0.3">
      <c r="A291" s="476" t="s">
        <v>2160</v>
      </c>
      <c r="B291" s="477">
        <v>64900000</v>
      </c>
      <c r="C291" s="212" t="s">
        <v>2646</v>
      </c>
      <c r="D291" s="478">
        <v>286</v>
      </c>
      <c r="E291" s="478">
        <v>20215000006443</v>
      </c>
      <c r="F291" s="479">
        <v>44235</v>
      </c>
      <c r="G291" s="478" t="s">
        <v>2640</v>
      </c>
      <c r="H291" s="212" t="s">
        <v>2641</v>
      </c>
      <c r="I291" s="212" t="s">
        <v>228</v>
      </c>
      <c r="J291" s="475">
        <v>64900000</v>
      </c>
      <c r="K291" s="212" t="s">
        <v>223</v>
      </c>
      <c r="L291" s="212" t="s">
        <v>2758</v>
      </c>
      <c r="M291" s="212" t="s">
        <v>44</v>
      </c>
      <c r="N291" s="212" t="s">
        <v>45</v>
      </c>
      <c r="O291" s="212" t="s">
        <v>63</v>
      </c>
      <c r="P291" s="212" t="s">
        <v>674</v>
      </c>
      <c r="R291" s="212">
        <v>217</v>
      </c>
      <c r="S291" s="479">
        <v>44236</v>
      </c>
      <c r="T291" s="212" t="s">
        <v>3385</v>
      </c>
      <c r="U291" s="475">
        <f>64900000-11800000</f>
        <v>53100000</v>
      </c>
      <c r="V291" s="444">
        <v>11800000</v>
      </c>
      <c r="W291" s="398"/>
      <c r="X291" s="483" t="s">
        <v>3386</v>
      </c>
      <c r="Y291" s="484">
        <v>44271</v>
      </c>
      <c r="Z291" s="484">
        <v>44271</v>
      </c>
      <c r="AA291" s="484">
        <v>44546</v>
      </c>
      <c r="AB291" s="485" t="s">
        <v>2650</v>
      </c>
      <c r="AC291" s="483" t="s">
        <v>3387</v>
      </c>
      <c r="AD291" s="485" t="s">
        <v>3388</v>
      </c>
      <c r="AE291" s="486" t="s">
        <v>3389</v>
      </c>
      <c r="AF291" s="473">
        <v>53100000</v>
      </c>
      <c r="AG291" s="474">
        <f t="shared" si="5"/>
        <v>0</v>
      </c>
      <c r="AK291" s="475">
        <v>2950000</v>
      </c>
      <c r="AL291" s="475">
        <v>5900000</v>
      </c>
      <c r="AM291" s="306">
        <v>5900000</v>
      </c>
    </row>
    <row r="292" spans="1:39" hidden="1" x14ac:dyDescent="0.3">
      <c r="A292" s="476" t="s">
        <v>2288</v>
      </c>
      <c r="B292" s="477">
        <v>23621677</v>
      </c>
      <c r="C292" s="212" t="s">
        <v>2646</v>
      </c>
      <c r="D292" s="478">
        <v>287</v>
      </c>
      <c r="E292" s="309">
        <v>20211300011033</v>
      </c>
      <c r="F292" s="479">
        <v>44253</v>
      </c>
      <c r="G292" s="478" t="s">
        <v>2647</v>
      </c>
      <c r="H292" s="212" t="s">
        <v>2648</v>
      </c>
      <c r="I292" s="212" t="s">
        <v>210</v>
      </c>
      <c r="J292" s="475">
        <v>23621677</v>
      </c>
      <c r="K292" s="212" t="s">
        <v>138</v>
      </c>
      <c r="L292" s="212" t="s">
        <v>139</v>
      </c>
      <c r="M292" s="212" t="s">
        <v>44</v>
      </c>
      <c r="N292" s="212" t="s">
        <v>45</v>
      </c>
      <c r="O292" s="212" t="s">
        <v>142</v>
      </c>
      <c r="P292" s="212" t="s">
        <v>43</v>
      </c>
      <c r="R292" s="212">
        <v>313</v>
      </c>
      <c r="S292" s="479">
        <v>44256</v>
      </c>
      <c r="T292" s="212" t="s">
        <v>3390</v>
      </c>
      <c r="U292" s="475">
        <v>23621677</v>
      </c>
      <c r="V292" s="406"/>
      <c r="W292" s="362"/>
      <c r="X292" s="483" t="s">
        <v>3391</v>
      </c>
      <c r="Y292" s="484">
        <v>44272</v>
      </c>
      <c r="Z292" s="484">
        <v>44272</v>
      </c>
      <c r="AA292" s="484">
        <v>44394</v>
      </c>
      <c r="AB292" s="485" t="s">
        <v>2650</v>
      </c>
      <c r="AC292" s="483" t="s">
        <v>3392</v>
      </c>
      <c r="AD292" s="485" t="s">
        <v>3393</v>
      </c>
      <c r="AE292" s="486" t="s">
        <v>3394</v>
      </c>
      <c r="AF292" s="473">
        <v>23621676</v>
      </c>
      <c r="AG292" s="474">
        <f t="shared" si="5"/>
        <v>1</v>
      </c>
      <c r="AK292" s="475">
        <v>2559015</v>
      </c>
      <c r="AL292" s="475">
        <v>5905419</v>
      </c>
      <c r="AM292" s="306">
        <v>5905419</v>
      </c>
    </row>
    <row r="293" spans="1:39" s="312" customFormat="1" hidden="1" x14ac:dyDescent="0.3">
      <c r="A293" s="361" t="s">
        <v>3395</v>
      </c>
      <c r="B293" s="417">
        <v>56000000</v>
      </c>
      <c r="C293" s="312" t="s">
        <v>2762</v>
      </c>
      <c r="D293" s="325">
        <v>288</v>
      </c>
      <c r="E293" s="325">
        <v>20213000009343</v>
      </c>
      <c r="F293" s="315">
        <v>44252</v>
      </c>
      <c r="G293" s="325" t="s">
        <v>2640</v>
      </c>
      <c r="H293" s="312" t="s">
        <v>2641</v>
      </c>
      <c r="I293" s="312" t="s">
        <v>432</v>
      </c>
      <c r="J293" s="405">
        <v>56000000</v>
      </c>
      <c r="K293" s="312" t="s">
        <v>342</v>
      </c>
      <c r="L293" s="312" t="s">
        <v>351</v>
      </c>
      <c r="M293" s="312" t="s">
        <v>44</v>
      </c>
      <c r="N293" s="312" t="s">
        <v>45</v>
      </c>
      <c r="O293" s="312" t="s">
        <v>63</v>
      </c>
      <c r="P293" s="312" t="s">
        <v>674</v>
      </c>
      <c r="R293" s="360">
        <v>302</v>
      </c>
      <c r="S293" s="363">
        <v>44252</v>
      </c>
      <c r="T293" s="360" t="s">
        <v>3396</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6" hidden="1" x14ac:dyDescent="0.3">
      <c r="A294" s="476" t="s">
        <v>3397</v>
      </c>
      <c r="B294" s="477">
        <v>1108626200</v>
      </c>
      <c r="C294" s="212" t="s">
        <v>3398</v>
      </c>
      <c r="D294" s="478">
        <v>289</v>
      </c>
      <c r="E294" s="309">
        <v>20215000010563</v>
      </c>
      <c r="F294" s="479">
        <v>44252</v>
      </c>
      <c r="G294" s="309" t="s">
        <v>2640</v>
      </c>
      <c r="H294" s="210" t="s">
        <v>2641</v>
      </c>
      <c r="I294" s="210" t="s">
        <v>228</v>
      </c>
      <c r="J294" s="475">
        <v>1108626200</v>
      </c>
      <c r="K294" s="212" t="s">
        <v>223</v>
      </c>
      <c r="L294" s="212" t="s">
        <v>224</v>
      </c>
      <c r="M294" s="210" t="s">
        <v>44</v>
      </c>
      <c r="N294" s="210" t="s">
        <v>2936</v>
      </c>
      <c r="O294" s="210" t="s">
        <v>132</v>
      </c>
      <c r="P294" s="515" t="s">
        <v>770</v>
      </c>
      <c r="Q294" s="210"/>
      <c r="R294" s="486">
        <v>305</v>
      </c>
      <c r="S294" s="490">
        <v>44252</v>
      </c>
      <c r="T294" s="486" t="s">
        <v>3399</v>
      </c>
      <c r="U294" s="475">
        <v>1108626200</v>
      </c>
      <c r="V294" s="406"/>
      <c r="W294" s="362"/>
      <c r="AG294" s="474">
        <f t="shared" si="5"/>
        <v>1108626200</v>
      </c>
      <c r="AM294" s="212"/>
    </row>
    <row r="295" spans="1:39" ht="15.6" hidden="1" x14ac:dyDescent="0.3">
      <c r="A295" s="476" t="s">
        <v>3400</v>
      </c>
      <c r="B295" s="477">
        <v>1044125440</v>
      </c>
      <c r="C295" s="212" t="s">
        <v>3401</v>
      </c>
      <c r="D295" s="478">
        <v>290</v>
      </c>
      <c r="E295" s="309">
        <v>20215000010603</v>
      </c>
      <c r="F295" s="479">
        <v>44252</v>
      </c>
      <c r="G295" s="309" t="s">
        <v>2640</v>
      </c>
      <c r="H295" s="210" t="s">
        <v>2641</v>
      </c>
      <c r="I295" s="210" t="s">
        <v>228</v>
      </c>
      <c r="J295" s="475">
        <v>1044125440</v>
      </c>
      <c r="K295" s="212" t="s">
        <v>223</v>
      </c>
      <c r="L295" s="212" t="s">
        <v>224</v>
      </c>
      <c r="M295" s="210" t="s">
        <v>44</v>
      </c>
      <c r="N295" s="210" t="s">
        <v>2936</v>
      </c>
      <c r="O295" s="210" t="s">
        <v>132</v>
      </c>
      <c r="P295" s="515" t="s">
        <v>770</v>
      </c>
      <c r="R295" s="486">
        <v>306</v>
      </c>
      <c r="S295" s="490">
        <v>44252</v>
      </c>
      <c r="T295" s="486" t="s">
        <v>3402</v>
      </c>
      <c r="U295" s="475">
        <v>1044125440</v>
      </c>
      <c r="V295" s="406"/>
      <c r="W295" s="362"/>
      <c r="AG295" s="474">
        <f t="shared" si="5"/>
        <v>1044125440</v>
      </c>
      <c r="AM295" s="212"/>
    </row>
    <row r="296" spans="1:39" ht="15.6" hidden="1" x14ac:dyDescent="0.3">
      <c r="A296" s="476" t="s">
        <v>3403</v>
      </c>
      <c r="B296" s="477">
        <v>810426760</v>
      </c>
      <c r="C296" s="212" t="s">
        <v>3404</v>
      </c>
      <c r="D296" s="478">
        <v>291</v>
      </c>
      <c r="E296" s="309">
        <v>20215000010613</v>
      </c>
      <c r="F296" s="479">
        <v>44252</v>
      </c>
      <c r="G296" s="309" t="s">
        <v>2640</v>
      </c>
      <c r="H296" s="210" t="s">
        <v>2641</v>
      </c>
      <c r="I296" s="210" t="s">
        <v>228</v>
      </c>
      <c r="J296" s="475">
        <v>810426760</v>
      </c>
      <c r="K296" s="212" t="s">
        <v>223</v>
      </c>
      <c r="L296" s="212" t="s">
        <v>224</v>
      </c>
      <c r="M296" s="210" t="s">
        <v>44</v>
      </c>
      <c r="N296" s="210" t="s">
        <v>2936</v>
      </c>
      <c r="O296" s="210" t="s">
        <v>132</v>
      </c>
      <c r="P296" s="515" t="s">
        <v>770</v>
      </c>
      <c r="R296" s="212">
        <v>307</v>
      </c>
      <c r="S296" s="479">
        <v>44256</v>
      </c>
      <c r="T296" s="212" t="s">
        <v>3405</v>
      </c>
      <c r="U296" s="475">
        <v>810426760</v>
      </c>
      <c r="V296" s="406"/>
      <c r="W296" s="362"/>
      <c r="AG296" s="474">
        <f t="shared" si="5"/>
        <v>810426760</v>
      </c>
      <c r="AM296" s="212"/>
    </row>
    <row r="297" spans="1:39" ht="15.6" hidden="1" x14ac:dyDescent="0.3">
      <c r="A297" s="476" t="s">
        <v>3406</v>
      </c>
      <c r="B297" s="477">
        <v>1091052420</v>
      </c>
      <c r="C297" s="212" t="s">
        <v>3407</v>
      </c>
      <c r="D297" s="478">
        <v>292</v>
      </c>
      <c r="E297" s="309">
        <v>20215000010623</v>
      </c>
      <c r="F297" s="479">
        <v>44252</v>
      </c>
      <c r="G297" s="309" t="s">
        <v>2640</v>
      </c>
      <c r="H297" s="210" t="s">
        <v>2641</v>
      </c>
      <c r="I297" s="210" t="s">
        <v>228</v>
      </c>
      <c r="J297" s="475">
        <v>1091052420</v>
      </c>
      <c r="K297" s="212" t="s">
        <v>223</v>
      </c>
      <c r="L297" s="212" t="s">
        <v>224</v>
      </c>
      <c r="M297" s="210" t="s">
        <v>44</v>
      </c>
      <c r="N297" s="210" t="s">
        <v>2936</v>
      </c>
      <c r="O297" s="210" t="s">
        <v>132</v>
      </c>
      <c r="P297" s="515" t="s">
        <v>770</v>
      </c>
      <c r="R297" s="212">
        <v>308</v>
      </c>
      <c r="S297" s="490">
        <v>44256</v>
      </c>
      <c r="T297" s="212" t="s">
        <v>3408</v>
      </c>
      <c r="U297" s="475">
        <v>1091052420</v>
      </c>
      <c r="V297" s="406"/>
      <c r="W297" s="362"/>
      <c r="AG297" s="474">
        <f t="shared" si="5"/>
        <v>1091052420</v>
      </c>
      <c r="AM297" s="212"/>
    </row>
    <row r="298" spans="1:39" s="312" customFormat="1" hidden="1" x14ac:dyDescent="0.3">
      <c r="A298" s="361" t="s">
        <v>3409</v>
      </c>
      <c r="B298" s="417">
        <v>34967856</v>
      </c>
      <c r="C298" s="312" t="s">
        <v>2762</v>
      </c>
      <c r="D298" s="325">
        <v>293</v>
      </c>
      <c r="E298" s="325">
        <v>20217000010983</v>
      </c>
      <c r="F298" s="315">
        <v>44253</v>
      </c>
      <c r="G298" s="325" t="s">
        <v>2647</v>
      </c>
      <c r="H298" s="312" t="s">
        <v>2648</v>
      </c>
      <c r="I298" s="312" t="s">
        <v>164</v>
      </c>
      <c r="J298" s="405">
        <v>13000000</v>
      </c>
      <c r="K298" s="312" t="s">
        <v>138</v>
      </c>
      <c r="L298" s="312" t="s">
        <v>139</v>
      </c>
      <c r="M298" s="312" t="s">
        <v>44</v>
      </c>
      <c r="N298" s="312" t="s">
        <v>45</v>
      </c>
      <c r="O298" s="312" t="s">
        <v>142</v>
      </c>
      <c r="P298" s="312" t="s">
        <v>43</v>
      </c>
      <c r="R298" s="312">
        <v>312</v>
      </c>
      <c r="S298" s="363">
        <v>44256</v>
      </c>
      <c r="T298" s="312" t="s">
        <v>3410</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3">
      <c r="A299" s="476" t="s">
        <v>2002</v>
      </c>
      <c r="B299" s="477">
        <v>19987572</v>
      </c>
      <c r="C299" s="212" t="s">
        <v>2646</v>
      </c>
      <c r="D299" s="478">
        <v>294</v>
      </c>
      <c r="E299" s="309">
        <v>20217000010973</v>
      </c>
      <c r="F299" s="479">
        <v>44253</v>
      </c>
      <c r="G299" s="478" t="s">
        <v>2647</v>
      </c>
      <c r="H299" s="212" t="s">
        <v>2648</v>
      </c>
      <c r="I299" s="212" t="s">
        <v>164</v>
      </c>
      <c r="J299" s="475">
        <v>7300000</v>
      </c>
      <c r="K299" s="212" t="s">
        <v>138</v>
      </c>
      <c r="L299" s="212" t="s">
        <v>139</v>
      </c>
      <c r="M299" s="212" t="s">
        <v>44</v>
      </c>
      <c r="N299" s="212" t="s">
        <v>45</v>
      </c>
      <c r="O299" s="212" t="s">
        <v>142</v>
      </c>
      <c r="P299" s="212" t="s">
        <v>43</v>
      </c>
      <c r="R299" s="212">
        <v>311</v>
      </c>
      <c r="S299" s="490">
        <v>44256</v>
      </c>
      <c r="T299" s="212" t="s">
        <v>3411</v>
      </c>
      <c r="U299" s="475">
        <v>7300000</v>
      </c>
      <c r="V299" s="406"/>
      <c r="W299" s="362"/>
      <c r="X299" s="483" t="s">
        <v>3412</v>
      </c>
      <c r="Y299" s="484">
        <v>44285</v>
      </c>
      <c r="Z299" s="484">
        <v>44285</v>
      </c>
      <c r="AA299" s="484">
        <v>44407</v>
      </c>
      <c r="AB299" s="485" t="s">
        <v>2650</v>
      </c>
      <c r="AC299" s="483" t="s">
        <v>3413</v>
      </c>
      <c r="AD299" s="485" t="s">
        <v>3414</v>
      </c>
      <c r="AE299" s="486" t="s">
        <v>2805</v>
      </c>
      <c r="AF299" s="473">
        <v>7268208</v>
      </c>
      <c r="AG299" s="474">
        <f t="shared" si="5"/>
        <v>31792</v>
      </c>
      <c r="AL299" s="475">
        <v>1877620</v>
      </c>
      <c r="AM299" s="306">
        <v>1817052</v>
      </c>
    </row>
    <row r="300" spans="1:39" hidden="1" x14ac:dyDescent="0.3">
      <c r="A300" s="476" t="s">
        <v>2009</v>
      </c>
      <c r="B300" s="477">
        <v>34978251</v>
      </c>
      <c r="C300" s="212" t="s">
        <v>2646</v>
      </c>
      <c r="D300" s="478">
        <v>295</v>
      </c>
      <c r="E300" s="309">
        <v>20217000010963</v>
      </c>
      <c r="F300" s="479">
        <v>44253</v>
      </c>
      <c r="G300" s="478" t="s">
        <v>2647</v>
      </c>
      <c r="H300" s="212" t="s">
        <v>2648</v>
      </c>
      <c r="I300" s="212" t="s">
        <v>164</v>
      </c>
      <c r="J300" s="475">
        <v>16000000</v>
      </c>
      <c r="K300" s="212" t="s">
        <v>138</v>
      </c>
      <c r="L300" s="212" t="s">
        <v>139</v>
      </c>
      <c r="M300" s="212" t="s">
        <v>44</v>
      </c>
      <c r="N300" s="212" t="s">
        <v>45</v>
      </c>
      <c r="O300" s="212" t="s">
        <v>142</v>
      </c>
      <c r="P300" s="212" t="s">
        <v>43</v>
      </c>
      <c r="R300" s="212">
        <v>314</v>
      </c>
      <c r="S300" s="479">
        <v>44256</v>
      </c>
      <c r="T300" s="212" t="s">
        <v>3415</v>
      </c>
      <c r="U300" s="475">
        <v>16000000</v>
      </c>
      <c r="V300" s="406"/>
      <c r="W300" s="362"/>
      <c r="X300" s="483" t="s">
        <v>3416</v>
      </c>
      <c r="Y300" s="484">
        <v>44295</v>
      </c>
      <c r="Z300" s="484">
        <v>44295</v>
      </c>
      <c r="AA300" s="484">
        <v>44448</v>
      </c>
      <c r="AB300" s="485" t="s">
        <v>2650</v>
      </c>
      <c r="AC300" s="483" t="s">
        <v>3417</v>
      </c>
      <c r="AD300" s="485" t="s">
        <v>3418</v>
      </c>
      <c r="AE300" s="486" t="s">
        <v>2840</v>
      </c>
      <c r="AF300" s="473">
        <v>15899205</v>
      </c>
      <c r="AG300" s="474">
        <f t="shared" si="5"/>
        <v>100795</v>
      </c>
      <c r="AL300" s="475">
        <v>2225888</v>
      </c>
      <c r="AM300" s="306">
        <v>3179841</v>
      </c>
    </row>
    <row r="301" spans="1:39" hidden="1" x14ac:dyDescent="0.3">
      <c r="A301" s="476" t="s">
        <v>1919</v>
      </c>
      <c r="B301" s="477">
        <v>54511560</v>
      </c>
      <c r="C301" s="212" t="s">
        <v>2646</v>
      </c>
      <c r="D301" s="478">
        <v>296</v>
      </c>
      <c r="E301" s="309">
        <v>20217000010543</v>
      </c>
      <c r="F301" s="479">
        <v>44252</v>
      </c>
      <c r="G301" s="478" t="s">
        <v>2647</v>
      </c>
      <c r="H301" s="212" t="s">
        <v>2648</v>
      </c>
      <c r="I301" s="212" t="s">
        <v>164</v>
      </c>
      <c r="J301" s="475">
        <v>27255780</v>
      </c>
      <c r="K301" s="212" t="s">
        <v>138</v>
      </c>
      <c r="L301" s="212" t="s">
        <v>139</v>
      </c>
      <c r="M301" s="212" t="s">
        <v>44</v>
      </c>
      <c r="N301" s="212" t="s">
        <v>45</v>
      </c>
      <c r="O301" s="212" t="s">
        <v>142</v>
      </c>
      <c r="P301" s="212" t="s">
        <v>43</v>
      </c>
      <c r="R301" s="486">
        <v>304</v>
      </c>
      <c r="S301" s="490">
        <v>44252</v>
      </c>
      <c r="T301" s="486" t="s">
        <v>3419</v>
      </c>
      <c r="U301" s="475">
        <v>27255780</v>
      </c>
      <c r="V301" s="406"/>
      <c r="W301" s="362"/>
      <c r="X301" s="483" t="s">
        <v>3420</v>
      </c>
      <c r="Y301" s="484">
        <v>44272</v>
      </c>
      <c r="Z301" s="484">
        <v>44272</v>
      </c>
      <c r="AA301" s="484">
        <v>44394</v>
      </c>
      <c r="AB301" s="485" t="s">
        <v>2650</v>
      </c>
      <c r="AC301" s="483" t="s">
        <v>3421</v>
      </c>
      <c r="AD301" s="485" t="s">
        <v>3422</v>
      </c>
      <c r="AE301" s="486" t="s">
        <v>3423</v>
      </c>
      <c r="AF301" s="473">
        <v>27255780</v>
      </c>
      <c r="AG301" s="474">
        <f t="shared" si="5"/>
        <v>0</v>
      </c>
      <c r="AL301" s="475">
        <v>9539523</v>
      </c>
      <c r="AM301" s="306">
        <v>6813945</v>
      </c>
    </row>
    <row r="302" spans="1:39" hidden="1" x14ac:dyDescent="0.3">
      <c r="A302" s="476" t="s">
        <v>2585</v>
      </c>
      <c r="B302" s="477">
        <v>52000000</v>
      </c>
      <c r="C302" s="212" t="s">
        <v>2646</v>
      </c>
      <c r="D302" s="478">
        <v>297</v>
      </c>
      <c r="E302" s="309">
        <v>20213000010803</v>
      </c>
      <c r="F302" s="479">
        <v>44253</v>
      </c>
      <c r="G302" s="478" t="s">
        <v>2640</v>
      </c>
      <c r="H302" s="212" t="s">
        <v>2641</v>
      </c>
      <c r="I302" s="212" t="s">
        <v>432</v>
      </c>
      <c r="J302" s="475">
        <v>52000000</v>
      </c>
      <c r="K302" s="212" t="s">
        <v>342</v>
      </c>
      <c r="L302" s="212" t="s">
        <v>351</v>
      </c>
      <c r="M302" s="212" t="s">
        <v>44</v>
      </c>
      <c r="N302" s="212" t="s">
        <v>45</v>
      </c>
      <c r="O302" s="212" t="s">
        <v>63</v>
      </c>
      <c r="P302" s="212" t="s">
        <v>674</v>
      </c>
      <c r="R302" s="212">
        <v>310</v>
      </c>
      <c r="S302" s="479">
        <v>44256</v>
      </c>
      <c r="T302" s="212" t="s">
        <v>3424</v>
      </c>
      <c r="U302" s="475">
        <v>52000000</v>
      </c>
      <c r="V302" s="406"/>
      <c r="W302" s="362"/>
      <c r="X302" s="483" t="s">
        <v>3425</v>
      </c>
      <c r="Y302" s="484">
        <v>44292</v>
      </c>
      <c r="Z302" s="484">
        <v>44292</v>
      </c>
      <c r="AA302" s="484">
        <v>44535</v>
      </c>
      <c r="AB302" s="485" t="s">
        <v>2650</v>
      </c>
      <c r="AC302" s="483" t="s">
        <v>3426</v>
      </c>
      <c r="AD302" s="485" t="s">
        <v>3427</v>
      </c>
      <c r="AE302" s="486" t="s">
        <v>3428</v>
      </c>
      <c r="AF302" s="473">
        <v>52000000</v>
      </c>
      <c r="AG302" s="474">
        <f t="shared" si="5"/>
        <v>0</v>
      </c>
      <c r="AM302" s="306">
        <f>6500000+5200000</f>
        <v>11700000</v>
      </c>
    </row>
    <row r="303" spans="1:39" hidden="1" x14ac:dyDescent="0.3">
      <c r="A303" s="476" t="s">
        <v>1901</v>
      </c>
      <c r="B303" s="477">
        <v>48144000</v>
      </c>
      <c r="C303" s="212" t="s">
        <v>2646</v>
      </c>
      <c r="D303" s="478">
        <v>298</v>
      </c>
      <c r="E303" s="309">
        <v>20212000011403</v>
      </c>
      <c r="F303" s="479">
        <v>44258</v>
      </c>
      <c r="G303" s="478" t="s">
        <v>2640</v>
      </c>
      <c r="H303" s="212" t="s">
        <v>2641</v>
      </c>
      <c r="I303" s="212" t="s">
        <v>391</v>
      </c>
      <c r="J303" s="475">
        <v>38950000</v>
      </c>
      <c r="K303" s="210" t="s">
        <v>2711</v>
      </c>
      <c r="L303" s="212" t="s">
        <v>2712</v>
      </c>
      <c r="M303" s="212" t="s">
        <v>44</v>
      </c>
      <c r="N303" s="212" t="s">
        <v>45</v>
      </c>
      <c r="O303" s="212" t="s">
        <v>63</v>
      </c>
      <c r="P303" s="212" t="s">
        <v>674</v>
      </c>
      <c r="R303" s="212">
        <v>327</v>
      </c>
      <c r="S303" s="490">
        <v>44258</v>
      </c>
      <c r="T303" s="486" t="s">
        <v>3429</v>
      </c>
      <c r="U303" s="475">
        <f>38950000-2050000</f>
        <v>36900000</v>
      </c>
      <c r="V303" s="411">
        <v>2050000</v>
      </c>
      <c r="W303" s="397"/>
      <c r="X303" s="483" t="s">
        <v>3360</v>
      </c>
      <c r="Y303" s="484">
        <v>44273</v>
      </c>
      <c r="Z303" s="484">
        <v>44273</v>
      </c>
      <c r="AA303" s="484">
        <v>44548</v>
      </c>
      <c r="AB303" s="485" t="s">
        <v>2650</v>
      </c>
      <c r="AC303" s="483" t="s">
        <v>3430</v>
      </c>
      <c r="AD303" s="485" t="s">
        <v>3431</v>
      </c>
      <c r="AE303" s="486" t="s">
        <v>3432</v>
      </c>
      <c r="AF303" s="473">
        <v>36900000</v>
      </c>
      <c r="AK303" s="475">
        <v>1776666</v>
      </c>
      <c r="AL303" s="475">
        <v>4100000</v>
      </c>
      <c r="AM303" s="306">
        <v>4100000</v>
      </c>
    </row>
    <row r="304" spans="1:39" hidden="1" x14ac:dyDescent="0.3">
      <c r="A304" s="476" t="s">
        <v>2066</v>
      </c>
      <c r="B304" s="477">
        <v>24530202</v>
      </c>
      <c r="C304" s="212" t="s">
        <v>2646</v>
      </c>
      <c r="D304" s="478">
        <v>299</v>
      </c>
      <c r="E304" s="309">
        <v>20217000011333</v>
      </c>
      <c r="F304" s="479">
        <v>44256</v>
      </c>
      <c r="G304" s="478" t="s">
        <v>2647</v>
      </c>
      <c r="H304" s="212" t="s">
        <v>2648</v>
      </c>
      <c r="I304" s="212" t="s">
        <v>164</v>
      </c>
      <c r="J304" s="475">
        <v>16353468</v>
      </c>
      <c r="K304" s="212" t="s">
        <v>138</v>
      </c>
      <c r="L304" s="212" t="s">
        <v>139</v>
      </c>
      <c r="M304" s="212" t="s">
        <v>44</v>
      </c>
      <c r="N304" s="212" t="s">
        <v>45</v>
      </c>
      <c r="O304" s="212" t="s">
        <v>142</v>
      </c>
      <c r="P304" s="212" t="s">
        <v>43</v>
      </c>
      <c r="R304" s="212">
        <v>318</v>
      </c>
      <c r="S304" s="479">
        <v>44256</v>
      </c>
      <c r="T304" s="212" t="s">
        <v>3433</v>
      </c>
      <c r="U304" s="475">
        <v>16353468</v>
      </c>
      <c r="V304" s="406"/>
      <c r="W304" s="362"/>
      <c r="X304" s="483" t="s">
        <v>3434</v>
      </c>
      <c r="Y304" s="484">
        <v>44292</v>
      </c>
      <c r="Z304" s="484">
        <v>44292</v>
      </c>
      <c r="AA304" s="484">
        <v>44475</v>
      </c>
      <c r="AB304" s="485" t="s">
        <v>2650</v>
      </c>
      <c r="AC304" s="483" t="s">
        <v>3435</v>
      </c>
      <c r="AD304" s="485" t="s">
        <v>3436</v>
      </c>
      <c r="AE304" s="486" t="s">
        <v>3437</v>
      </c>
      <c r="AF304" s="473">
        <v>16353468</v>
      </c>
      <c r="AL304" s="475">
        <v>2180462</v>
      </c>
      <c r="AM304" s="306">
        <v>2725578</v>
      </c>
    </row>
    <row r="305" spans="1:50" ht="15" hidden="1" customHeight="1" x14ac:dyDescent="0.3">
      <c r="A305" s="476" t="s">
        <v>2164</v>
      </c>
      <c r="B305" s="477">
        <v>64900000</v>
      </c>
      <c r="C305" s="212" t="s">
        <v>2646</v>
      </c>
      <c r="D305" s="478">
        <v>300</v>
      </c>
      <c r="E305" s="309">
        <v>20215000007193</v>
      </c>
      <c r="F305" s="479">
        <v>44243</v>
      </c>
      <c r="G305" s="309" t="s">
        <v>2640</v>
      </c>
      <c r="H305" s="210" t="s">
        <v>2641</v>
      </c>
      <c r="I305" s="210" t="s">
        <v>228</v>
      </c>
      <c r="J305" s="407">
        <v>64900000</v>
      </c>
      <c r="K305" s="212" t="s">
        <v>288</v>
      </c>
      <c r="L305" s="212" t="s">
        <v>2736</v>
      </c>
      <c r="M305" s="212" t="s">
        <v>44</v>
      </c>
      <c r="N305" s="212" t="s">
        <v>45</v>
      </c>
      <c r="O305" s="212" t="s">
        <v>63</v>
      </c>
      <c r="P305" s="212" t="s">
        <v>674</v>
      </c>
      <c r="R305" s="212">
        <v>248</v>
      </c>
      <c r="S305" s="479">
        <v>44243</v>
      </c>
      <c r="T305" s="212" t="s">
        <v>3438</v>
      </c>
      <c r="U305" s="475">
        <f>64900000-11800000</f>
        <v>53100000</v>
      </c>
      <c r="V305" s="444">
        <v>11800000</v>
      </c>
      <c r="W305" s="398"/>
      <c r="X305" s="483" t="s">
        <v>3355</v>
      </c>
      <c r="Y305" s="484">
        <v>44273</v>
      </c>
      <c r="Z305" s="484">
        <v>44273</v>
      </c>
      <c r="AA305" s="484">
        <v>44548</v>
      </c>
      <c r="AB305" s="485" t="s">
        <v>2650</v>
      </c>
      <c r="AC305" s="483" t="s">
        <v>3439</v>
      </c>
      <c r="AD305" s="485" t="s">
        <v>3440</v>
      </c>
      <c r="AE305" s="486" t="s">
        <v>3441</v>
      </c>
      <c r="AF305" s="473">
        <v>53100000</v>
      </c>
      <c r="AG305" s="474">
        <f>+U305-AF305</f>
        <v>0</v>
      </c>
      <c r="AK305" s="475">
        <v>2163333</v>
      </c>
      <c r="AL305" s="475">
        <v>5900000</v>
      </c>
      <c r="AM305" s="306">
        <v>5900000</v>
      </c>
    </row>
    <row r="306" spans="1:50" s="299" customFormat="1" ht="15" hidden="1" customHeight="1" x14ac:dyDescent="0.3">
      <c r="A306" s="476" t="s">
        <v>2408</v>
      </c>
      <c r="B306" s="477">
        <v>29981358</v>
      </c>
      <c r="C306" s="212" t="s">
        <v>2646</v>
      </c>
      <c r="D306" s="521">
        <v>301</v>
      </c>
      <c r="E306" s="326">
        <v>20217000011363</v>
      </c>
      <c r="F306" s="522">
        <v>44256</v>
      </c>
      <c r="G306" s="521" t="s">
        <v>2647</v>
      </c>
      <c r="H306" s="299" t="s">
        <v>2648</v>
      </c>
      <c r="I306" s="299" t="s">
        <v>164</v>
      </c>
      <c r="J306" s="481">
        <v>10902312</v>
      </c>
      <c r="K306" s="299" t="s">
        <v>138</v>
      </c>
      <c r="L306" s="299" t="s">
        <v>139</v>
      </c>
      <c r="M306" s="299" t="s">
        <v>44</v>
      </c>
      <c r="N306" s="299" t="s">
        <v>45</v>
      </c>
      <c r="O306" s="299" t="s">
        <v>142</v>
      </c>
      <c r="P306" s="299" t="s">
        <v>43</v>
      </c>
      <c r="R306" s="299">
        <v>320</v>
      </c>
      <c r="S306" s="523">
        <v>44256</v>
      </c>
      <c r="T306" s="500" t="s">
        <v>3442</v>
      </c>
      <c r="U306" s="475">
        <v>10902312</v>
      </c>
      <c r="V306" s="406"/>
      <c r="W306" s="400"/>
      <c r="X306" s="524">
        <v>267</v>
      </c>
      <c r="Y306" s="525">
        <v>44278</v>
      </c>
      <c r="Z306" s="497">
        <v>44270</v>
      </c>
      <c r="AA306" s="497">
        <v>44270</v>
      </c>
      <c r="AB306" s="498" t="s">
        <v>2650</v>
      </c>
      <c r="AC306" s="327">
        <v>192</v>
      </c>
      <c r="AD306" s="498" t="s">
        <v>3443</v>
      </c>
      <c r="AE306" s="500" t="s">
        <v>2821</v>
      </c>
      <c r="AF306" s="473">
        <v>10902312</v>
      </c>
      <c r="AH306" s="481"/>
      <c r="AI306" s="481"/>
      <c r="AJ306" s="475"/>
      <c r="AK306" s="475"/>
      <c r="AL306" s="475">
        <v>4088367</v>
      </c>
      <c r="AM306" s="306">
        <v>2725578</v>
      </c>
    </row>
    <row r="307" spans="1:50" ht="15" hidden="1" customHeight="1" x14ac:dyDescent="0.3">
      <c r="A307" s="476" t="s">
        <v>2069</v>
      </c>
      <c r="B307" s="477">
        <v>36795303</v>
      </c>
      <c r="C307" s="212" t="s">
        <v>2646</v>
      </c>
      <c r="D307" s="478">
        <v>302</v>
      </c>
      <c r="E307" s="309">
        <v>20217000011153</v>
      </c>
      <c r="F307" s="479">
        <v>44256</v>
      </c>
      <c r="G307" s="478" t="s">
        <v>2647</v>
      </c>
      <c r="H307" s="212" t="s">
        <v>2648</v>
      </c>
      <c r="I307" s="212" t="s">
        <v>164</v>
      </c>
      <c r="J307" s="475">
        <v>24600000</v>
      </c>
      <c r="K307" s="212" t="s">
        <v>138</v>
      </c>
      <c r="L307" s="212" t="s">
        <v>139</v>
      </c>
      <c r="M307" s="212" t="s">
        <v>44</v>
      </c>
      <c r="N307" s="212" t="s">
        <v>45</v>
      </c>
      <c r="O307" s="212" t="s">
        <v>142</v>
      </c>
      <c r="P307" s="212" t="s">
        <v>43</v>
      </c>
      <c r="R307" s="212">
        <v>316</v>
      </c>
      <c r="S307" s="490">
        <v>44256</v>
      </c>
      <c r="T307" s="486" t="s">
        <v>3444</v>
      </c>
      <c r="U307" s="475">
        <v>24600000</v>
      </c>
      <c r="V307" s="406"/>
      <c r="W307" s="362"/>
      <c r="X307" s="483" t="s">
        <v>3445</v>
      </c>
      <c r="Y307" s="484">
        <v>44292</v>
      </c>
      <c r="Z307" s="484">
        <v>44292</v>
      </c>
      <c r="AA307" s="484">
        <v>44474</v>
      </c>
      <c r="AB307" s="485" t="s">
        <v>2650</v>
      </c>
      <c r="AC307" s="483" t="s">
        <v>3391</v>
      </c>
      <c r="AD307" s="485" t="s">
        <v>3446</v>
      </c>
      <c r="AE307" s="486" t="s">
        <v>3447</v>
      </c>
      <c r="AF307" s="473">
        <v>24530202</v>
      </c>
      <c r="AL307" s="475">
        <v>3270694</v>
      </c>
      <c r="AM307" s="306">
        <v>4088367</v>
      </c>
    </row>
    <row r="308" spans="1:50" s="299" customFormat="1" ht="15" hidden="1" customHeight="1" x14ac:dyDescent="0.3">
      <c r="A308" s="476" t="s">
        <v>2014</v>
      </c>
      <c r="B308" s="477">
        <v>53148771</v>
      </c>
      <c r="C308" s="212" t="s">
        <v>2646</v>
      </c>
      <c r="D308" s="521">
        <v>303</v>
      </c>
      <c r="E308" s="326">
        <v>20217000011363</v>
      </c>
      <c r="F308" s="522">
        <v>44256</v>
      </c>
      <c r="G308" s="521" t="s">
        <v>2647</v>
      </c>
      <c r="H308" s="299" t="s">
        <v>2648</v>
      </c>
      <c r="I308" s="299" t="s">
        <v>164</v>
      </c>
      <c r="J308" s="481">
        <v>41400000</v>
      </c>
      <c r="K308" s="299" t="s">
        <v>138</v>
      </c>
      <c r="L308" s="299" t="s">
        <v>139</v>
      </c>
      <c r="M308" s="299" t="s">
        <v>44</v>
      </c>
      <c r="N308" s="299" t="s">
        <v>45</v>
      </c>
      <c r="O308" s="299" t="s">
        <v>142</v>
      </c>
      <c r="P308" s="299" t="s">
        <v>43</v>
      </c>
      <c r="R308" s="299">
        <v>315</v>
      </c>
      <c r="S308" s="523">
        <v>44256</v>
      </c>
      <c r="T308" s="500" t="s">
        <v>3448</v>
      </c>
      <c r="U308" s="475">
        <v>41400000</v>
      </c>
      <c r="V308" s="406"/>
      <c r="W308" s="400"/>
      <c r="X308" s="211" t="s">
        <v>3449</v>
      </c>
      <c r="Y308" s="472">
        <v>44300</v>
      </c>
      <c r="Z308" s="472">
        <v>44300</v>
      </c>
      <c r="AA308" s="472">
        <v>44514</v>
      </c>
      <c r="AB308" s="2" t="s">
        <v>2650</v>
      </c>
      <c r="AC308" s="211" t="s">
        <v>3450</v>
      </c>
      <c r="AD308" s="2" t="s">
        <v>3451</v>
      </c>
      <c r="AE308" s="212" t="s">
        <v>3452</v>
      </c>
      <c r="AF308" s="473">
        <v>41337933</v>
      </c>
      <c r="AH308" s="481"/>
      <c r="AI308" s="481"/>
      <c r="AJ308" s="475"/>
      <c r="AK308" s="475"/>
      <c r="AL308" s="475">
        <v>3149557</v>
      </c>
      <c r="AM308" s="306">
        <v>5905419</v>
      </c>
    </row>
    <row r="309" spans="1:50" ht="15" hidden="1" customHeight="1" x14ac:dyDescent="0.3">
      <c r="A309" s="476" t="s">
        <v>1781</v>
      </c>
      <c r="B309" s="477">
        <v>63000000</v>
      </c>
      <c r="C309" s="212" t="s">
        <v>2646</v>
      </c>
      <c r="D309" s="478">
        <v>304</v>
      </c>
      <c r="E309" s="478">
        <v>20216000013723</v>
      </c>
      <c r="F309" s="310">
        <v>44265</v>
      </c>
      <c r="G309" s="478" t="s">
        <v>2647</v>
      </c>
      <c r="H309" s="212" t="s">
        <v>2648</v>
      </c>
      <c r="I309" s="212" t="s">
        <v>214</v>
      </c>
      <c r="J309" s="475">
        <v>63000000</v>
      </c>
      <c r="K309" s="212" t="s">
        <v>138</v>
      </c>
      <c r="L309" s="212" t="s">
        <v>139</v>
      </c>
      <c r="M309" s="212" t="s">
        <v>44</v>
      </c>
      <c r="N309" s="212" t="s">
        <v>45</v>
      </c>
      <c r="O309" s="212" t="s">
        <v>142</v>
      </c>
      <c r="P309" s="212" t="s">
        <v>43</v>
      </c>
      <c r="R309" s="212">
        <v>385</v>
      </c>
      <c r="S309" s="490">
        <v>44266</v>
      </c>
      <c r="T309" s="486" t="s">
        <v>3453</v>
      </c>
      <c r="U309" s="475">
        <v>63000000</v>
      </c>
      <c r="V309" s="406"/>
      <c r="W309" s="362"/>
      <c r="X309" s="483" t="s">
        <v>3454</v>
      </c>
      <c r="Y309" s="484">
        <v>44273</v>
      </c>
      <c r="Z309" s="484">
        <v>44273</v>
      </c>
      <c r="AA309" s="484">
        <v>44548</v>
      </c>
      <c r="AB309" s="485" t="s">
        <v>2650</v>
      </c>
      <c r="AC309" s="483" t="s">
        <v>3455</v>
      </c>
      <c r="AD309" s="485" t="s">
        <v>3456</v>
      </c>
      <c r="AE309" s="486" t="s">
        <v>3457</v>
      </c>
      <c r="AF309" s="473">
        <v>63000000</v>
      </c>
      <c r="AK309" s="475">
        <v>2800000</v>
      </c>
      <c r="AL309" s="475">
        <v>7000000</v>
      </c>
      <c r="AM309" s="306">
        <v>7000000</v>
      </c>
    </row>
    <row r="310" spans="1:50" ht="15" hidden="1" customHeight="1" x14ac:dyDescent="0.3">
      <c r="B310" s="477" t="s">
        <v>97</v>
      </c>
      <c r="C310" s="212" t="s">
        <v>3458</v>
      </c>
      <c r="D310" s="478">
        <v>305</v>
      </c>
      <c r="E310" s="309">
        <v>20213000007933</v>
      </c>
      <c r="F310" s="479">
        <v>44256</v>
      </c>
      <c r="G310" s="478" t="s">
        <v>2640</v>
      </c>
      <c r="H310" s="212" t="s">
        <v>2641</v>
      </c>
      <c r="I310" s="212" t="s">
        <v>432</v>
      </c>
      <c r="J310" s="475">
        <v>138924000</v>
      </c>
      <c r="K310" s="212" t="s">
        <v>342</v>
      </c>
      <c r="L310" s="212" t="s">
        <v>343</v>
      </c>
      <c r="M310" s="212" t="s">
        <v>44</v>
      </c>
      <c r="N310" s="212" t="s">
        <v>45</v>
      </c>
      <c r="O310" s="212" t="s">
        <v>310</v>
      </c>
      <c r="P310" s="212" t="s">
        <v>674</v>
      </c>
      <c r="R310" s="212">
        <v>321</v>
      </c>
      <c r="S310" s="490">
        <v>44257</v>
      </c>
      <c r="T310" s="486" t="s">
        <v>3459</v>
      </c>
      <c r="U310" s="475">
        <v>138924000</v>
      </c>
      <c r="V310" s="406"/>
      <c r="W310" s="362"/>
      <c r="X310" s="483" t="s">
        <v>3460</v>
      </c>
      <c r="Y310" s="484">
        <v>44315</v>
      </c>
      <c r="Z310" s="484">
        <v>44315</v>
      </c>
      <c r="AA310" s="484">
        <v>44346</v>
      </c>
      <c r="AB310" s="485" t="s">
        <v>3106</v>
      </c>
      <c r="AC310" s="483" t="s">
        <v>3461</v>
      </c>
      <c r="AD310" s="485" t="s">
        <v>3462</v>
      </c>
      <c r="AE310" s="486" t="s">
        <v>3463</v>
      </c>
      <c r="AF310" s="473">
        <f>39760000+40952000+29106000+29106000</f>
        <v>138924000</v>
      </c>
      <c r="AG310" s="474">
        <f>+U310-AF310</f>
        <v>0</v>
      </c>
      <c r="AM310" s="306">
        <f>29106000+29106000+39760000+40952000</f>
        <v>138924000</v>
      </c>
    </row>
    <row r="311" spans="1:50" ht="15.75" hidden="1" customHeight="1" x14ac:dyDescent="0.3">
      <c r="B311" s="477" t="s">
        <v>97</v>
      </c>
      <c r="C311" s="515" t="s">
        <v>3464</v>
      </c>
      <c r="D311" s="478">
        <v>306</v>
      </c>
      <c r="E311" s="309">
        <v>20213000007953</v>
      </c>
      <c r="F311" s="479">
        <v>44256</v>
      </c>
      <c r="G311" s="478" t="s">
        <v>2640</v>
      </c>
      <c r="H311" s="212" t="s">
        <v>2641</v>
      </c>
      <c r="I311" s="212" t="s">
        <v>432</v>
      </c>
      <c r="J311" s="407">
        <v>32333000</v>
      </c>
      <c r="K311" s="212" t="s">
        <v>342</v>
      </c>
      <c r="L311" s="212" t="s">
        <v>343</v>
      </c>
      <c r="M311" s="212" t="s">
        <v>44</v>
      </c>
      <c r="N311" s="212" t="s">
        <v>45</v>
      </c>
      <c r="O311" s="212" t="s">
        <v>310</v>
      </c>
      <c r="P311" s="212" t="s">
        <v>674</v>
      </c>
      <c r="R311" s="212">
        <v>322</v>
      </c>
      <c r="S311" s="490">
        <v>44257</v>
      </c>
      <c r="T311" s="486" t="s">
        <v>3465</v>
      </c>
      <c r="U311" s="475">
        <v>32333000</v>
      </c>
      <c r="V311" s="406"/>
      <c r="W311" s="362"/>
      <c r="X311" s="483">
        <v>494</v>
      </c>
      <c r="Y311" s="484">
        <v>44312</v>
      </c>
      <c r="Z311" s="484">
        <v>44312</v>
      </c>
      <c r="AA311" s="484">
        <v>44346</v>
      </c>
      <c r="AB311" s="485" t="s">
        <v>3106</v>
      </c>
      <c r="AC311" s="483" t="s">
        <v>3466</v>
      </c>
      <c r="AD311" s="485" t="s">
        <v>3467</v>
      </c>
      <c r="AE311" s="486" t="s">
        <v>3468</v>
      </c>
      <c r="AF311" s="473">
        <f>15689000+16644000</f>
        <v>32333000</v>
      </c>
      <c r="AG311" s="474">
        <f>+U311-AF311</f>
        <v>0</v>
      </c>
      <c r="AL311" s="526">
        <v>32333000</v>
      </c>
      <c r="AM311" s="212"/>
    </row>
    <row r="312" spans="1:50" ht="15.75" hidden="1" customHeight="1" x14ac:dyDescent="0.3">
      <c r="B312" s="477" t="s">
        <v>97</v>
      </c>
      <c r="C312" s="515" t="s">
        <v>3469</v>
      </c>
      <c r="D312" s="478">
        <v>307</v>
      </c>
      <c r="E312" s="309">
        <v>20213000007983</v>
      </c>
      <c r="F312" s="479">
        <v>44256</v>
      </c>
      <c r="G312" s="478" t="s">
        <v>2640</v>
      </c>
      <c r="H312" s="212" t="s">
        <v>2641</v>
      </c>
      <c r="I312" s="212" t="s">
        <v>432</v>
      </c>
      <c r="J312" s="407">
        <v>30118000</v>
      </c>
      <c r="K312" s="212" t="s">
        <v>342</v>
      </c>
      <c r="L312" s="212" t="s">
        <v>343</v>
      </c>
      <c r="M312" s="212" t="s">
        <v>44</v>
      </c>
      <c r="N312" s="212" t="s">
        <v>45</v>
      </c>
      <c r="O312" s="212" t="s">
        <v>310</v>
      </c>
      <c r="P312" s="212" t="s">
        <v>674</v>
      </c>
      <c r="R312" s="212">
        <v>323</v>
      </c>
      <c r="S312" s="490">
        <v>44257</v>
      </c>
      <c r="T312" s="486" t="s">
        <v>3470</v>
      </c>
      <c r="U312" s="475">
        <v>30118000</v>
      </c>
      <c r="V312" s="406"/>
      <c r="W312" s="362"/>
      <c r="X312" s="483" t="s">
        <v>3471</v>
      </c>
      <c r="Y312" s="484">
        <v>44315</v>
      </c>
      <c r="Z312" s="484">
        <v>44315</v>
      </c>
      <c r="AA312" s="484">
        <v>44346</v>
      </c>
      <c r="AB312" s="485" t="s">
        <v>3106</v>
      </c>
      <c r="AC312" s="483" t="s">
        <v>3472</v>
      </c>
      <c r="AD312" s="485" t="s">
        <v>3462</v>
      </c>
      <c r="AE312" s="486" t="s">
        <v>3463</v>
      </c>
      <c r="AF312" s="473">
        <f>19815000+10303000</f>
        <v>30118000</v>
      </c>
      <c r="AG312" s="474">
        <f>+U312-AF312</f>
        <v>0</v>
      </c>
      <c r="AL312" s="475">
        <v>30118000</v>
      </c>
      <c r="AM312" s="212"/>
    </row>
    <row r="313" spans="1:50" ht="15" hidden="1" customHeight="1" x14ac:dyDescent="0.3">
      <c r="B313" s="477" t="s">
        <v>97</v>
      </c>
      <c r="C313" s="527" t="s">
        <v>3473</v>
      </c>
      <c r="D313" s="478">
        <v>308</v>
      </c>
      <c r="E313" s="309">
        <v>20213000007993</v>
      </c>
      <c r="F313" s="479">
        <v>44256</v>
      </c>
      <c r="G313" s="478" t="s">
        <v>2640</v>
      </c>
      <c r="H313" s="212" t="s">
        <v>2641</v>
      </c>
      <c r="I313" s="212" t="s">
        <v>432</v>
      </c>
      <c r="J313" s="407">
        <v>42874000</v>
      </c>
      <c r="K313" s="212" t="s">
        <v>342</v>
      </c>
      <c r="L313" s="212" t="s">
        <v>343</v>
      </c>
      <c r="M313" s="212" t="s">
        <v>44</v>
      </c>
      <c r="N313" s="212" t="s">
        <v>45</v>
      </c>
      <c r="O313" s="212" t="s">
        <v>310</v>
      </c>
      <c r="P313" s="212" t="s">
        <v>674</v>
      </c>
      <c r="R313" s="212">
        <v>324</v>
      </c>
      <c r="S313" s="490">
        <v>44257</v>
      </c>
      <c r="T313" s="486" t="s">
        <v>3474</v>
      </c>
      <c r="U313" s="475">
        <v>42874000</v>
      </c>
      <c r="V313" s="406"/>
      <c r="X313" s="483" t="s">
        <v>3475</v>
      </c>
      <c r="Y313" s="490">
        <v>44376</v>
      </c>
      <c r="Z313" s="484">
        <v>44376</v>
      </c>
      <c r="AA313" s="490">
        <v>44407</v>
      </c>
      <c r="AB313" s="486" t="s">
        <v>3106</v>
      </c>
      <c r="AC313" s="483" t="s">
        <v>3466</v>
      </c>
      <c r="AD313" s="486" t="s">
        <v>3467</v>
      </c>
      <c r="AE313" s="486" t="s">
        <v>3476</v>
      </c>
      <c r="AF313" s="692">
        <v>42874000</v>
      </c>
      <c r="AG313" s="474">
        <f>+U313-AF313</f>
        <v>0</v>
      </c>
      <c r="AM313" s="212"/>
    </row>
    <row r="314" spans="1:50" ht="15.75" hidden="1" customHeight="1" x14ac:dyDescent="0.3">
      <c r="A314" s="476" t="s">
        <v>3477</v>
      </c>
      <c r="B314" s="477">
        <v>301405000</v>
      </c>
      <c r="C314" s="515" t="s">
        <v>2183</v>
      </c>
      <c r="D314" s="478">
        <v>309</v>
      </c>
      <c r="E314" s="309">
        <v>20215000011503</v>
      </c>
      <c r="F314" s="479">
        <v>44258</v>
      </c>
      <c r="G314" s="478" t="s">
        <v>2640</v>
      </c>
      <c r="H314" s="212" t="s">
        <v>2641</v>
      </c>
      <c r="I314" s="212" t="s">
        <v>228</v>
      </c>
      <c r="J314" s="480">
        <v>301405000</v>
      </c>
      <c r="K314" s="212" t="s">
        <v>223</v>
      </c>
      <c r="L314" s="212" t="s">
        <v>269</v>
      </c>
      <c r="M314" s="212" t="s">
        <v>44</v>
      </c>
      <c r="N314" s="212" t="s">
        <v>2936</v>
      </c>
      <c r="O314" s="212" t="s">
        <v>255</v>
      </c>
      <c r="P314" s="212" t="s">
        <v>674</v>
      </c>
      <c r="R314" s="212">
        <v>328</v>
      </c>
      <c r="S314" s="490">
        <v>44258</v>
      </c>
      <c r="T314" s="486" t="s">
        <v>3478</v>
      </c>
      <c r="U314" s="475">
        <v>301405000</v>
      </c>
      <c r="V314" s="406"/>
      <c r="W314" s="362"/>
      <c r="AM314" s="212"/>
    </row>
    <row r="315" spans="1:50" ht="15.75" hidden="1" customHeight="1" x14ac:dyDescent="0.3">
      <c r="B315" s="501" t="s">
        <v>3016</v>
      </c>
      <c r="C315" s="212" t="s">
        <v>3479</v>
      </c>
      <c r="D315" s="478">
        <v>310</v>
      </c>
      <c r="E315" s="478">
        <v>20214000007803</v>
      </c>
      <c r="F315" s="479">
        <v>44239</v>
      </c>
      <c r="G315" s="478" t="s">
        <v>2680</v>
      </c>
      <c r="H315" s="212" t="s">
        <v>2681</v>
      </c>
      <c r="I315" s="212" t="s">
        <v>47</v>
      </c>
      <c r="J315" s="480">
        <v>19649997</v>
      </c>
      <c r="K315" s="212" t="s">
        <v>37</v>
      </c>
      <c r="L315" s="515" t="s">
        <v>3180</v>
      </c>
      <c r="M315" s="212" t="s">
        <v>44</v>
      </c>
      <c r="N315" s="212" t="s">
        <v>45</v>
      </c>
      <c r="O315" s="212" t="s">
        <v>310</v>
      </c>
      <c r="P315" s="212" t="s">
        <v>43</v>
      </c>
      <c r="R315" s="212">
        <v>237</v>
      </c>
      <c r="S315" s="479">
        <v>44242</v>
      </c>
      <c r="T315" s="212" t="s">
        <v>3480</v>
      </c>
      <c r="U315" s="489">
        <v>19649997</v>
      </c>
      <c r="V315" s="406"/>
      <c r="W315" s="399"/>
      <c r="X315" s="483" t="s">
        <v>3481</v>
      </c>
      <c r="Y315" s="484">
        <v>44273</v>
      </c>
      <c r="Z315" s="484">
        <v>44274</v>
      </c>
      <c r="AA315" s="484">
        <v>44304</v>
      </c>
      <c r="AB315" s="485" t="s">
        <v>2670</v>
      </c>
      <c r="AC315" s="483" t="s">
        <v>3482</v>
      </c>
      <c r="AD315" s="485" t="s">
        <v>3483</v>
      </c>
      <c r="AE315" s="486" t="s">
        <v>3484</v>
      </c>
      <c r="AF315" s="488">
        <v>19649997</v>
      </c>
      <c r="AG315" s="474">
        <f>+U315-AF315</f>
        <v>0</v>
      </c>
      <c r="AH315" s="480"/>
      <c r="AM315" s="212"/>
    </row>
    <row r="316" spans="1:50" ht="15" hidden="1" customHeight="1" x14ac:dyDescent="0.3">
      <c r="B316" s="501"/>
      <c r="C316" s="519" t="s">
        <v>3485</v>
      </c>
      <c r="D316" s="478">
        <v>311</v>
      </c>
      <c r="E316" s="478">
        <v>20212000012553</v>
      </c>
      <c r="F316" s="479">
        <v>44263</v>
      </c>
      <c r="G316" s="478" t="s">
        <v>2640</v>
      </c>
      <c r="H316" s="212" t="s">
        <v>2641</v>
      </c>
      <c r="I316" s="212" t="s">
        <v>391</v>
      </c>
      <c r="J316" s="475">
        <v>4686499723</v>
      </c>
      <c r="K316" s="212" t="s">
        <v>426</v>
      </c>
      <c r="L316" s="212" t="s">
        <v>427</v>
      </c>
      <c r="M316" s="212" t="s">
        <v>44</v>
      </c>
      <c r="N316" s="212" t="s">
        <v>45</v>
      </c>
      <c r="O316" s="212" t="s">
        <v>63</v>
      </c>
      <c r="P316" s="212" t="s">
        <v>674</v>
      </c>
      <c r="R316" s="212">
        <v>339</v>
      </c>
      <c r="S316" s="490">
        <v>44263</v>
      </c>
      <c r="T316" s="486" t="s">
        <v>3486</v>
      </c>
      <c r="U316" s="475">
        <v>4686499723</v>
      </c>
      <c r="V316" s="480"/>
      <c r="W316" s="520"/>
      <c r="X316" s="483" t="s">
        <v>3487</v>
      </c>
      <c r="Y316" s="484">
        <v>44274</v>
      </c>
      <c r="Z316" s="484">
        <v>44274</v>
      </c>
      <c r="AA316" s="484">
        <v>44423</v>
      </c>
      <c r="AB316" s="485" t="s">
        <v>3339</v>
      </c>
      <c r="AC316" s="483" t="s">
        <v>3487</v>
      </c>
      <c r="AD316" s="485" t="s">
        <v>3488</v>
      </c>
      <c r="AE316" s="486" t="s">
        <v>3489</v>
      </c>
      <c r="AF316" s="473">
        <v>4686499723</v>
      </c>
      <c r="AM316" s="212"/>
    </row>
    <row r="317" spans="1:50" ht="15" hidden="1" customHeight="1" x14ac:dyDescent="0.3">
      <c r="A317" s="476" t="s">
        <v>2414</v>
      </c>
      <c r="B317" s="477">
        <v>79314319</v>
      </c>
      <c r="C317" s="212" t="s">
        <v>2646</v>
      </c>
      <c r="D317" s="478">
        <v>312</v>
      </c>
      <c r="E317" s="309">
        <v>20217000011923</v>
      </c>
      <c r="F317" s="479">
        <v>44258</v>
      </c>
      <c r="G317" s="478" t="s">
        <v>2647</v>
      </c>
      <c r="H317" s="212" t="s">
        <v>2648</v>
      </c>
      <c r="I317" s="212" t="s">
        <v>164</v>
      </c>
      <c r="J317" s="475">
        <v>52876212</v>
      </c>
      <c r="K317" s="212" t="s">
        <v>138</v>
      </c>
      <c r="L317" s="212" t="s">
        <v>139</v>
      </c>
      <c r="M317" s="212" t="s">
        <v>44</v>
      </c>
      <c r="N317" s="212" t="s">
        <v>45</v>
      </c>
      <c r="O317" s="212" t="s">
        <v>142</v>
      </c>
      <c r="P317" s="212" t="s">
        <v>43</v>
      </c>
      <c r="R317" s="212">
        <v>329</v>
      </c>
      <c r="S317" s="490">
        <v>44258</v>
      </c>
      <c r="T317" s="486" t="s">
        <v>3490</v>
      </c>
      <c r="U317" s="475">
        <v>52876212</v>
      </c>
      <c r="V317" s="406"/>
      <c r="W317" s="362"/>
      <c r="X317" s="483" t="s">
        <v>2946</v>
      </c>
      <c r="Y317" s="484">
        <v>44285</v>
      </c>
      <c r="Z317" s="484">
        <v>44285</v>
      </c>
      <c r="AA317" s="484">
        <v>44469</v>
      </c>
      <c r="AB317" s="485" t="s">
        <v>2650</v>
      </c>
      <c r="AC317" s="483" t="s">
        <v>3491</v>
      </c>
      <c r="AD317" s="485" t="s">
        <v>3492</v>
      </c>
      <c r="AE317" s="486" t="s">
        <v>2703</v>
      </c>
      <c r="AF317" s="473">
        <v>52876212</v>
      </c>
      <c r="AL317" s="475">
        <v>9106459</v>
      </c>
      <c r="AM317" s="306">
        <v>8812702</v>
      </c>
    </row>
    <row r="318" spans="1:50" ht="15.75" hidden="1" customHeight="1" x14ac:dyDescent="0.3">
      <c r="B318" s="501" t="s">
        <v>2683</v>
      </c>
      <c r="C318" s="518" t="s">
        <v>3299</v>
      </c>
      <c r="D318" s="212">
        <v>313</v>
      </c>
      <c r="E318" s="309">
        <v>20215000009113</v>
      </c>
      <c r="F318" s="310">
        <v>44250</v>
      </c>
      <c r="G318" s="309" t="s">
        <v>2640</v>
      </c>
      <c r="H318" s="210" t="s">
        <v>2641</v>
      </c>
      <c r="I318" s="210" t="s">
        <v>228</v>
      </c>
      <c r="J318" s="407">
        <v>114229680</v>
      </c>
      <c r="K318" s="212" t="s">
        <v>223</v>
      </c>
      <c r="L318" s="212" t="s">
        <v>224</v>
      </c>
      <c r="M318" s="210" t="s">
        <v>44</v>
      </c>
      <c r="N318" s="210" t="s">
        <v>45</v>
      </c>
      <c r="O318" s="210" t="s">
        <v>265</v>
      </c>
      <c r="P318" s="210" t="s">
        <v>674</v>
      </c>
      <c r="Q318" s="210"/>
      <c r="R318" s="486">
        <v>282</v>
      </c>
      <c r="S318" s="490">
        <v>44250</v>
      </c>
      <c r="T318" s="486" t="s">
        <v>3493</v>
      </c>
      <c r="U318" s="475">
        <v>114229680</v>
      </c>
      <c r="V318" s="406"/>
      <c r="W318" s="362"/>
      <c r="X318" s="483" t="s">
        <v>3426</v>
      </c>
      <c r="Y318" s="484">
        <v>44274</v>
      </c>
      <c r="Z318" s="484">
        <v>44268</v>
      </c>
      <c r="AA318" s="484">
        <v>44362</v>
      </c>
      <c r="AB318" s="485" t="s">
        <v>2650</v>
      </c>
      <c r="AC318" s="483" t="s">
        <v>3227</v>
      </c>
      <c r="AD318" s="485" t="s">
        <v>3494</v>
      </c>
      <c r="AE318" s="486" t="s">
        <v>3495</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3">
      <c r="A319" s="476" t="s">
        <v>2376</v>
      </c>
      <c r="B319" s="477">
        <v>65413872</v>
      </c>
      <c r="C319" s="212" t="s">
        <v>2646</v>
      </c>
      <c r="D319" s="478">
        <v>314</v>
      </c>
      <c r="E319" s="309">
        <v>20217000012233</v>
      </c>
      <c r="F319" s="479">
        <v>44259</v>
      </c>
      <c r="G319" s="478" t="s">
        <v>2647</v>
      </c>
      <c r="H319" s="212" t="s">
        <v>2648</v>
      </c>
      <c r="I319" s="212" t="s">
        <v>164</v>
      </c>
      <c r="J319" s="475">
        <v>50877456</v>
      </c>
      <c r="K319" s="212" t="s">
        <v>138</v>
      </c>
      <c r="L319" s="212" t="s">
        <v>139</v>
      </c>
      <c r="M319" s="212" t="s">
        <v>44</v>
      </c>
      <c r="N319" s="212" t="s">
        <v>45</v>
      </c>
      <c r="O319" s="212" t="s">
        <v>142</v>
      </c>
      <c r="P319" s="212" t="s">
        <v>43</v>
      </c>
      <c r="R319" s="212">
        <v>331</v>
      </c>
      <c r="S319" s="490">
        <v>44259</v>
      </c>
      <c r="T319" s="486" t="s">
        <v>3496</v>
      </c>
      <c r="U319" s="475">
        <v>50877456</v>
      </c>
      <c r="V319" s="406"/>
      <c r="W319" s="362"/>
      <c r="X319" s="483" t="s">
        <v>3497</v>
      </c>
      <c r="Y319" s="484">
        <v>44286</v>
      </c>
      <c r="Z319" s="484">
        <v>44286</v>
      </c>
      <c r="AA319" s="484">
        <v>44500</v>
      </c>
      <c r="AB319" s="485" t="s">
        <v>2650</v>
      </c>
      <c r="AC319" s="483" t="s">
        <v>3498</v>
      </c>
      <c r="AD319" s="485" t="s">
        <v>3499</v>
      </c>
      <c r="AE319" s="486" t="s">
        <v>3500</v>
      </c>
      <c r="AF319" s="473">
        <v>50877456</v>
      </c>
      <c r="AL319" s="475">
        <v>6299114</v>
      </c>
      <c r="AM319" s="306">
        <v>7268208</v>
      </c>
    </row>
    <row r="320" spans="1:50" s="312" customFormat="1" ht="15.75" hidden="1" customHeight="1" x14ac:dyDescent="0.3">
      <c r="A320" s="361" t="s">
        <v>2228</v>
      </c>
      <c r="B320" s="417" t="s">
        <v>3501</v>
      </c>
      <c r="C320" s="312" t="s">
        <v>3502</v>
      </c>
      <c r="D320" s="325">
        <v>315</v>
      </c>
      <c r="E320" s="325">
        <v>20214000011953</v>
      </c>
      <c r="F320" s="315">
        <v>44260</v>
      </c>
      <c r="G320" s="325" t="s">
        <v>2680</v>
      </c>
      <c r="H320" s="312" t="s">
        <v>2681</v>
      </c>
      <c r="I320" s="312" t="s">
        <v>47</v>
      </c>
      <c r="J320" s="406">
        <v>281078765</v>
      </c>
      <c r="K320" s="312" t="s">
        <v>37</v>
      </c>
      <c r="L320" s="510" t="s">
        <v>3180</v>
      </c>
      <c r="M320" s="312" t="s">
        <v>44</v>
      </c>
      <c r="N320" s="312" t="s">
        <v>45</v>
      </c>
      <c r="O320" s="212" t="s">
        <v>310</v>
      </c>
      <c r="P320" s="312" t="s">
        <v>84</v>
      </c>
      <c r="R320" s="312">
        <v>344</v>
      </c>
      <c r="S320" s="363">
        <v>44263</v>
      </c>
      <c r="T320" s="360" t="s">
        <v>3503</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3">
      <c r="A321" s="476" t="s">
        <v>2285</v>
      </c>
      <c r="B321" s="477">
        <v>51408000</v>
      </c>
      <c r="C321" s="212" t="s">
        <v>2646</v>
      </c>
      <c r="D321" s="478">
        <v>316</v>
      </c>
      <c r="E321" s="309">
        <v>20212000012393</v>
      </c>
      <c r="F321" s="479">
        <v>44263</v>
      </c>
      <c r="G321" s="478" t="s">
        <v>2640</v>
      </c>
      <c r="H321" s="212" t="s">
        <v>2641</v>
      </c>
      <c r="I321" s="212" t="s">
        <v>391</v>
      </c>
      <c r="J321" s="475">
        <v>45900000</v>
      </c>
      <c r="K321" s="212" t="s">
        <v>396</v>
      </c>
      <c r="L321" s="212" t="s">
        <v>397</v>
      </c>
      <c r="M321" s="212" t="s">
        <v>44</v>
      </c>
      <c r="N321" s="212" t="s">
        <v>45</v>
      </c>
      <c r="O321" s="212" t="s">
        <v>63</v>
      </c>
      <c r="P321" s="212" t="s">
        <v>674</v>
      </c>
      <c r="R321" s="212">
        <v>335</v>
      </c>
      <c r="S321" s="490">
        <v>44263</v>
      </c>
      <c r="T321" s="486" t="s">
        <v>3504</v>
      </c>
      <c r="U321" s="475">
        <v>45900000</v>
      </c>
      <c r="V321" s="406"/>
      <c r="W321" s="362"/>
      <c r="X321" s="483" t="s">
        <v>3505</v>
      </c>
      <c r="Y321" s="484">
        <v>44319</v>
      </c>
      <c r="Z321" s="484">
        <v>44319</v>
      </c>
      <c r="AA321" s="484">
        <v>44471</v>
      </c>
      <c r="AB321" s="486" t="s">
        <v>2650</v>
      </c>
      <c r="AC321" s="483" t="s">
        <v>3425</v>
      </c>
      <c r="AD321" s="486" t="s">
        <v>3506</v>
      </c>
      <c r="AE321" s="486" t="s">
        <v>3507</v>
      </c>
      <c r="AF321" s="473">
        <v>22950000</v>
      </c>
      <c r="AM321" s="306">
        <v>3978000</v>
      </c>
    </row>
    <row r="322" spans="1:50" ht="15" hidden="1" customHeight="1" x14ac:dyDescent="0.3">
      <c r="A322" s="466" t="s">
        <v>2286</v>
      </c>
      <c r="B322" s="467">
        <v>62832000</v>
      </c>
      <c r="C322" s="212" t="s">
        <v>2646</v>
      </c>
      <c r="D322" s="469">
        <v>317</v>
      </c>
      <c r="E322" s="469">
        <v>20212000012403</v>
      </c>
      <c r="F322" s="470">
        <v>44263</v>
      </c>
      <c r="G322" s="469" t="s">
        <v>2640</v>
      </c>
      <c r="H322" s="468" t="s">
        <v>2641</v>
      </c>
      <c r="I322" s="468" t="s">
        <v>391</v>
      </c>
      <c r="J322" s="471">
        <v>28050000</v>
      </c>
      <c r="K322" s="468" t="s">
        <v>396</v>
      </c>
      <c r="L322" s="468" t="s">
        <v>397</v>
      </c>
      <c r="M322" s="468" t="s">
        <v>44</v>
      </c>
      <c r="N322" s="468" t="s">
        <v>45</v>
      </c>
      <c r="O322" s="468" t="s">
        <v>63</v>
      </c>
      <c r="P322" s="212" t="s">
        <v>674</v>
      </c>
      <c r="Q322" s="468"/>
      <c r="R322" s="468">
        <v>336</v>
      </c>
      <c r="S322" s="528">
        <v>44263</v>
      </c>
      <c r="T322" s="529" t="s">
        <v>3508</v>
      </c>
      <c r="U322" s="471">
        <v>28050000</v>
      </c>
      <c r="V322" s="414"/>
      <c r="W322" s="379"/>
      <c r="X322" s="483" t="s">
        <v>3509</v>
      </c>
      <c r="Y322" s="484">
        <v>44285</v>
      </c>
      <c r="Z322" s="484">
        <v>44285</v>
      </c>
      <c r="AA322" s="484">
        <v>44438</v>
      </c>
      <c r="AB322" s="485" t="s">
        <v>2650</v>
      </c>
      <c r="AC322" s="483" t="s">
        <v>3510</v>
      </c>
      <c r="AD322" s="485" t="s">
        <v>3511</v>
      </c>
      <c r="AE322" s="486" t="s">
        <v>3512</v>
      </c>
      <c r="AF322" s="473">
        <v>28050000</v>
      </c>
      <c r="AI322" s="471"/>
      <c r="AJ322" s="471"/>
      <c r="AK322" s="471"/>
      <c r="AL322" s="471">
        <v>5797000</v>
      </c>
      <c r="AM322" s="306">
        <v>5610000</v>
      </c>
    </row>
    <row r="323" spans="1:50" ht="15" hidden="1" customHeight="1" x14ac:dyDescent="0.3">
      <c r="A323" s="476" t="s">
        <v>1898</v>
      </c>
      <c r="B323" s="477">
        <v>40290000</v>
      </c>
      <c r="C323" s="212" t="s">
        <v>2646</v>
      </c>
      <c r="D323" s="478">
        <v>318</v>
      </c>
      <c r="E323" s="478">
        <v>20212000012413</v>
      </c>
      <c r="F323" s="479">
        <v>44263</v>
      </c>
      <c r="G323" s="478" t="s">
        <v>2640</v>
      </c>
      <c r="H323" s="212" t="s">
        <v>2641</v>
      </c>
      <c r="I323" s="212" t="s">
        <v>391</v>
      </c>
      <c r="J323" s="475">
        <v>38836000</v>
      </c>
      <c r="K323" s="210" t="s">
        <v>2711</v>
      </c>
      <c r="L323" s="212" t="s">
        <v>2712</v>
      </c>
      <c r="M323" s="212" t="s">
        <v>44</v>
      </c>
      <c r="N323" s="212" t="s">
        <v>45</v>
      </c>
      <c r="O323" s="212" t="s">
        <v>63</v>
      </c>
      <c r="P323" s="212" t="s">
        <v>674</v>
      </c>
      <c r="R323" s="212">
        <v>337</v>
      </c>
      <c r="S323" s="490">
        <v>44263</v>
      </c>
      <c r="T323" s="486" t="s">
        <v>3513</v>
      </c>
      <c r="U323" s="475">
        <v>38836000</v>
      </c>
      <c r="V323" s="406"/>
      <c r="W323" s="362"/>
      <c r="X323" s="483" t="s">
        <v>3514</v>
      </c>
      <c r="Y323" s="484">
        <v>44299</v>
      </c>
      <c r="Z323" s="484">
        <v>44299</v>
      </c>
      <c r="AA323" s="484">
        <v>44561</v>
      </c>
      <c r="AB323" s="485" t="s">
        <v>2650</v>
      </c>
      <c r="AC323" s="483" t="s">
        <v>3515</v>
      </c>
      <c r="AD323" s="485" t="s">
        <v>3516</v>
      </c>
      <c r="AE323" s="486" t="s">
        <v>3517</v>
      </c>
      <c r="AF323" s="473">
        <v>34748000</v>
      </c>
      <c r="AL323" s="475">
        <v>2589066</v>
      </c>
      <c r="AM323" s="306">
        <v>4088000</v>
      </c>
    </row>
    <row r="324" spans="1:50" ht="15" hidden="1" customHeight="1" x14ac:dyDescent="0.3">
      <c r="A324" s="476" t="s">
        <v>1831</v>
      </c>
      <c r="B324" s="477">
        <v>46400000</v>
      </c>
      <c r="C324" s="212" t="s">
        <v>2646</v>
      </c>
      <c r="D324" s="478">
        <v>319</v>
      </c>
      <c r="E324" s="478">
        <v>20213000012263</v>
      </c>
      <c r="F324" s="479">
        <v>44263</v>
      </c>
      <c r="G324" s="478" t="s">
        <v>2640</v>
      </c>
      <c r="H324" s="212" t="s">
        <v>2641</v>
      </c>
      <c r="I324" s="212" t="s">
        <v>432</v>
      </c>
      <c r="J324" s="475">
        <v>46400000</v>
      </c>
      <c r="K324" s="212" t="s">
        <v>342</v>
      </c>
      <c r="L324" s="212" t="s">
        <v>351</v>
      </c>
      <c r="M324" s="212" t="s">
        <v>44</v>
      </c>
      <c r="N324" s="212" t="s">
        <v>45</v>
      </c>
      <c r="O324" s="212" t="s">
        <v>63</v>
      </c>
      <c r="P324" s="212" t="s">
        <v>674</v>
      </c>
      <c r="R324" s="212">
        <v>334</v>
      </c>
      <c r="S324" s="490">
        <v>44263</v>
      </c>
      <c r="T324" s="486" t="s">
        <v>3518</v>
      </c>
      <c r="U324" s="475">
        <f>46400000-6424856</f>
        <v>39975144</v>
      </c>
      <c r="V324" s="411">
        <v>6424856</v>
      </c>
      <c r="W324" s="397"/>
      <c r="X324" s="483" t="s">
        <v>3519</v>
      </c>
      <c r="Y324" s="484">
        <v>44285</v>
      </c>
      <c r="Z324" s="484">
        <v>44285</v>
      </c>
      <c r="AA324" s="484">
        <v>44530</v>
      </c>
      <c r="AB324" s="485" t="s">
        <v>2650</v>
      </c>
      <c r="AC324" s="483" t="s">
        <v>3520</v>
      </c>
      <c r="AD324" s="485" t="s">
        <v>3521</v>
      </c>
      <c r="AE324" s="486" t="s">
        <v>2799</v>
      </c>
      <c r="AF324" s="473">
        <v>39975144</v>
      </c>
      <c r="AL324" s="475">
        <v>4996893</v>
      </c>
      <c r="AM324" s="306">
        <v>4996893</v>
      </c>
    </row>
    <row r="325" spans="1:50" ht="16.5" hidden="1" customHeight="1" x14ac:dyDescent="0.3">
      <c r="C325" s="519" t="s">
        <v>3522</v>
      </c>
      <c r="D325" s="478">
        <v>320</v>
      </c>
      <c r="E325" s="478">
        <v>20212000012523</v>
      </c>
      <c r="F325" s="479">
        <v>44263</v>
      </c>
      <c r="G325" s="478" t="s">
        <v>2640</v>
      </c>
      <c r="H325" s="212" t="s">
        <v>2641</v>
      </c>
      <c r="I325" s="212" t="s">
        <v>391</v>
      </c>
      <c r="J325" s="475">
        <v>966711398</v>
      </c>
      <c r="K325" s="212" t="s">
        <v>426</v>
      </c>
      <c r="L325" s="212" t="s">
        <v>427</v>
      </c>
      <c r="M325" s="212" t="s">
        <v>44</v>
      </c>
      <c r="N325" s="212" t="s">
        <v>45</v>
      </c>
      <c r="O325" s="212" t="s">
        <v>63</v>
      </c>
      <c r="P325" s="212" t="s">
        <v>674</v>
      </c>
      <c r="R325" s="212">
        <v>338</v>
      </c>
      <c r="S325" s="490">
        <v>44263</v>
      </c>
      <c r="T325" s="486" t="s">
        <v>3523</v>
      </c>
      <c r="U325" s="475">
        <v>966711398</v>
      </c>
      <c r="V325" s="480"/>
      <c r="W325" s="520"/>
      <c r="X325" s="483" t="s">
        <v>3524</v>
      </c>
      <c r="Y325" s="484">
        <v>44295</v>
      </c>
      <c r="Z325" s="484">
        <v>44295</v>
      </c>
      <c r="AA325" s="484">
        <v>44423</v>
      </c>
      <c r="AB325" s="485" t="s">
        <v>3339</v>
      </c>
      <c r="AC325" s="483" t="s">
        <v>3435</v>
      </c>
      <c r="AD325" s="485" t="s">
        <v>3525</v>
      </c>
      <c r="AE325" s="486" t="s">
        <v>2693</v>
      </c>
      <c r="AF325" s="473">
        <v>966711398</v>
      </c>
      <c r="AM325" s="212"/>
    </row>
    <row r="326" spans="1:50" ht="15" hidden="1" customHeight="1" x14ac:dyDescent="0.3">
      <c r="A326" s="476" t="s">
        <v>1953</v>
      </c>
      <c r="B326" s="477">
        <v>69750000</v>
      </c>
      <c r="C326" s="212" t="s">
        <v>2646</v>
      </c>
      <c r="D326" s="478">
        <v>321</v>
      </c>
      <c r="E326" s="478">
        <v>20216000013623</v>
      </c>
      <c r="F326" s="310">
        <v>44265</v>
      </c>
      <c r="G326" s="478" t="s">
        <v>2647</v>
      </c>
      <c r="H326" s="212" t="s">
        <v>2648</v>
      </c>
      <c r="I326" s="212" t="s">
        <v>214</v>
      </c>
      <c r="J326" s="475">
        <v>69750000</v>
      </c>
      <c r="K326" s="212" t="s">
        <v>138</v>
      </c>
      <c r="L326" s="212" t="s">
        <v>139</v>
      </c>
      <c r="M326" s="212" t="s">
        <v>44</v>
      </c>
      <c r="N326" s="212" t="s">
        <v>45</v>
      </c>
      <c r="O326" s="212" t="s">
        <v>142</v>
      </c>
      <c r="P326" s="212" t="s">
        <v>43</v>
      </c>
      <c r="R326" s="212">
        <v>380</v>
      </c>
      <c r="S326" s="490">
        <v>44266</v>
      </c>
      <c r="T326" s="486" t="s">
        <v>3526</v>
      </c>
      <c r="U326" s="475">
        <v>69750000</v>
      </c>
      <c r="V326" s="406"/>
      <c r="W326" s="362"/>
      <c r="X326" s="483" t="s">
        <v>3340</v>
      </c>
      <c r="Y326" s="484">
        <v>44274</v>
      </c>
      <c r="Z326" s="484">
        <v>44274</v>
      </c>
      <c r="AA326" s="484">
        <v>44549</v>
      </c>
      <c r="AB326" s="485" t="s">
        <v>2650</v>
      </c>
      <c r="AC326" s="483" t="s">
        <v>3527</v>
      </c>
      <c r="AD326" s="485" t="s">
        <v>3528</v>
      </c>
      <c r="AE326" s="486" t="s">
        <v>3529</v>
      </c>
      <c r="AF326" s="473">
        <v>69750000</v>
      </c>
      <c r="AK326" s="475">
        <v>3100000</v>
      </c>
      <c r="AL326" s="475">
        <v>7750000</v>
      </c>
      <c r="AM326" s="306">
        <v>7750000</v>
      </c>
    </row>
    <row r="327" spans="1:50" ht="15.75" hidden="1" customHeight="1" x14ac:dyDescent="0.3">
      <c r="C327" s="519" t="s">
        <v>3530</v>
      </c>
      <c r="D327" s="478">
        <v>322</v>
      </c>
      <c r="E327" s="478">
        <v>20212000012573</v>
      </c>
      <c r="F327" s="479">
        <v>44263</v>
      </c>
      <c r="G327" s="478" t="s">
        <v>2640</v>
      </c>
      <c r="H327" s="212" t="s">
        <v>2641</v>
      </c>
      <c r="I327" s="212" t="s">
        <v>391</v>
      </c>
      <c r="J327" s="475">
        <v>1838152627</v>
      </c>
      <c r="K327" s="212" t="s">
        <v>426</v>
      </c>
      <c r="L327" s="212" t="s">
        <v>427</v>
      </c>
      <c r="M327" s="212" t="s">
        <v>44</v>
      </c>
      <c r="N327" s="212" t="s">
        <v>45</v>
      </c>
      <c r="O327" s="212" t="s">
        <v>63</v>
      </c>
      <c r="P327" s="212" t="s">
        <v>674</v>
      </c>
      <c r="R327" s="212">
        <v>340</v>
      </c>
      <c r="S327" s="490">
        <v>44263</v>
      </c>
      <c r="T327" s="486" t="s">
        <v>3531</v>
      </c>
      <c r="U327" s="475">
        <v>1838152627</v>
      </c>
      <c r="V327" s="480"/>
      <c r="W327" s="520"/>
      <c r="X327" s="483" t="s">
        <v>3532</v>
      </c>
      <c r="Y327" s="484">
        <v>44292</v>
      </c>
      <c r="Z327" s="484">
        <v>44292</v>
      </c>
      <c r="AA327" s="484">
        <v>44423</v>
      </c>
      <c r="AB327" s="485" t="s">
        <v>3339</v>
      </c>
      <c r="AC327" s="483" t="s">
        <v>3426</v>
      </c>
      <c r="AD327" s="485" t="s">
        <v>3533</v>
      </c>
      <c r="AE327" s="486" t="s">
        <v>3534</v>
      </c>
      <c r="AF327" s="473">
        <v>1838152627</v>
      </c>
      <c r="AM327" s="212"/>
    </row>
    <row r="328" spans="1:50" ht="15" hidden="1" customHeight="1" x14ac:dyDescent="0.3">
      <c r="A328" s="476" t="s">
        <v>2208</v>
      </c>
      <c r="B328" s="477">
        <v>28619969</v>
      </c>
      <c r="C328" s="212" t="s">
        <v>2646</v>
      </c>
      <c r="D328" s="478">
        <v>323</v>
      </c>
      <c r="E328" s="478">
        <v>20211300013743</v>
      </c>
      <c r="F328" s="310">
        <v>44265</v>
      </c>
      <c r="G328" s="478" t="s">
        <v>2647</v>
      </c>
      <c r="H328" s="212" t="s">
        <v>2648</v>
      </c>
      <c r="I328" s="212" t="s">
        <v>210</v>
      </c>
      <c r="J328" s="475">
        <v>16353468</v>
      </c>
      <c r="K328" s="212" t="s">
        <v>138</v>
      </c>
      <c r="L328" s="212" t="s">
        <v>139</v>
      </c>
      <c r="M328" s="212" t="s">
        <v>44</v>
      </c>
      <c r="N328" s="212" t="s">
        <v>45</v>
      </c>
      <c r="O328" s="212" t="s">
        <v>142</v>
      </c>
      <c r="P328" s="212" t="s">
        <v>43</v>
      </c>
      <c r="R328" s="212">
        <v>386</v>
      </c>
      <c r="S328" s="490">
        <v>44266</v>
      </c>
      <c r="T328" s="486" t="s">
        <v>3535</v>
      </c>
      <c r="U328" s="475">
        <v>16353468</v>
      </c>
      <c r="V328" s="406"/>
      <c r="W328" s="362"/>
      <c r="X328" s="483" t="s">
        <v>2733</v>
      </c>
      <c r="Y328" s="484">
        <v>44274</v>
      </c>
      <c r="Z328" s="484">
        <v>44274</v>
      </c>
      <c r="AA328" s="484">
        <v>44396</v>
      </c>
      <c r="AB328" s="485" t="s">
        <v>2650</v>
      </c>
      <c r="AC328" s="483" t="s">
        <v>3536</v>
      </c>
      <c r="AD328" s="485" t="s">
        <v>3537</v>
      </c>
      <c r="AE328" s="486" t="s">
        <v>3538</v>
      </c>
      <c r="AF328" s="473">
        <v>16353468</v>
      </c>
      <c r="AK328" s="475">
        <v>1090231</v>
      </c>
      <c r="AL328" s="475">
        <v>4088367</v>
      </c>
      <c r="AM328" s="306">
        <v>4088367</v>
      </c>
    </row>
    <row r="329" spans="1:50" ht="15.75" hidden="1" customHeight="1" x14ac:dyDescent="0.3">
      <c r="B329" s="501"/>
      <c r="C329" s="519" t="s">
        <v>3539</v>
      </c>
      <c r="D329" s="478">
        <v>324</v>
      </c>
      <c r="E329" s="478">
        <v>20212000012603</v>
      </c>
      <c r="F329" s="479">
        <v>44263</v>
      </c>
      <c r="G329" s="478" t="s">
        <v>2640</v>
      </c>
      <c r="H329" s="212" t="s">
        <v>2641</v>
      </c>
      <c r="I329" s="212" t="s">
        <v>391</v>
      </c>
      <c r="J329" s="475">
        <v>1549286460</v>
      </c>
      <c r="K329" s="212" t="s">
        <v>426</v>
      </c>
      <c r="L329" s="212" t="s">
        <v>427</v>
      </c>
      <c r="M329" s="212" t="s">
        <v>44</v>
      </c>
      <c r="N329" s="212" t="s">
        <v>45</v>
      </c>
      <c r="O329" s="212" t="s">
        <v>63</v>
      </c>
      <c r="P329" s="212" t="s">
        <v>674</v>
      </c>
      <c r="R329" s="212">
        <v>342</v>
      </c>
      <c r="S329" s="490">
        <v>44263</v>
      </c>
      <c r="T329" s="486" t="s">
        <v>3540</v>
      </c>
      <c r="U329" s="475">
        <v>1549286460</v>
      </c>
      <c r="V329" s="480"/>
      <c r="W329" s="520"/>
      <c r="X329" s="483" t="s">
        <v>3541</v>
      </c>
      <c r="Y329" s="484">
        <v>44286</v>
      </c>
      <c r="Z329" s="484">
        <v>44286</v>
      </c>
      <c r="AA329" s="484">
        <v>44423</v>
      </c>
      <c r="AB329" s="485" t="s">
        <v>3339</v>
      </c>
      <c r="AC329" s="483" t="s">
        <v>3542</v>
      </c>
      <c r="AD329" s="485" t="s">
        <v>3543</v>
      </c>
      <c r="AE329" s="486" t="s">
        <v>3544</v>
      </c>
      <c r="AF329" s="473">
        <v>1549286460</v>
      </c>
      <c r="AM329" s="212"/>
    </row>
    <row r="330" spans="1:50" ht="15" hidden="1" customHeight="1" x14ac:dyDescent="0.3">
      <c r="B330" s="501"/>
      <c r="C330" s="519" t="s">
        <v>3545</v>
      </c>
      <c r="D330" s="478">
        <v>325</v>
      </c>
      <c r="E330" s="478">
        <v>20212000012613</v>
      </c>
      <c r="F330" s="479">
        <v>44263</v>
      </c>
      <c r="G330" s="478" t="s">
        <v>2640</v>
      </c>
      <c r="H330" s="212" t="s">
        <v>2641</v>
      </c>
      <c r="I330" s="212" t="s">
        <v>391</v>
      </c>
      <c r="J330" s="475">
        <v>933489693</v>
      </c>
      <c r="K330" s="212" t="s">
        <v>426</v>
      </c>
      <c r="L330" s="212" t="s">
        <v>427</v>
      </c>
      <c r="M330" s="212" t="s">
        <v>44</v>
      </c>
      <c r="N330" s="212" t="s">
        <v>45</v>
      </c>
      <c r="O330" s="212" t="s">
        <v>63</v>
      </c>
      <c r="P330" s="212" t="s">
        <v>674</v>
      </c>
      <c r="R330" s="212">
        <v>343</v>
      </c>
      <c r="S330" s="490">
        <v>44263</v>
      </c>
      <c r="T330" s="486" t="s">
        <v>3546</v>
      </c>
      <c r="U330" s="475">
        <v>933489693</v>
      </c>
      <c r="V330" s="480"/>
      <c r="W330" s="520"/>
      <c r="X330" s="483" t="s">
        <v>1843</v>
      </c>
      <c r="Y330" s="484">
        <v>44286</v>
      </c>
      <c r="Z330" s="484">
        <v>44286</v>
      </c>
      <c r="AA330" s="484">
        <v>44423</v>
      </c>
      <c r="AB330" s="485" t="s">
        <v>2837</v>
      </c>
      <c r="AC330" s="483" t="s">
        <v>3547</v>
      </c>
      <c r="AD330" s="485" t="s">
        <v>3548</v>
      </c>
      <c r="AE330" s="486" t="s">
        <v>3549</v>
      </c>
      <c r="AF330" s="473">
        <v>933489693</v>
      </c>
      <c r="AM330" s="212"/>
    </row>
    <row r="331" spans="1:50" ht="15.75" hidden="1" customHeight="1" x14ac:dyDescent="0.3">
      <c r="A331" s="476" t="s">
        <v>2228</v>
      </c>
      <c r="B331" s="477">
        <v>281078765</v>
      </c>
      <c r="C331" s="515" t="s">
        <v>3550</v>
      </c>
      <c r="D331" s="478">
        <v>326</v>
      </c>
      <c r="E331" s="309">
        <v>20214000011953</v>
      </c>
      <c r="F331" s="479">
        <v>44263</v>
      </c>
      <c r="G331" s="478" t="s">
        <v>2680</v>
      </c>
      <c r="H331" s="212" t="s">
        <v>2681</v>
      </c>
      <c r="I331" s="212" t="s">
        <v>47</v>
      </c>
      <c r="J331" s="480">
        <v>281078765</v>
      </c>
      <c r="K331" s="212" t="s">
        <v>37</v>
      </c>
      <c r="L331" s="212" t="s">
        <v>81</v>
      </c>
      <c r="M331" s="212" t="s">
        <v>44</v>
      </c>
      <c r="N331" s="212" t="s">
        <v>45</v>
      </c>
      <c r="O331" s="212" t="s">
        <v>310</v>
      </c>
      <c r="P331" s="212" t="s">
        <v>87</v>
      </c>
      <c r="R331" s="212">
        <v>344</v>
      </c>
      <c r="S331" s="490">
        <v>44263</v>
      </c>
      <c r="T331" s="486" t="s">
        <v>3503</v>
      </c>
      <c r="U331" s="480">
        <v>281078765</v>
      </c>
      <c r="V331" s="406"/>
      <c r="W331" s="399"/>
      <c r="X331" s="483" t="s">
        <v>3551</v>
      </c>
      <c r="Y331" s="484">
        <v>44326</v>
      </c>
      <c r="Z331" s="484">
        <v>44326</v>
      </c>
      <c r="AA331" s="484">
        <v>44448</v>
      </c>
      <c r="AB331" s="486" t="s">
        <v>3552</v>
      </c>
      <c r="AC331" s="483" t="s">
        <v>3553</v>
      </c>
      <c r="AD331" s="486" t="s">
        <v>3554</v>
      </c>
      <c r="AE331" s="486" t="s">
        <v>3555</v>
      </c>
      <c r="AF331" s="473">
        <v>279541451</v>
      </c>
      <c r="AH331" s="480"/>
      <c r="AI331" s="480"/>
      <c r="AM331" s="212"/>
    </row>
    <row r="332" spans="1:50" ht="15" hidden="1" customHeight="1" x14ac:dyDescent="0.3">
      <c r="A332" s="466" t="s">
        <v>1975</v>
      </c>
      <c r="B332" s="467">
        <v>22713150</v>
      </c>
      <c r="C332" s="212" t="s">
        <v>2646</v>
      </c>
      <c r="D332" s="469">
        <v>327</v>
      </c>
      <c r="E332" s="469">
        <v>20217000012923</v>
      </c>
      <c r="F332" s="470">
        <v>44264</v>
      </c>
      <c r="G332" s="469" t="s">
        <v>2647</v>
      </c>
      <c r="H332" s="468" t="s">
        <v>2648</v>
      </c>
      <c r="I332" s="468" t="s">
        <v>164</v>
      </c>
      <c r="J332" s="471">
        <v>22713150</v>
      </c>
      <c r="K332" s="468" t="s">
        <v>138</v>
      </c>
      <c r="L332" s="468" t="s">
        <v>139</v>
      </c>
      <c r="M332" s="468" t="s">
        <v>44</v>
      </c>
      <c r="N332" s="468" t="s">
        <v>45</v>
      </c>
      <c r="O332" s="468" t="s">
        <v>142</v>
      </c>
      <c r="P332" s="468" t="s">
        <v>43</v>
      </c>
      <c r="Q332" s="468"/>
      <c r="R332" s="468">
        <v>345</v>
      </c>
      <c r="S332" s="528">
        <v>44264</v>
      </c>
      <c r="T332" s="529" t="s">
        <v>3556</v>
      </c>
      <c r="U332" s="471">
        <v>22713150</v>
      </c>
      <c r="V332" s="414"/>
      <c r="W332" s="379"/>
      <c r="X332" s="483" t="s">
        <v>3557</v>
      </c>
      <c r="Y332" s="484">
        <v>44293</v>
      </c>
      <c r="Z332" s="484">
        <v>44293</v>
      </c>
      <c r="AA332" s="484">
        <v>44476</v>
      </c>
      <c r="AB332" s="485" t="s">
        <v>2650</v>
      </c>
      <c r="AC332" s="483" t="s">
        <v>3340</v>
      </c>
      <c r="AD332" s="485" t="s">
        <v>3558</v>
      </c>
      <c r="AE332" s="486" t="s">
        <v>3559</v>
      </c>
      <c r="AF332" s="473">
        <v>13627890</v>
      </c>
      <c r="AI332" s="471"/>
      <c r="AJ332" s="471"/>
      <c r="AK332" s="471"/>
      <c r="AL332" s="471">
        <v>1741342</v>
      </c>
      <c r="AM332" s="306">
        <v>2271315</v>
      </c>
    </row>
    <row r="333" spans="1:50" ht="15" hidden="1" customHeight="1" x14ac:dyDescent="0.3">
      <c r="A333" s="476" t="s">
        <v>2010</v>
      </c>
      <c r="B333" s="477">
        <v>29981358</v>
      </c>
      <c r="C333" s="212" t="s">
        <v>2646</v>
      </c>
      <c r="D333" s="478">
        <v>328</v>
      </c>
      <c r="E333" s="478">
        <v>20217000012933</v>
      </c>
      <c r="F333" s="479">
        <v>44264</v>
      </c>
      <c r="G333" s="478" t="s">
        <v>2647</v>
      </c>
      <c r="H333" s="212" t="s">
        <v>2648</v>
      </c>
      <c r="I333" s="212" t="s">
        <v>164</v>
      </c>
      <c r="J333" s="475">
        <v>29981358</v>
      </c>
      <c r="K333" s="212" t="s">
        <v>138</v>
      </c>
      <c r="L333" s="212" t="s">
        <v>139</v>
      </c>
      <c r="M333" s="212" t="s">
        <v>44</v>
      </c>
      <c r="N333" s="212" t="s">
        <v>45</v>
      </c>
      <c r="O333" s="212" t="s">
        <v>142</v>
      </c>
      <c r="P333" s="212" t="s">
        <v>43</v>
      </c>
      <c r="R333" s="212">
        <v>346</v>
      </c>
      <c r="S333" s="490">
        <v>44264</v>
      </c>
      <c r="T333" s="486" t="s">
        <v>3560</v>
      </c>
      <c r="U333" s="475">
        <v>29981358</v>
      </c>
      <c r="V333" s="406"/>
      <c r="W333" s="362"/>
      <c r="X333" s="483" t="s">
        <v>3561</v>
      </c>
      <c r="Y333" s="484">
        <v>44299</v>
      </c>
      <c r="Z333" s="484">
        <v>44299</v>
      </c>
      <c r="AA333" s="484">
        <v>44482</v>
      </c>
      <c r="AB333" s="485" t="s">
        <v>2650</v>
      </c>
      <c r="AC333" s="483" t="s">
        <v>3562</v>
      </c>
      <c r="AD333" s="485" t="s">
        <v>3563</v>
      </c>
      <c r="AE333" s="486" t="s">
        <v>2801</v>
      </c>
      <c r="AF333" s="473">
        <v>16353468</v>
      </c>
      <c r="AL333" s="475">
        <v>1544494</v>
      </c>
      <c r="AM333" s="306">
        <v>2725578</v>
      </c>
    </row>
    <row r="334" spans="1:50" ht="15" hidden="1" customHeight="1" x14ac:dyDescent="0.3">
      <c r="A334" s="476" t="s">
        <v>2296</v>
      </c>
      <c r="B334" s="477">
        <v>32500000</v>
      </c>
      <c r="C334" s="212" t="s">
        <v>2646</v>
      </c>
      <c r="D334" s="478">
        <v>329</v>
      </c>
      <c r="E334" s="309">
        <v>20211100013443</v>
      </c>
      <c r="F334" s="310">
        <v>44265</v>
      </c>
      <c r="G334" s="309" t="s">
        <v>2647</v>
      </c>
      <c r="H334" s="210" t="s">
        <v>2648</v>
      </c>
      <c r="I334" s="210" t="s">
        <v>206</v>
      </c>
      <c r="J334" s="407">
        <v>32500000</v>
      </c>
      <c r="K334" s="210" t="s">
        <v>138</v>
      </c>
      <c r="L334" s="210" t="s">
        <v>139</v>
      </c>
      <c r="M334" s="210" t="s">
        <v>44</v>
      </c>
      <c r="N334" s="210" t="s">
        <v>45</v>
      </c>
      <c r="O334" s="210" t="s">
        <v>142</v>
      </c>
      <c r="P334" s="210" t="s">
        <v>43</v>
      </c>
      <c r="Q334" s="210"/>
      <c r="R334" s="210">
        <v>370</v>
      </c>
      <c r="S334" s="490">
        <v>44265</v>
      </c>
      <c r="T334" s="486" t="s">
        <v>3564</v>
      </c>
      <c r="U334" s="475">
        <v>32500000</v>
      </c>
      <c r="V334" s="415"/>
      <c r="W334" s="401"/>
      <c r="X334" s="483" t="s">
        <v>3565</v>
      </c>
      <c r="Y334" s="484">
        <v>44278</v>
      </c>
      <c r="Z334" s="484">
        <v>44278</v>
      </c>
      <c r="AA334" s="484">
        <v>44421</v>
      </c>
      <c r="AB334" s="485" t="s">
        <v>2650</v>
      </c>
      <c r="AC334" s="483" t="s">
        <v>3566</v>
      </c>
      <c r="AD334" s="485" t="s">
        <v>3567</v>
      </c>
      <c r="AE334" s="486" t="s">
        <v>3568</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3">
      <c r="A335" s="476" t="s">
        <v>1966</v>
      </c>
      <c r="B335" s="477">
        <v>53148771</v>
      </c>
      <c r="C335" s="212" t="s">
        <v>2646</v>
      </c>
      <c r="D335" s="478">
        <v>330</v>
      </c>
      <c r="E335" s="478">
        <v>20216000014143</v>
      </c>
      <c r="F335" s="310">
        <v>44265</v>
      </c>
      <c r="G335" s="478" t="s">
        <v>2647</v>
      </c>
      <c r="H335" s="212" t="s">
        <v>2648</v>
      </c>
      <c r="I335" s="212" t="s">
        <v>214</v>
      </c>
      <c r="J335" s="475">
        <v>53148771</v>
      </c>
      <c r="K335" s="212" t="s">
        <v>138</v>
      </c>
      <c r="L335" s="212" t="s">
        <v>139</v>
      </c>
      <c r="M335" s="212" t="s">
        <v>44</v>
      </c>
      <c r="N335" s="212" t="s">
        <v>45</v>
      </c>
      <c r="O335" s="212" t="s">
        <v>142</v>
      </c>
      <c r="P335" s="212" t="s">
        <v>43</v>
      </c>
      <c r="R335" s="212">
        <v>406</v>
      </c>
      <c r="S335" s="490">
        <v>44266</v>
      </c>
      <c r="T335" s="486" t="s">
        <v>3569</v>
      </c>
      <c r="U335" s="475">
        <v>53148771</v>
      </c>
      <c r="V335" s="406"/>
      <c r="W335" s="362"/>
      <c r="X335" s="483" t="s">
        <v>3372</v>
      </c>
      <c r="Y335" s="484">
        <v>44278</v>
      </c>
      <c r="Z335" s="484">
        <v>44278</v>
      </c>
      <c r="AA335" s="484">
        <v>44553</v>
      </c>
      <c r="AB335" s="485" t="s">
        <v>2650</v>
      </c>
      <c r="AC335" s="483" t="s">
        <v>3570</v>
      </c>
      <c r="AD335" s="485" t="s">
        <v>3571</v>
      </c>
      <c r="AE335" s="486" t="s">
        <v>3572</v>
      </c>
      <c r="AF335" s="473">
        <v>53148771</v>
      </c>
      <c r="AK335" s="475">
        <v>1181084</v>
      </c>
      <c r="AL335" s="475">
        <v>5905419</v>
      </c>
      <c r="AM335" s="306">
        <v>5905419</v>
      </c>
    </row>
    <row r="336" spans="1:50" ht="15" hidden="1" customHeight="1" x14ac:dyDescent="0.3">
      <c r="A336" s="476" t="s">
        <v>1992</v>
      </c>
      <c r="B336" s="477">
        <v>44574000</v>
      </c>
      <c r="C336" s="212" t="s">
        <v>2646</v>
      </c>
      <c r="D336" s="478">
        <v>331</v>
      </c>
      <c r="E336" s="478">
        <v>20212000014723</v>
      </c>
      <c r="F336" s="479">
        <v>44271</v>
      </c>
      <c r="G336" s="478" t="s">
        <v>2640</v>
      </c>
      <c r="H336" s="212" t="s">
        <v>2641</v>
      </c>
      <c r="I336" s="212" t="s">
        <v>391</v>
      </c>
      <c r="J336" s="475">
        <v>42228000</v>
      </c>
      <c r="K336" s="210" t="s">
        <v>2711</v>
      </c>
      <c r="L336" s="212" t="s">
        <v>2712</v>
      </c>
      <c r="M336" s="212" t="s">
        <v>44</v>
      </c>
      <c r="N336" s="212" t="s">
        <v>45</v>
      </c>
      <c r="O336" s="212" t="s">
        <v>63</v>
      </c>
      <c r="P336" s="212" t="s">
        <v>674</v>
      </c>
      <c r="R336" s="486">
        <v>438</v>
      </c>
      <c r="S336" s="490">
        <v>44272</v>
      </c>
      <c r="T336" s="486" t="s">
        <v>3573</v>
      </c>
      <c r="U336" s="475">
        <v>42228000</v>
      </c>
      <c r="V336" s="406"/>
      <c r="W336" s="362"/>
      <c r="X336" s="483" t="s">
        <v>3574</v>
      </c>
      <c r="Y336" s="484">
        <v>44278</v>
      </c>
      <c r="Z336" s="484">
        <v>44278</v>
      </c>
      <c r="AA336" s="484">
        <v>44553</v>
      </c>
      <c r="AB336" s="485" t="s">
        <v>2650</v>
      </c>
      <c r="AC336" s="483" t="s">
        <v>3575</v>
      </c>
      <c r="AD336" s="485" t="s">
        <v>3576</v>
      </c>
      <c r="AE336" s="486" t="s">
        <v>3577</v>
      </c>
      <c r="AF336" s="473">
        <v>42228000</v>
      </c>
      <c r="AL336" s="475">
        <v>5786800</v>
      </c>
      <c r="AM336" s="306">
        <v>4692000</v>
      </c>
    </row>
    <row r="337" spans="1:39" hidden="1" x14ac:dyDescent="0.3">
      <c r="A337" s="476" t="s">
        <v>2163</v>
      </c>
      <c r="B337" s="477">
        <v>36000000</v>
      </c>
      <c r="C337" s="212" t="s">
        <v>2646</v>
      </c>
      <c r="D337" s="478">
        <v>332</v>
      </c>
      <c r="E337" s="478">
        <v>20215000012663</v>
      </c>
      <c r="F337" s="479">
        <v>44264</v>
      </c>
      <c r="G337" s="478" t="s">
        <v>2640</v>
      </c>
      <c r="H337" s="212" t="s">
        <v>2641</v>
      </c>
      <c r="I337" s="212" t="s">
        <v>228</v>
      </c>
      <c r="J337" s="475">
        <v>36000000</v>
      </c>
      <c r="K337" s="212" t="s">
        <v>223</v>
      </c>
      <c r="L337" s="212" t="s">
        <v>2758</v>
      </c>
      <c r="M337" s="212" t="s">
        <v>44</v>
      </c>
      <c r="N337" s="212" t="s">
        <v>45</v>
      </c>
      <c r="O337" s="212" t="s">
        <v>63</v>
      </c>
      <c r="P337" s="212" t="s">
        <v>674</v>
      </c>
      <c r="R337" s="212">
        <v>351</v>
      </c>
      <c r="S337" s="490">
        <v>44264</v>
      </c>
      <c r="T337" s="486" t="s">
        <v>3578</v>
      </c>
      <c r="U337" s="475">
        <f>36000000-9000000</f>
        <v>27000000</v>
      </c>
      <c r="V337" s="406">
        <v>9000000</v>
      </c>
      <c r="W337" s="362"/>
      <c r="X337" s="308" t="s">
        <v>3579</v>
      </c>
      <c r="Y337" s="472">
        <v>44286</v>
      </c>
      <c r="Z337" s="472">
        <v>44286</v>
      </c>
      <c r="AA337" s="472">
        <v>44561</v>
      </c>
      <c r="AB337" s="2" t="s">
        <v>2650</v>
      </c>
      <c r="AC337" s="211" t="s">
        <v>3580</v>
      </c>
      <c r="AD337" s="2" t="s">
        <v>3581</v>
      </c>
      <c r="AE337" s="212" t="s">
        <v>3582</v>
      </c>
      <c r="AF337" s="473">
        <v>27000000</v>
      </c>
      <c r="AL337" s="475">
        <v>3000000</v>
      </c>
      <c r="AM337" s="306">
        <v>3000000</v>
      </c>
    </row>
    <row r="338" spans="1:39" hidden="1" x14ac:dyDescent="0.3">
      <c r="A338" s="476" t="s">
        <v>2428</v>
      </c>
      <c r="B338" s="477">
        <v>42500000</v>
      </c>
      <c r="C338" s="212" t="s">
        <v>2646</v>
      </c>
      <c r="D338" s="478">
        <v>333</v>
      </c>
      <c r="E338" s="478">
        <v>20215000012783</v>
      </c>
      <c r="F338" s="479">
        <v>44264</v>
      </c>
      <c r="G338" s="478" t="s">
        <v>2640</v>
      </c>
      <c r="H338" s="212" t="s">
        <v>2641</v>
      </c>
      <c r="I338" s="212" t="s">
        <v>228</v>
      </c>
      <c r="J338" s="475">
        <v>42500000</v>
      </c>
      <c r="K338" s="212" t="s">
        <v>223</v>
      </c>
      <c r="L338" s="212" t="s">
        <v>236</v>
      </c>
      <c r="M338" s="212" t="s">
        <v>44</v>
      </c>
      <c r="N338" s="212" t="s">
        <v>45</v>
      </c>
      <c r="O338" s="212" t="s">
        <v>63</v>
      </c>
      <c r="P338" s="212" t="s">
        <v>674</v>
      </c>
      <c r="R338" s="212">
        <v>360</v>
      </c>
      <c r="S338" s="490">
        <v>44264</v>
      </c>
      <c r="T338" s="486" t="s">
        <v>3583</v>
      </c>
      <c r="U338" s="475">
        <f>42500000-850000</f>
        <v>41650000</v>
      </c>
      <c r="V338" s="406">
        <v>850000</v>
      </c>
      <c r="W338" s="362"/>
      <c r="X338" s="483" t="s">
        <v>3584</v>
      </c>
      <c r="Y338" s="484">
        <v>44298</v>
      </c>
      <c r="Z338" s="484">
        <v>44298</v>
      </c>
      <c r="AA338" s="484">
        <v>44561</v>
      </c>
      <c r="AB338" s="485" t="s">
        <v>2650</v>
      </c>
      <c r="AC338" s="483" t="s">
        <v>3585</v>
      </c>
      <c r="AD338" s="485" t="s">
        <v>3586</v>
      </c>
      <c r="AE338" s="486" t="s">
        <v>3587</v>
      </c>
      <c r="AF338" s="473">
        <v>41650000</v>
      </c>
      <c r="AL338" s="475">
        <v>3103333</v>
      </c>
      <c r="AM338" s="306">
        <v>4900000</v>
      </c>
    </row>
    <row r="339" spans="1:39" hidden="1" x14ac:dyDescent="0.3">
      <c r="A339" s="476" t="s">
        <v>2429</v>
      </c>
      <c r="B339" s="477">
        <v>42500000</v>
      </c>
      <c r="C339" s="212" t="s">
        <v>2646</v>
      </c>
      <c r="D339" s="478">
        <v>334</v>
      </c>
      <c r="E339" s="478">
        <v>20215000012793</v>
      </c>
      <c r="F339" s="479">
        <v>44264</v>
      </c>
      <c r="G339" s="478" t="s">
        <v>2640</v>
      </c>
      <c r="H339" s="212" t="s">
        <v>2641</v>
      </c>
      <c r="I339" s="212" t="s">
        <v>228</v>
      </c>
      <c r="J339" s="475">
        <v>42500000</v>
      </c>
      <c r="K339" s="212" t="s">
        <v>223</v>
      </c>
      <c r="L339" s="212" t="s">
        <v>236</v>
      </c>
      <c r="M339" s="212" t="s">
        <v>44</v>
      </c>
      <c r="N339" s="212" t="s">
        <v>45</v>
      </c>
      <c r="O339" s="212" t="s">
        <v>63</v>
      </c>
      <c r="P339" s="212" t="s">
        <v>674</v>
      </c>
      <c r="R339" s="212">
        <v>361</v>
      </c>
      <c r="S339" s="490">
        <v>44264</v>
      </c>
      <c r="T339" s="486" t="s">
        <v>3588</v>
      </c>
      <c r="U339" s="475">
        <f>42500000-100000</f>
        <v>42400000</v>
      </c>
      <c r="V339" s="406">
        <v>100000</v>
      </c>
      <c r="W339" s="362"/>
      <c r="X339" s="483" t="s">
        <v>3589</v>
      </c>
      <c r="Y339" s="484">
        <v>44306</v>
      </c>
      <c r="Z339" s="484">
        <v>44306</v>
      </c>
      <c r="AA339" s="484">
        <v>44550</v>
      </c>
      <c r="AB339" s="485" t="s">
        <v>2650</v>
      </c>
      <c r="AC339" s="483" t="s">
        <v>3590</v>
      </c>
      <c r="AD339" s="485" t="s">
        <v>3591</v>
      </c>
      <c r="AE339" s="486" t="s">
        <v>3592</v>
      </c>
      <c r="AF339" s="473">
        <v>42400000</v>
      </c>
      <c r="AL339" s="475">
        <v>1943333</v>
      </c>
      <c r="AM339" s="306">
        <v>5300000</v>
      </c>
    </row>
    <row r="340" spans="1:39" hidden="1" x14ac:dyDescent="0.3">
      <c r="A340" s="476" t="s">
        <v>1917</v>
      </c>
      <c r="B340" s="477">
        <v>42500000</v>
      </c>
      <c r="C340" s="212" t="s">
        <v>2646</v>
      </c>
      <c r="D340" s="478">
        <v>335</v>
      </c>
      <c r="E340" s="478">
        <v>20215000012803</v>
      </c>
      <c r="F340" s="479">
        <v>44264</v>
      </c>
      <c r="G340" s="478" t="s">
        <v>2640</v>
      </c>
      <c r="H340" s="212" t="s">
        <v>2641</v>
      </c>
      <c r="I340" s="212" t="s">
        <v>228</v>
      </c>
      <c r="J340" s="475">
        <v>42500000</v>
      </c>
      <c r="K340" s="212" t="s">
        <v>223</v>
      </c>
      <c r="L340" s="212" t="s">
        <v>236</v>
      </c>
      <c r="M340" s="212" t="s">
        <v>44</v>
      </c>
      <c r="N340" s="212" t="s">
        <v>45</v>
      </c>
      <c r="O340" s="212" t="s">
        <v>63</v>
      </c>
      <c r="P340" s="212" t="s">
        <v>674</v>
      </c>
      <c r="R340" s="212">
        <v>362</v>
      </c>
      <c r="S340" s="490">
        <v>44264</v>
      </c>
      <c r="T340" s="486" t="s">
        <v>3593</v>
      </c>
      <c r="U340" s="475">
        <f>42500000-100000</f>
        <v>42400000</v>
      </c>
      <c r="V340" s="406">
        <v>100000</v>
      </c>
      <c r="W340" s="362"/>
      <c r="X340" s="483" t="s">
        <v>3594</v>
      </c>
      <c r="Y340" s="484">
        <v>44299</v>
      </c>
      <c r="Z340" s="484">
        <v>44299</v>
      </c>
      <c r="AA340" s="484">
        <v>44543</v>
      </c>
      <c r="AB340" s="485" t="s">
        <v>2650</v>
      </c>
      <c r="AC340" s="483" t="s">
        <v>3595</v>
      </c>
      <c r="AD340" s="485" t="s">
        <v>3596</v>
      </c>
      <c r="AE340" s="486" t="s">
        <v>3597</v>
      </c>
      <c r="AF340" s="473">
        <v>42400000</v>
      </c>
      <c r="AL340" s="475">
        <v>3180000</v>
      </c>
      <c r="AM340" s="306">
        <v>5300000</v>
      </c>
    </row>
    <row r="341" spans="1:39" hidden="1" x14ac:dyDescent="0.3">
      <c r="A341" s="476" t="s">
        <v>2430</v>
      </c>
      <c r="B341" s="477">
        <v>28800000</v>
      </c>
      <c r="C341" s="212" t="s">
        <v>2646</v>
      </c>
      <c r="D341" s="478">
        <v>336</v>
      </c>
      <c r="E341" s="478">
        <v>20215000012853</v>
      </c>
      <c r="F341" s="479">
        <v>44264</v>
      </c>
      <c r="G341" s="478" t="s">
        <v>2640</v>
      </c>
      <c r="H341" s="212" t="s">
        <v>2641</v>
      </c>
      <c r="I341" s="212" t="s">
        <v>228</v>
      </c>
      <c r="J341" s="475">
        <v>28800000</v>
      </c>
      <c r="K341" s="212" t="s">
        <v>223</v>
      </c>
      <c r="L341" s="212" t="s">
        <v>283</v>
      </c>
      <c r="M341" s="212" t="s">
        <v>44</v>
      </c>
      <c r="N341" s="212" t="s">
        <v>45</v>
      </c>
      <c r="O341" s="212" t="s">
        <v>63</v>
      </c>
      <c r="P341" s="212" t="s">
        <v>674</v>
      </c>
      <c r="R341" s="212">
        <v>364</v>
      </c>
      <c r="S341" s="490">
        <v>44264</v>
      </c>
      <c r="T341" s="486" t="s">
        <v>3598</v>
      </c>
      <c r="U341" s="475">
        <v>28800000</v>
      </c>
      <c r="V341" s="406"/>
      <c r="W341" s="362"/>
      <c r="X341" s="483" t="s">
        <v>3599</v>
      </c>
      <c r="Y341" s="484">
        <v>44313</v>
      </c>
      <c r="Z341" s="484">
        <v>44313</v>
      </c>
      <c r="AA341" s="484">
        <v>44561</v>
      </c>
      <c r="AB341" s="485" t="s">
        <v>2650</v>
      </c>
      <c r="AC341" s="483" t="s">
        <v>3541</v>
      </c>
      <c r="AD341" s="485" t="s">
        <v>3600</v>
      </c>
      <c r="AE341" s="486" t="s">
        <v>3601</v>
      </c>
      <c r="AF341" s="473">
        <v>28800000</v>
      </c>
      <c r="AM341" s="212"/>
    </row>
    <row r="342" spans="1:39" hidden="1" x14ac:dyDescent="0.3">
      <c r="A342" s="476" t="s">
        <v>2432</v>
      </c>
      <c r="B342" s="477">
        <v>42400000</v>
      </c>
      <c r="C342" s="212" t="s">
        <v>2646</v>
      </c>
      <c r="D342" s="478">
        <v>337</v>
      </c>
      <c r="E342" s="478">
        <v>20215000012863</v>
      </c>
      <c r="F342" s="479">
        <v>44264</v>
      </c>
      <c r="G342" s="478" t="s">
        <v>2640</v>
      </c>
      <c r="H342" s="212" t="s">
        <v>2641</v>
      </c>
      <c r="I342" s="212" t="s">
        <v>228</v>
      </c>
      <c r="J342" s="475">
        <v>42400000</v>
      </c>
      <c r="K342" s="212" t="s">
        <v>223</v>
      </c>
      <c r="L342" s="212" t="s">
        <v>283</v>
      </c>
      <c r="M342" s="212" t="s">
        <v>44</v>
      </c>
      <c r="N342" s="212" t="s">
        <v>45</v>
      </c>
      <c r="O342" s="212" t="s">
        <v>63</v>
      </c>
      <c r="P342" s="212" t="s">
        <v>674</v>
      </c>
      <c r="R342" s="212">
        <v>365</v>
      </c>
      <c r="S342" s="490">
        <v>44264</v>
      </c>
      <c r="T342" s="486" t="s">
        <v>3602</v>
      </c>
      <c r="U342" s="475">
        <v>42400000</v>
      </c>
      <c r="V342" s="406"/>
      <c r="W342" s="362"/>
      <c r="X342" s="483" t="s">
        <v>3603</v>
      </c>
      <c r="Y342" s="484">
        <v>44306</v>
      </c>
      <c r="Z342" s="484">
        <v>44306</v>
      </c>
      <c r="AA342" s="484">
        <v>44549</v>
      </c>
      <c r="AB342" s="485" t="s">
        <v>2650</v>
      </c>
      <c r="AC342" s="483" t="s">
        <v>3604</v>
      </c>
      <c r="AD342" s="485" t="s">
        <v>3605</v>
      </c>
      <c r="AE342" s="486" t="s">
        <v>3606</v>
      </c>
      <c r="AF342" s="473">
        <v>42400000</v>
      </c>
      <c r="AL342" s="475">
        <v>1943333</v>
      </c>
      <c r="AM342" s="306">
        <v>5300000</v>
      </c>
    </row>
    <row r="343" spans="1:39" hidden="1" x14ac:dyDescent="0.3">
      <c r="A343" s="476" t="s">
        <v>2427</v>
      </c>
      <c r="B343" s="477">
        <v>50150000</v>
      </c>
      <c r="C343" s="212" t="s">
        <v>2646</v>
      </c>
      <c r="D343" s="478">
        <v>338</v>
      </c>
      <c r="E343" s="309">
        <v>20215000012683</v>
      </c>
      <c r="F343" s="479">
        <v>44264</v>
      </c>
      <c r="G343" s="309" t="s">
        <v>2640</v>
      </c>
      <c r="H343" s="210" t="s">
        <v>2641</v>
      </c>
      <c r="I343" s="210" t="s">
        <v>228</v>
      </c>
      <c r="J343" s="407">
        <v>50150000</v>
      </c>
      <c r="K343" s="212" t="s">
        <v>288</v>
      </c>
      <c r="L343" s="212" t="s">
        <v>2736</v>
      </c>
      <c r="M343" s="212" t="s">
        <v>44</v>
      </c>
      <c r="N343" s="212" t="s">
        <v>45</v>
      </c>
      <c r="O343" s="212" t="s">
        <v>63</v>
      </c>
      <c r="P343" s="212" t="s">
        <v>674</v>
      </c>
      <c r="R343" s="212">
        <v>352</v>
      </c>
      <c r="S343" s="490">
        <v>44264</v>
      </c>
      <c r="T343" s="486" t="s">
        <v>3607</v>
      </c>
      <c r="U343" s="475">
        <v>50150000</v>
      </c>
      <c r="V343" s="406"/>
      <c r="W343" s="362"/>
      <c r="X343" s="211" t="s">
        <v>3608</v>
      </c>
      <c r="Y343" s="472">
        <v>44300</v>
      </c>
      <c r="Z343" s="472">
        <v>44300</v>
      </c>
      <c r="AA343" s="472">
        <v>44561</v>
      </c>
      <c r="AB343" s="2" t="s">
        <v>2650</v>
      </c>
      <c r="AC343" s="211" t="s">
        <v>3609</v>
      </c>
      <c r="AD343" s="2" t="s">
        <v>3610</v>
      </c>
      <c r="AE343" s="212" t="s">
        <v>3611</v>
      </c>
      <c r="AF343" s="473">
        <v>50150000</v>
      </c>
      <c r="AL343" s="475">
        <v>3540000</v>
      </c>
      <c r="AM343" s="306">
        <v>5900000</v>
      </c>
    </row>
    <row r="344" spans="1:39" hidden="1" x14ac:dyDescent="0.3">
      <c r="A344" s="476" t="s">
        <v>2167</v>
      </c>
      <c r="B344" s="477">
        <v>50150000</v>
      </c>
      <c r="C344" s="212" t="s">
        <v>2646</v>
      </c>
      <c r="D344" s="478">
        <v>339</v>
      </c>
      <c r="E344" s="478">
        <v>20215000012693</v>
      </c>
      <c r="F344" s="479">
        <v>44264</v>
      </c>
      <c r="G344" s="309" t="s">
        <v>2640</v>
      </c>
      <c r="H344" s="210" t="s">
        <v>2641</v>
      </c>
      <c r="I344" s="210" t="s">
        <v>228</v>
      </c>
      <c r="J344" s="407">
        <v>50150000</v>
      </c>
      <c r="K344" s="212" t="s">
        <v>288</v>
      </c>
      <c r="L344" s="212" t="s">
        <v>2736</v>
      </c>
      <c r="M344" s="212" t="s">
        <v>44</v>
      </c>
      <c r="N344" s="212" t="s">
        <v>45</v>
      </c>
      <c r="O344" s="212" t="s">
        <v>63</v>
      </c>
      <c r="P344" s="212" t="s">
        <v>674</v>
      </c>
      <c r="R344" s="212">
        <v>353</v>
      </c>
      <c r="S344" s="490">
        <v>44264</v>
      </c>
      <c r="T344" s="486" t="s">
        <v>3612</v>
      </c>
      <c r="U344" s="475">
        <v>50150000</v>
      </c>
      <c r="V344" s="406"/>
      <c r="W344" s="362"/>
      <c r="X344" s="483" t="s">
        <v>3613</v>
      </c>
      <c r="Y344" s="484">
        <v>44298</v>
      </c>
      <c r="Z344" s="484">
        <v>44298</v>
      </c>
      <c r="AA344" s="484">
        <v>44561</v>
      </c>
      <c r="AB344" s="485" t="s">
        <v>2650</v>
      </c>
      <c r="AC344" s="483" t="s">
        <v>3614</v>
      </c>
      <c r="AD344" s="485" t="s">
        <v>3615</v>
      </c>
      <c r="AE344" s="486" t="s">
        <v>3616</v>
      </c>
      <c r="AF344" s="473">
        <v>50150000</v>
      </c>
      <c r="AL344" s="475">
        <v>3736667</v>
      </c>
      <c r="AM344" s="306">
        <v>5900000</v>
      </c>
    </row>
    <row r="345" spans="1:39" hidden="1" x14ac:dyDescent="0.3">
      <c r="A345" s="476" t="s">
        <v>2031</v>
      </c>
      <c r="B345" s="477">
        <v>50150000</v>
      </c>
      <c r="C345" s="212" t="s">
        <v>2646</v>
      </c>
      <c r="D345" s="478">
        <v>340</v>
      </c>
      <c r="E345" s="478">
        <v>20215000012703</v>
      </c>
      <c r="F345" s="479">
        <v>44264</v>
      </c>
      <c r="G345" s="309" t="s">
        <v>2640</v>
      </c>
      <c r="H345" s="210" t="s">
        <v>2641</v>
      </c>
      <c r="I345" s="210" t="s">
        <v>228</v>
      </c>
      <c r="J345" s="407">
        <v>50150000</v>
      </c>
      <c r="K345" s="212" t="s">
        <v>288</v>
      </c>
      <c r="L345" s="212" t="s">
        <v>2736</v>
      </c>
      <c r="M345" s="212" t="s">
        <v>44</v>
      </c>
      <c r="N345" s="212" t="s">
        <v>45</v>
      </c>
      <c r="O345" s="212" t="s">
        <v>63</v>
      </c>
      <c r="P345" s="212" t="s">
        <v>674</v>
      </c>
      <c r="R345" s="212">
        <v>354</v>
      </c>
      <c r="S345" s="490">
        <v>44264</v>
      </c>
      <c r="T345" s="486" t="s">
        <v>3617</v>
      </c>
      <c r="U345" s="475">
        <f>50150000-50150000</f>
        <v>0</v>
      </c>
      <c r="V345" s="406">
        <v>50150000</v>
      </c>
      <c r="W345" s="678" t="s">
        <v>1509</v>
      </c>
      <c r="AM345" s="212"/>
    </row>
    <row r="346" spans="1:39" hidden="1" x14ac:dyDescent="0.3">
      <c r="A346" s="476" t="s">
        <v>1827</v>
      </c>
      <c r="B346" s="477">
        <v>50150000</v>
      </c>
      <c r="C346" s="212" t="s">
        <v>2646</v>
      </c>
      <c r="D346" s="478">
        <v>341</v>
      </c>
      <c r="E346" s="478">
        <v>20215000012713</v>
      </c>
      <c r="F346" s="479">
        <v>44264</v>
      </c>
      <c r="G346" s="309" t="s">
        <v>2640</v>
      </c>
      <c r="H346" s="210" t="s">
        <v>2641</v>
      </c>
      <c r="I346" s="210" t="s">
        <v>228</v>
      </c>
      <c r="J346" s="407">
        <v>50150000</v>
      </c>
      <c r="K346" s="212" t="s">
        <v>288</v>
      </c>
      <c r="L346" s="212" t="s">
        <v>2736</v>
      </c>
      <c r="M346" s="212" t="s">
        <v>44</v>
      </c>
      <c r="N346" s="212" t="s">
        <v>45</v>
      </c>
      <c r="O346" s="212" t="s">
        <v>63</v>
      </c>
      <c r="P346" s="212" t="s">
        <v>674</v>
      </c>
      <c r="R346" s="212">
        <v>355</v>
      </c>
      <c r="S346" s="490">
        <v>44264</v>
      </c>
      <c r="T346" s="486" t="s">
        <v>3618</v>
      </c>
      <c r="U346" s="475">
        <v>50150000</v>
      </c>
      <c r="V346" s="406"/>
      <c r="W346" s="362"/>
      <c r="X346" s="483" t="s">
        <v>3619</v>
      </c>
      <c r="Y346" s="484">
        <v>44298</v>
      </c>
      <c r="Z346" s="484">
        <v>44298</v>
      </c>
      <c r="AA346" s="484">
        <v>44561</v>
      </c>
      <c r="AB346" s="485" t="s">
        <v>2650</v>
      </c>
      <c r="AC346" s="483" t="s">
        <v>3620</v>
      </c>
      <c r="AD346" s="485" t="s">
        <v>3621</v>
      </c>
      <c r="AE346" s="486" t="s">
        <v>3622</v>
      </c>
      <c r="AF346" s="473">
        <v>50150000</v>
      </c>
      <c r="AL346" s="475">
        <v>3736667</v>
      </c>
      <c r="AM346" s="306">
        <v>5900000</v>
      </c>
    </row>
    <row r="347" spans="1:39" hidden="1" x14ac:dyDescent="0.3">
      <c r="A347" s="476" t="s">
        <v>2437</v>
      </c>
      <c r="B347" s="477">
        <v>44000000</v>
      </c>
      <c r="C347" s="212" t="s">
        <v>2646</v>
      </c>
      <c r="D347" s="478">
        <v>342</v>
      </c>
      <c r="E347" s="478">
        <v>20215000012723</v>
      </c>
      <c r="F347" s="479">
        <v>44264</v>
      </c>
      <c r="G347" s="309" t="s">
        <v>2640</v>
      </c>
      <c r="H347" s="210" t="s">
        <v>2641</v>
      </c>
      <c r="I347" s="210" t="s">
        <v>228</v>
      </c>
      <c r="J347" s="407">
        <v>44000000</v>
      </c>
      <c r="K347" s="212" t="s">
        <v>288</v>
      </c>
      <c r="L347" s="212" t="s">
        <v>2736</v>
      </c>
      <c r="M347" s="212" t="s">
        <v>44</v>
      </c>
      <c r="N347" s="212" t="s">
        <v>45</v>
      </c>
      <c r="O347" s="212" t="s">
        <v>63</v>
      </c>
      <c r="P347" s="212" t="s">
        <v>674</v>
      </c>
      <c r="R347" s="212">
        <v>356</v>
      </c>
      <c r="S347" s="490">
        <v>44264</v>
      </c>
      <c r="T347" s="486" t="s">
        <v>3623</v>
      </c>
      <c r="U347" s="475">
        <f>44000000-12000000</f>
        <v>32000000</v>
      </c>
      <c r="V347" s="406">
        <v>12000000</v>
      </c>
      <c r="W347" s="362"/>
      <c r="X347" s="483" t="s">
        <v>3624</v>
      </c>
      <c r="Y347" s="484">
        <v>44299</v>
      </c>
      <c r="Z347" s="484">
        <v>44299</v>
      </c>
      <c r="AA347" s="484">
        <v>44543</v>
      </c>
      <c r="AB347" s="485" t="s">
        <v>2650</v>
      </c>
      <c r="AC347" s="483" t="s">
        <v>3625</v>
      </c>
      <c r="AD347" s="485" t="s">
        <v>3626</v>
      </c>
      <c r="AE347" s="486" t="s">
        <v>3627</v>
      </c>
      <c r="AF347" s="473">
        <v>32000000</v>
      </c>
      <c r="AL347" s="475">
        <v>2266667</v>
      </c>
      <c r="AM347" s="306">
        <v>4000000</v>
      </c>
    </row>
    <row r="348" spans="1:39" hidden="1" x14ac:dyDescent="0.3">
      <c r="A348" s="476" t="s">
        <v>2032</v>
      </c>
      <c r="B348" s="477">
        <v>34100000</v>
      </c>
      <c r="C348" s="212" t="s">
        <v>2646</v>
      </c>
      <c r="D348" s="478">
        <v>343</v>
      </c>
      <c r="E348" s="478">
        <v>20215000012753</v>
      </c>
      <c r="F348" s="479">
        <v>44264</v>
      </c>
      <c r="G348" s="309" t="s">
        <v>2640</v>
      </c>
      <c r="H348" s="210" t="s">
        <v>2641</v>
      </c>
      <c r="I348" s="210" t="s">
        <v>228</v>
      </c>
      <c r="J348" s="407">
        <v>34100000</v>
      </c>
      <c r="K348" s="212" t="s">
        <v>288</v>
      </c>
      <c r="L348" s="212" t="s">
        <v>2736</v>
      </c>
      <c r="M348" s="212" t="s">
        <v>44</v>
      </c>
      <c r="N348" s="212" t="s">
        <v>45</v>
      </c>
      <c r="O348" s="212" t="s">
        <v>63</v>
      </c>
      <c r="P348" s="212" t="s">
        <v>674</v>
      </c>
      <c r="R348" s="212">
        <v>357</v>
      </c>
      <c r="S348" s="490">
        <v>44264</v>
      </c>
      <c r="T348" s="486" t="s">
        <v>3628</v>
      </c>
      <c r="U348" s="475">
        <f>34100000-11150000</f>
        <v>22950000</v>
      </c>
      <c r="V348" s="406">
        <v>11150000</v>
      </c>
      <c r="W348" s="362"/>
      <c r="X348" s="483" t="s">
        <v>3629</v>
      </c>
      <c r="Y348" s="484">
        <v>44298</v>
      </c>
      <c r="Z348" s="484">
        <v>44298</v>
      </c>
      <c r="AA348" s="484">
        <v>44561</v>
      </c>
      <c r="AB348" s="485" t="s">
        <v>2650</v>
      </c>
      <c r="AC348" s="483" t="s">
        <v>3630</v>
      </c>
      <c r="AD348" s="485" t="s">
        <v>3631</v>
      </c>
      <c r="AE348" s="486" t="s">
        <v>3632</v>
      </c>
      <c r="AF348" s="473">
        <v>22950000</v>
      </c>
      <c r="AL348" s="475">
        <v>1710000</v>
      </c>
      <c r="AM348" s="306">
        <v>2700000</v>
      </c>
    </row>
    <row r="349" spans="1:39" hidden="1" x14ac:dyDescent="0.3">
      <c r="A349" s="476" t="s">
        <v>2034</v>
      </c>
      <c r="B349" s="477">
        <v>34100000</v>
      </c>
      <c r="C349" s="212" t="s">
        <v>2646</v>
      </c>
      <c r="D349" s="478">
        <v>344</v>
      </c>
      <c r="E349" s="478">
        <v>20215000012763</v>
      </c>
      <c r="F349" s="479">
        <v>44264</v>
      </c>
      <c r="G349" s="309" t="s">
        <v>2640</v>
      </c>
      <c r="H349" s="210" t="s">
        <v>2641</v>
      </c>
      <c r="I349" s="210" t="s">
        <v>228</v>
      </c>
      <c r="J349" s="407">
        <v>34100000</v>
      </c>
      <c r="K349" s="212" t="s">
        <v>288</v>
      </c>
      <c r="L349" s="212" t="s">
        <v>2736</v>
      </c>
      <c r="M349" s="212" t="s">
        <v>44</v>
      </c>
      <c r="N349" s="212" t="s">
        <v>45</v>
      </c>
      <c r="O349" s="212" t="s">
        <v>63</v>
      </c>
      <c r="P349" s="212" t="s">
        <v>674</v>
      </c>
      <c r="R349" s="212">
        <v>358</v>
      </c>
      <c r="S349" s="490">
        <v>44264</v>
      </c>
      <c r="T349" s="486" t="s">
        <v>3633</v>
      </c>
      <c r="U349" s="475">
        <f>34100000-3500000</f>
        <v>30600000</v>
      </c>
      <c r="V349" s="406">
        <v>3500000</v>
      </c>
      <c r="W349" s="362"/>
      <c r="X349" s="483" t="s">
        <v>3634</v>
      </c>
      <c r="Y349" s="484">
        <v>44298</v>
      </c>
      <c r="Z349" s="484">
        <v>44298</v>
      </c>
      <c r="AA349" s="484">
        <v>44561</v>
      </c>
      <c r="AB349" s="485" t="s">
        <v>2650</v>
      </c>
      <c r="AC349" s="483" t="s">
        <v>3635</v>
      </c>
      <c r="AD349" s="485" t="s">
        <v>3636</v>
      </c>
      <c r="AE349" s="486" t="s">
        <v>3637</v>
      </c>
      <c r="AF349" s="473">
        <v>30600000</v>
      </c>
      <c r="AL349" s="475">
        <v>2280000</v>
      </c>
      <c r="AM349" s="306">
        <v>3600000</v>
      </c>
    </row>
    <row r="350" spans="1:39" hidden="1" x14ac:dyDescent="0.3">
      <c r="A350" s="476" t="s">
        <v>2076</v>
      </c>
      <c r="B350" s="477">
        <v>34100000</v>
      </c>
      <c r="C350" s="212" t="s">
        <v>2646</v>
      </c>
      <c r="D350" s="478">
        <v>345</v>
      </c>
      <c r="E350" s="478">
        <v>20215000012773</v>
      </c>
      <c r="F350" s="479">
        <v>44264</v>
      </c>
      <c r="G350" s="309" t="s">
        <v>2640</v>
      </c>
      <c r="H350" s="210" t="s">
        <v>2641</v>
      </c>
      <c r="I350" s="210" t="s">
        <v>228</v>
      </c>
      <c r="J350" s="407">
        <v>34100000</v>
      </c>
      <c r="K350" s="212" t="s">
        <v>288</v>
      </c>
      <c r="L350" s="212" t="s">
        <v>2736</v>
      </c>
      <c r="M350" s="212" t="s">
        <v>44</v>
      </c>
      <c r="N350" s="212" t="s">
        <v>45</v>
      </c>
      <c r="O350" s="212" t="s">
        <v>63</v>
      </c>
      <c r="P350" s="212" t="s">
        <v>674</v>
      </c>
      <c r="R350" s="212">
        <v>359</v>
      </c>
      <c r="S350" s="490">
        <v>44264</v>
      </c>
      <c r="T350" s="486" t="s">
        <v>3638</v>
      </c>
      <c r="U350" s="475">
        <f>34100000-12500000</f>
        <v>21600000</v>
      </c>
      <c r="V350" s="406">
        <v>12500000</v>
      </c>
      <c r="W350" s="362"/>
      <c r="X350" s="483" t="s">
        <v>3639</v>
      </c>
      <c r="Y350" s="484">
        <v>44307</v>
      </c>
      <c r="Z350" s="484">
        <v>44307</v>
      </c>
      <c r="AA350" s="484">
        <v>44550</v>
      </c>
      <c r="AB350" s="485" t="s">
        <v>2650</v>
      </c>
      <c r="AC350" s="483" t="s">
        <v>3497</v>
      </c>
      <c r="AD350" s="485" t="s">
        <v>3640</v>
      </c>
      <c r="AE350" s="486" t="s">
        <v>3641</v>
      </c>
      <c r="AF350" s="473">
        <v>21600000</v>
      </c>
      <c r="AL350" s="475">
        <v>810000</v>
      </c>
      <c r="AM350" s="306">
        <v>2700000</v>
      </c>
    </row>
    <row r="351" spans="1:39" hidden="1" x14ac:dyDescent="0.3">
      <c r="A351" s="476" t="s">
        <v>1823</v>
      </c>
      <c r="B351" s="477">
        <v>34100000</v>
      </c>
      <c r="C351" s="212" t="s">
        <v>2646</v>
      </c>
      <c r="D351" s="478">
        <v>346</v>
      </c>
      <c r="E351" s="478">
        <v>20215000012843</v>
      </c>
      <c r="F351" s="479">
        <v>44264</v>
      </c>
      <c r="G351" s="309" t="s">
        <v>2640</v>
      </c>
      <c r="H351" s="210" t="s">
        <v>2641</v>
      </c>
      <c r="I351" s="210" t="s">
        <v>228</v>
      </c>
      <c r="J351" s="407">
        <v>34100000</v>
      </c>
      <c r="K351" s="212" t="s">
        <v>288</v>
      </c>
      <c r="L351" s="212" t="s">
        <v>2736</v>
      </c>
      <c r="M351" s="212" t="s">
        <v>44</v>
      </c>
      <c r="N351" s="212" t="s">
        <v>45</v>
      </c>
      <c r="O351" s="212" t="s">
        <v>63</v>
      </c>
      <c r="P351" s="212" t="s">
        <v>674</v>
      </c>
      <c r="R351" s="212">
        <v>363</v>
      </c>
      <c r="S351" s="490">
        <v>44264</v>
      </c>
      <c r="T351" s="486" t="s">
        <v>3642</v>
      </c>
      <c r="U351" s="475">
        <f>34100000-2100000</f>
        <v>32000000</v>
      </c>
      <c r="V351" s="406">
        <v>2100000</v>
      </c>
      <c r="W351" s="362"/>
      <c r="X351" s="483" t="s">
        <v>3643</v>
      </c>
      <c r="Y351" s="484">
        <v>44306</v>
      </c>
      <c r="Z351" s="484">
        <v>44306</v>
      </c>
      <c r="AA351" s="484">
        <v>44550</v>
      </c>
      <c r="AB351" s="485" t="s">
        <v>2650</v>
      </c>
      <c r="AC351" s="483" t="s">
        <v>3644</v>
      </c>
      <c r="AD351" s="485" t="s">
        <v>3645</v>
      </c>
      <c r="AE351" s="486" t="s">
        <v>3646</v>
      </c>
      <c r="AF351" s="473">
        <v>32000000</v>
      </c>
      <c r="AL351" s="475">
        <v>1466667</v>
      </c>
      <c r="AM351" s="306">
        <v>4000000</v>
      </c>
    </row>
    <row r="352" spans="1:39" hidden="1" x14ac:dyDescent="0.3">
      <c r="A352" s="476" t="s">
        <v>1832</v>
      </c>
      <c r="B352" s="477">
        <v>64000000</v>
      </c>
      <c r="C352" s="212" t="s">
        <v>2646</v>
      </c>
      <c r="D352" s="478">
        <v>347</v>
      </c>
      <c r="E352" s="478">
        <v>20213000013103</v>
      </c>
      <c r="F352" s="479">
        <v>44264</v>
      </c>
      <c r="G352" s="478" t="s">
        <v>2640</v>
      </c>
      <c r="H352" s="212" t="s">
        <v>2641</v>
      </c>
      <c r="I352" s="212" t="s">
        <v>432</v>
      </c>
      <c r="J352" s="475">
        <v>64000000</v>
      </c>
      <c r="K352" s="212" t="s">
        <v>342</v>
      </c>
      <c r="L352" s="212" t="s">
        <v>351</v>
      </c>
      <c r="M352" s="212" t="s">
        <v>44</v>
      </c>
      <c r="N352" s="212" t="s">
        <v>45</v>
      </c>
      <c r="O352" s="212" t="s">
        <v>63</v>
      </c>
      <c r="P352" s="212" t="s">
        <v>674</v>
      </c>
      <c r="R352" s="212">
        <v>366</v>
      </c>
      <c r="S352" s="490">
        <v>44264</v>
      </c>
      <c r="T352" s="486" t="s">
        <v>3647</v>
      </c>
      <c r="U352" s="475">
        <v>64000000</v>
      </c>
      <c r="V352" s="406"/>
      <c r="W352" s="362"/>
      <c r="X352" s="483" t="s">
        <v>3648</v>
      </c>
      <c r="Y352" s="484">
        <v>44285</v>
      </c>
      <c r="Z352" s="484">
        <v>44285</v>
      </c>
      <c r="AA352" s="484">
        <v>44530</v>
      </c>
      <c r="AB352" s="485" t="s">
        <v>2650</v>
      </c>
      <c r="AC352" s="483" t="s">
        <v>3649</v>
      </c>
      <c r="AD352" s="485" t="s">
        <v>3650</v>
      </c>
      <c r="AE352" s="486" t="s">
        <v>2829</v>
      </c>
      <c r="AF352" s="473">
        <v>64000000</v>
      </c>
      <c r="AK352" s="475">
        <v>266667</v>
      </c>
      <c r="AL352" s="475">
        <v>8000000</v>
      </c>
      <c r="AM352" s="306">
        <v>8000000</v>
      </c>
    </row>
    <row r="353" spans="1:50" ht="15" hidden="1" customHeight="1" x14ac:dyDescent="0.3">
      <c r="A353" s="476" t="s">
        <v>2580</v>
      </c>
      <c r="B353" s="477">
        <v>20000000</v>
      </c>
      <c r="C353" s="212" t="s">
        <v>2646</v>
      </c>
      <c r="D353" s="478">
        <v>348</v>
      </c>
      <c r="E353" s="309">
        <v>20214000008313</v>
      </c>
      <c r="F353" s="310">
        <v>44243</v>
      </c>
      <c r="G353" s="478" t="s">
        <v>2680</v>
      </c>
      <c r="H353" s="212" t="s">
        <v>2681</v>
      </c>
      <c r="I353" s="212" t="s">
        <v>47</v>
      </c>
      <c r="J353" s="475">
        <v>18000000</v>
      </c>
      <c r="K353" s="212" t="s">
        <v>37</v>
      </c>
      <c r="L353" s="212" t="s">
        <v>2682</v>
      </c>
      <c r="M353" s="212" t="s">
        <v>44</v>
      </c>
      <c r="N353" s="212" t="s">
        <v>45</v>
      </c>
      <c r="O353" s="212" t="s">
        <v>310</v>
      </c>
      <c r="P353" s="212" t="s">
        <v>43</v>
      </c>
      <c r="R353" s="212">
        <v>258</v>
      </c>
      <c r="S353" s="479">
        <v>44244</v>
      </c>
      <c r="T353" s="212" t="s">
        <v>3651</v>
      </c>
      <c r="U353" s="475">
        <v>18000000</v>
      </c>
      <c r="V353" s="406"/>
      <c r="W353" s="362"/>
      <c r="X353" s="483" t="s">
        <v>3652</v>
      </c>
      <c r="Y353" s="484">
        <v>44278</v>
      </c>
      <c r="Z353" s="484">
        <v>44278</v>
      </c>
      <c r="AA353" s="484">
        <v>44400</v>
      </c>
      <c r="AB353" s="485" t="s">
        <v>2650</v>
      </c>
      <c r="AC353" s="483" t="s">
        <v>3653</v>
      </c>
      <c r="AD353" s="485" t="s">
        <v>3654</v>
      </c>
      <c r="AE353" s="486" t="s">
        <v>3655</v>
      </c>
      <c r="AF353" s="473">
        <v>16352000</v>
      </c>
      <c r="AG353" s="474">
        <f t="shared" ref="AG353:AG416" si="6">+U353-AF353</f>
        <v>1648000</v>
      </c>
      <c r="AK353" s="475">
        <v>953867</v>
      </c>
      <c r="AL353" s="475">
        <v>4088000</v>
      </c>
      <c r="AM353" s="306">
        <v>4088000</v>
      </c>
    </row>
    <row r="354" spans="1:50" s="312" customFormat="1" ht="15" hidden="1" customHeight="1" x14ac:dyDescent="0.3">
      <c r="A354" s="361" t="s">
        <v>3656</v>
      </c>
      <c r="B354" s="417">
        <v>60000000</v>
      </c>
      <c r="C354" s="312" t="s">
        <v>3657</v>
      </c>
      <c r="D354" s="325">
        <v>349</v>
      </c>
      <c r="E354" s="325">
        <v>20215000013323</v>
      </c>
      <c r="F354" s="315">
        <v>44264</v>
      </c>
      <c r="G354" s="325" t="s">
        <v>2640</v>
      </c>
      <c r="H354" s="312" t="s">
        <v>2641</v>
      </c>
      <c r="I354" s="312" t="s">
        <v>228</v>
      </c>
      <c r="J354" s="406">
        <v>30000000</v>
      </c>
      <c r="K354" s="312" t="s">
        <v>223</v>
      </c>
      <c r="L354" s="312" t="s">
        <v>224</v>
      </c>
      <c r="M354" s="312" t="s">
        <v>44</v>
      </c>
      <c r="N354" s="312" t="s">
        <v>2936</v>
      </c>
      <c r="O354" s="312" t="s">
        <v>132</v>
      </c>
      <c r="P354" s="312" t="s">
        <v>674</v>
      </c>
      <c r="R354" s="312">
        <v>367</v>
      </c>
      <c r="S354" s="363">
        <v>44264</v>
      </c>
      <c r="T354" s="360" t="s">
        <v>3658</v>
      </c>
      <c r="U354" s="405">
        <f>30000000-30000000</f>
        <v>0</v>
      </c>
      <c r="V354" s="406">
        <v>30000000</v>
      </c>
      <c r="W354" s="362" t="s">
        <v>1509</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3">
      <c r="A355" s="476" t="s">
        <v>1907</v>
      </c>
      <c r="B355" s="477">
        <v>80000000</v>
      </c>
      <c r="C355" s="212" t="s">
        <v>2646</v>
      </c>
      <c r="D355" s="309">
        <v>350</v>
      </c>
      <c r="E355" s="478">
        <v>20214000013573</v>
      </c>
      <c r="F355" s="310">
        <v>44265</v>
      </c>
      <c r="G355" s="478" t="s">
        <v>2680</v>
      </c>
      <c r="H355" s="212" t="s">
        <v>2681</v>
      </c>
      <c r="I355" s="212" t="s">
        <v>47</v>
      </c>
      <c r="J355" s="475">
        <v>48000000</v>
      </c>
      <c r="K355" s="212" t="s">
        <v>37</v>
      </c>
      <c r="L355" s="212" t="s">
        <v>2682</v>
      </c>
      <c r="M355" s="212" t="s">
        <v>44</v>
      </c>
      <c r="N355" s="212" t="s">
        <v>45</v>
      </c>
      <c r="O355" s="212" t="s">
        <v>310</v>
      </c>
      <c r="P355" s="212" t="s">
        <v>43</v>
      </c>
      <c r="Q355" s="212"/>
      <c r="R355" s="212">
        <v>375</v>
      </c>
      <c r="S355" s="490">
        <v>44265</v>
      </c>
      <c r="T355" s="486" t="s">
        <v>3659</v>
      </c>
      <c r="U355" s="475">
        <v>48000000</v>
      </c>
      <c r="V355" s="406"/>
      <c r="W355" s="362"/>
      <c r="X355" s="483" t="s">
        <v>3417</v>
      </c>
      <c r="Y355" s="484">
        <v>44278</v>
      </c>
      <c r="Z355" s="484">
        <v>44278</v>
      </c>
      <c r="AA355" s="484">
        <v>44462</v>
      </c>
      <c r="AB355" s="485" t="s">
        <v>2650</v>
      </c>
      <c r="AC355" s="483" t="s">
        <v>3660</v>
      </c>
      <c r="AD355" s="485" t="s">
        <v>3661</v>
      </c>
      <c r="AE355" s="486" t="s">
        <v>3662</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3">
      <c r="A356" s="361" t="s">
        <v>3663</v>
      </c>
      <c r="B356" s="417">
        <v>35551026</v>
      </c>
      <c r="C356" s="312" t="s">
        <v>2762</v>
      </c>
      <c r="D356" s="325">
        <v>351</v>
      </c>
      <c r="E356" s="325">
        <v>20214000013493</v>
      </c>
      <c r="F356" s="315">
        <v>44265</v>
      </c>
      <c r="G356" s="325" t="s">
        <v>2680</v>
      </c>
      <c r="H356" s="312" t="s">
        <v>2681</v>
      </c>
      <c r="I356" s="312" t="s">
        <v>47</v>
      </c>
      <c r="J356" s="405">
        <v>23700000</v>
      </c>
      <c r="K356" s="312" t="s">
        <v>37</v>
      </c>
      <c r="L356" s="312" t="s">
        <v>2682</v>
      </c>
      <c r="M356" s="312" t="s">
        <v>44</v>
      </c>
      <c r="N356" s="312" t="s">
        <v>45</v>
      </c>
      <c r="O356" s="212" t="s">
        <v>310</v>
      </c>
      <c r="P356" s="312" t="s">
        <v>43</v>
      </c>
      <c r="R356" s="312">
        <v>371</v>
      </c>
      <c r="S356" s="363">
        <v>44265</v>
      </c>
      <c r="T356" s="360" t="s">
        <v>3664</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3">
      <c r="A357" s="476" t="s">
        <v>2582</v>
      </c>
      <c r="B357" s="477">
        <v>27000000</v>
      </c>
      <c r="C357" s="212" t="s">
        <v>2646</v>
      </c>
      <c r="D357" s="478">
        <v>352</v>
      </c>
      <c r="E357" s="478">
        <v>20214000013513</v>
      </c>
      <c r="F357" s="310">
        <v>44265</v>
      </c>
      <c r="G357" s="478" t="s">
        <v>2680</v>
      </c>
      <c r="H357" s="212" t="s">
        <v>2681</v>
      </c>
      <c r="I357" s="212" t="s">
        <v>47</v>
      </c>
      <c r="J357" s="475">
        <v>18000000</v>
      </c>
      <c r="K357" s="212" t="s">
        <v>37</v>
      </c>
      <c r="L357" s="212" t="s">
        <v>2682</v>
      </c>
      <c r="M357" s="212" t="s">
        <v>44</v>
      </c>
      <c r="N357" s="212" t="s">
        <v>45</v>
      </c>
      <c r="O357" s="212" t="s">
        <v>310</v>
      </c>
      <c r="P357" s="212" t="s">
        <v>43</v>
      </c>
      <c r="R357" s="212">
        <v>372</v>
      </c>
      <c r="S357" s="490">
        <v>44265</v>
      </c>
      <c r="T357" s="486" t="s">
        <v>3665</v>
      </c>
      <c r="U357" s="475">
        <v>18000000</v>
      </c>
      <c r="V357" s="406"/>
      <c r="W357" s="362"/>
      <c r="X357" s="483" t="s">
        <v>3666</v>
      </c>
      <c r="Y357" s="484">
        <v>44299</v>
      </c>
      <c r="Z357" s="484">
        <v>44299</v>
      </c>
      <c r="AA357" s="484">
        <v>44482</v>
      </c>
      <c r="AB357" s="485" t="s">
        <v>2650</v>
      </c>
      <c r="AC357" s="483" t="s">
        <v>3667</v>
      </c>
      <c r="AD357" s="485" t="s">
        <v>3668</v>
      </c>
      <c r="AE357" s="486" t="s">
        <v>3669</v>
      </c>
      <c r="AF357" s="473">
        <v>18000000</v>
      </c>
      <c r="AG357" s="474">
        <f t="shared" si="6"/>
        <v>0</v>
      </c>
      <c r="AL357" s="475">
        <v>1800000</v>
      </c>
      <c r="AM357" s="306">
        <v>3000000</v>
      </c>
    </row>
    <row r="358" spans="1:50" ht="15" hidden="1" customHeight="1" x14ac:dyDescent="0.3">
      <c r="A358" s="476" t="s">
        <v>2576</v>
      </c>
      <c r="B358" s="477">
        <v>67500000</v>
      </c>
      <c r="C358" s="212" t="s">
        <v>2646</v>
      </c>
      <c r="D358" s="478">
        <v>353</v>
      </c>
      <c r="E358" s="478">
        <v>20214000013523</v>
      </c>
      <c r="F358" s="310">
        <v>44265</v>
      </c>
      <c r="G358" s="478" t="s">
        <v>2680</v>
      </c>
      <c r="H358" s="212" t="s">
        <v>2681</v>
      </c>
      <c r="I358" s="212" t="s">
        <v>47</v>
      </c>
      <c r="J358" s="475">
        <v>45000000</v>
      </c>
      <c r="K358" s="212" t="s">
        <v>37</v>
      </c>
      <c r="L358" s="212" t="s">
        <v>2682</v>
      </c>
      <c r="M358" s="212" t="s">
        <v>44</v>
      </c>
      <c r="N358" s="212" t="s">
        <v>45</v>
      </c>
      <c r="O358" s="212" t="s">
        <v>310</v>
      </c>
      <c r="P358" s="212" t="s">
        <v>43</v>
      </c>
      <c r="R358" s="212">
        <v>373</v>
      </c>
      <c r="S358" s="490">
        <v>44265</v>
      </c>
      <c r="T358" s="486" t="s">
        <v>3670</v>
      </c>
      <c r="U358" s="475">
        <v>45000000</v>
      </c>
      <c r="V358" s="406"/>
      <c r="W358" s="362"/>
      <c r="X358" s="308">
        <v>397</v>
      </c>
      <c r="Y358" s="484">
        <v>44295</v>
      </c>
      <c r="Z358" s="484">
        <v>44295</v>
      </c>
      <c r="AA358" s="484">
        <v>44478</v>
      </c>
      <c r="AB358" s="485" t="s">
        <v>2650</v>
      </c>
      <c r="AC358" s="483" t="s">
        <v>3671</v>
      </c>
      <c r="AD358" s="485" t="s">
        <v>3672</v>
      </c>
      <c r="AE358" s="486" t="s">
        <v>3673</v>
      </c>
      <c r="AF358" s="473">
        <v>45000000</v>
      </c>
      <c r="AG358" s="474">
        <f t="shared" si="6"/>
        <v>0</v>
      </c>
      <c r="AL358" s="475">
        <v>5500000</v>
      </c>
      <c r="AM358" s="306">
        <v>7500000</v>
      </c>
    </row>
    <row r="359" spans="1:50" ht="15" hidden="1" customHeight="1" x14ac:dyDescent="0.3">
      <c r="A359" s="476" t="s">
        <v>2238</v>
      </c>
      <c r="B359" s="477">
        <v>73039148</v>
      </c>
      <c r="C359" s="212" t="s">
        <v>2646</v>
      </c>
      <c r="D359" s="478">
        <v>354</v>
      </c>
      <c r="E359" s="478">
        <v>20214000013533</v>
      </c>
      <c r="F359" s="310">
        <v>44265</v>
      </c>
      <c r="G359" s="478" t="s">
        <v>2673</v>
      </c>
      <c r="H359" s="212" t="s">
        <v>2674</v>
      </c>
      <c r="I359" s="212" t="s">
        <v>117</v>
      </c>
      <c r="J359" s="475">
        <v>48000000</v>
      </c>
      <c r="K359" s="212" t="s">
        <v>112</v>
      </c>
      <c r="L359" s="212" t="s">
        <v>2675</v>
      </c>
      <c r="M359" s="212" t="s">
        <v>44</v>
      </c>
      <c r="N359" s="212" t="s">
        <v>45</v>
      </c>
      <c r="O359" s="212" t="s">
        <v>63</v>
      </c>
      <c r="P359" s="212" t="s">
        <v>43</v>
      </c>
      <c r="R359" s="212">
        <v>374</v>
      </c>
      <c r="S359" s="490">
        <v>44265</v>
      </c>
      <c r="T359" s="486" t="s">
        <v>3674</v>
      </c>
      <c r="U359" s="475">
        <v>48000000</v>
      </c>
      <c r="V359" s="406"/>
      <c r="W359" s="362"/>
      <c r="X359" s="483" t="s">
        <v>3553</v>
      </c>
      <c r="Y359" s="484">
        <v>44292</v>
      </c>
      <c r="Z359" s="484">
        <v>44292</v>
      </c>
      <c r="AA359" s="484">
        <v>44475</v>
      </c>
      <c r="AB359" s="485" t="s">
        <v>2650</v>
      </c>
      <c r="AC359" s="483" t="s">
        <v>3420</v>
      </c>
      <c r="AD359" s="485" t="s">
        <v>3675</v>
      </c>
      <c r="AE359" s="486" t="s">
        <v>3676</v>
      </c>
      <c r="AF359" s="473">
        <v>48000000</v>
      </c>
      <c r="AG359" s="474">
        <f t="shared" si="6"/>
        <v>0</v>
      </c>
      <c r="AL359" s="475">
        <v>6666666</v>
      </c>
      <c r="AM359" s="306">
        <v>8000000</v>
      </c>
    </row>
    <row r="360" spans="1:50" ht="15" hidden="1" customHeight="1" x14ac:dyDescent="0.3">
      <c r="A360" s="476" t="s">
        <v>3677</v>
      </c>
      <c r="B360" s="477">
        <v>8000000</v>
      </c>
      <c r="C360" s="212" t="s">
        <v>3678</v>
      </c>
      <c r="D360" s="478">
        <v>355</v>
      </c>
      <c r="E360" s="478">
        <v>20211300002603</v>
      </c>
      <c r="F360" s="479">
        <v>44221</v>
      </c>
      <c r="G360" s="478" t="s">
        <v>2647</v>
      </c>
      <c r="H360" s="212" t="s">
        <v>2648</v>
      </c>
      <c r="I360" s="212" t="s">
        <v>210</v>
      </c>
      <c r="J360" s="475">
        <v>7979521</v>
      </c>
      <c r="K360" s="212" t="s">
        <v>138</v>
      </c>
      <c r="L360" s="212" t="s">
        <v>139</v>
      </c>
      <c r="M360" s="212" t="s">
        <v>44</v>
      </c>
      <c r="N360" s="212" t="s">
        <v>45</v>
      </c>
      <c r="O360" s="212" t="s">
        <v>142</v>
      </c>
      <c r="P360" s="212" t="s">
        <v>43</v>
      </c>
      <c r="R360" s="212">
        <v>88</v>
      </c>
      <c r="S360" s="479">
        <v>44221</v>
      </c>
      <c r="T360" s="212" t="s">
        <v>3677</v>
      </c>
      <c r="U360" s="475">
        <v>7979521</v>
      </c>
      <c r="V360" s="406"/>
      <c r="W360" s="362"/>
      <c r="X360" s="308">
        <v>296</v>
      </c>
      <c r="Y360" s="484">
        <v>44278</v>
      </c>
      <c r="Z360" s="484">
        <v>44278</v>
      </c>
      <c r="AA360" s="484">
        <v>44462</v>
      </c>
      <c r="AB360" s="485" t="s">
        <v>2650</v>
      </c>
      <c r="AC360" s="211">
        <v>207</v>
      </c>
      <c r="AD360" s="492" t="s">
        <v>3679</v>
      </c>
      <c r="AE360" s="493" t="s">
        <v>3680</v>
      </c>
      <c r="AF360" s="473">
        <v>7977760</v>
      </c>
      <c r="AG360" s="474">
        <f t="shared" si="6"/>
        <v>1761</v>
      </c>
      <c r="AM360" s="306">
        <v>7977760</v>
      </c>
    </row>
    <row r="361" spans="1:50" ht="15" hidden="1" customHeight="1" x14ac:dyDescent="0.3">
      <c r="A361" s="476" t="s">
        <v>1916</v>
      </c>
      <c r="B361" s="477">
        <v>33000000</v>
      </c>
      <c r="C361" s="212" t="s">
        <v>2646</v>
      </c>
      <c r="D361" s="478">
        <v>356</v>
      </c>
      <c r="E361" s="478">
        <v>20215000002873</v>
      </c>
      <c r="F361" s="479">
        <v>44225</v>
      </c>
      <c r="G361" s="478" t="s">
        <v>2640</v>
      </c>
      <c r="H361" s="212" t="s">
        <v>2641</v>
      </c>
      <c r="I361" s="212" t="s">
        <v>228</v>
      </c>
      <c r="J361" s="475">
        <v>33000000</v>
      </c>
      <c r="K361" s="212" t="s">
        <v>223</v>
      </c>
      <c r="L361" s="212" t="s">
        <v>236</v>
      </c>
      <c r="M361" s="212" t="s">
        <v>44</v>
      </c>
      <c r="N361" s="212" t="s">
        <v>45</v>
      </c>
      <c r="O361" s="212" t="s">
        <v>63</v>
      </c>
      <c r="P361" s="212" t="s">
        <v>674</v>
      </c>
      <c r="R361" s="212">
        <v>128</v>
      </c>
      <c r="S361" s="479">
        <v>44225</v>
      </c>
      <c r="T361" s="212" t="s">
        <v>3681</v>
      </c>
      <c r="U361" s="475">
        <f>33000000-13200000</f>
        <v>19800000</v>
      </c>
      <c r="V361" s="406">
        <v>13200000</v>
      </c>
      <c r="W361" s="362"/>
      <c r="X361" s="483" t="s">
        <v>3682</v>
      </c>
      <c r="Y361" s="484">
        <v>44278</v>
      </c>
      <c r="Z361" s="484">
        <v>44278</v>
      </c>
      <c r="AA361" s="484">
        <v>44553</v>
      </c>
      <c r="AB361" s="485" t="s">
        <v>2650</v>
      </c>
      <c r="AC361" s="483" t="s">
        <v>3683</v>
      </c>
      <c r="AD361" s="485" t="s">
        <v>3684</v>
      </c>
      <c r="AE361" s="486" t="s">
        <v>3685</v>
      </c>
      <c r="AF361" s="473">
        <v>19800000</v>
      </c>
      <c r="AG361" s="474">
        <f t="shared" si="6"/>
        <v>0</v>
      </c>
      <c r="AL361" s="475">
        <v>2273333</v>
      </c>
      <c r="AM361" s="306">
        <v>2200000</v>
      </c>
    </row>
    <row r="362" spans="1:50" ht="15" hidden="1" customHeight="1" x14ac:dyDescent="0.3">
      <c r="A362" s="476" t="s">
        <v>2241</v>
      </c>
      <c r="B362" s="477">
        <v>35550000</v>
      </c>
      <c r="C362" s="212" t="s">
        <v>2646</v>
      </c>
      <c r="D362" s="478">
        <v>357</v>
      </c>
      <c r="E362" s="478">
        <v>20214000013583</v>
      </c>
      <c r="F362" s="310">
        <v>44265</v>
      </c>
      <c r="G362" s="478" t="s">
        <v>2673</v>
      </c>
      <c r="H362" s="212" t="s">
        <v>2674</v>
      </c>
      <c r="I362" s="212" t="s">
        <v>117</v>
      </c>
      <c r="J362" s="475">
        <v>23700000</v>
      </c>
      <c r="K362" s="212" t="s">
        <v>112</v>
      </c>
      <c r="L362" s="212" t="s">
        <v>2675</v>
      </c>
      <c r="M362" s="212" t="s">
        <v>44</v>
      </c>
      <c r="N362" s="212" t="s">
        <v>45</v>
      </c>
      <c r="O362" s="212" t="s">
        <v>63</v>
      </c>
      <c r="P362" s="212" t="s">
        <v>43</v>
      </c>
      <c r="R362" s="212">
        <v>376</v>
      </c>
      <c r="S362" s="490">
        <v>44265</v>
      </c>
      <c r="T362" s="486" t="s">
        <v>3686</v>
      </c>
      <c r="U362" s="475">
        <v>23700000</v>
      </c>
      <c r="V362" s="406"/>
      <c r="W362" s="362"/>
      <c r="X362" s="483" t="s">
        <v>3265</v>
      </c>
      <c r="Y362" s="484">
        <v>44286</v>
      </c>
      <c r="Z362" s="484">
        <v>44286</v>
      </c>
      <c r="AA362" s="484">
        <v>44469</v>
      </c>
      <c r="AB362" s="485" t="s">
        <v>2650</v>
      </c>
      <c r="AC362" s="483" t="s">
        <v>3687</v>
      </c>
      <c r="AD362" s="485" t="s">
        <v>3688</v>
      </c>
      <c r="AE362" s="486" t="s">
        <v>3689</v>
      </c>
      <c r="AF362" s="473">
        <v>23700000</v>
      </c>
      <c r="AG362" s="474">
        <f t="shared" si="6"/>
        <v>0</v>
      </c>
      <c r="AL362" s="475">
        <v>3423333</v>
      </c>
      <c r="AM362" s="306">
        <v>3950000</v>
      </c>
    </row>
    <row r="363" spans="1:50" ht="15" hidden="1" customHeight="1" x14ac:dyDescent="0.3">
      <c r="A363" s="476" t="s">
        <v>2584</v>
      </c>
      <c r="B363" s="477">
        <v>72000000</v>
      </c>
      <c r="C363" s="212" t="s">
        <v>2646</v>
      </c>
      <c r="D363" s="478">
        <v>358</v>
      </c>
      <c r="E363" s="478">
        <v>20214000013593</v>
      </c>
      <c r="F363" s="310">
        <v>44265</v>
      </c>
      <c r="G363" s="478" t="s">
        <v>2680</v>
      </c>
      <c r="H363" s="212" t="s">
        <v>2681</v>
      </c>
      <c r="I363" s="212" t="s">
        <v>47</v>
      </c>
      <c r="J363" s="475">
        <v>48000000</v>
      </c>
      <c r="K363" s="212" t="s">
        <v>37</v>
      </c>
      <c r="L363" s="212" t="s">
        <v>2682</v>
      </c>
      <c r="M363" s="212" t="s">
        <v>44</v>
      </c>
      <c r="N363" s="212" t="s">
        <v>45</v>
      </c>
      <c r="O363" s="212" t="s">
        <v>310</v>
      </c>
      <c r="P363" s="212" t="s">
        <v>43</v>
      </c>
      <c r="R363" s="212">
        <v>377</v>
      </c>
      <c r="S363" s="490">
        <v>44265</v>
      </c>
      <c r="T363" s="486" t="s">
        <v>3690</v>
      </c>
      <c r="U363" s="475">
        <v>48000000</v>
      </c>
      <c r="V363" s="406"/>
      <c r="W363" s="362"/>
      <c r="X363" s="483" t="s">
        <v>3691</v>
      </c>
      <c r="Y363" s="484">
        <v>44286</v>
      </c>
      <c r="Z363" s="484">
        <v>44286</v>
      </c>
      <c r="AA363" s="484">
        <v>44469</v>
      </c>
      <c r="AB363" s="485" t="s">
        <v>2650</v>
      </c>
      <c r="AC363" s="483" t="s">
        <v>3376</v>
      </c>
      <c r="AD363" s="485" t="s">
        <v>3692</v>
      </c>
      <c r="AE363" s="486" t="s">
        <v>3693</v>
      </c>
      <c r="AF363" s="473">
        <v>48000000</v>
      </c>
      <c r="AG363" s="474">
        <f t="shared" si="6"/>
        <v>0</v>
      </c>
      <c r="AL363" s="475">
        <v>6933333</v>
      </c>
      <c r="AM363" s="306">
        <v>8000000</v>
      </c>
    </row>
    <row r="364" spans="1:50" ht="15" hidden="1" customHeight="1" x14ac:dyDescent="0.3">
      <c r="A364" s="476" t="s">
        <v>3694</v>
      </c>
      <c r="B364" s="477">
        <v>27000000</v>
      </c>
      <c r="C364" s="212" t="s">
        <v>2646</v>
      </c>
      <c r="D364" s="478">
        <v>359</v>
      </c>
      <c r="E364" s="478">
        <v>20214000013603</v>
      </c>
      <c r="F364" s="310">
        <v>44265</v>
      </c>
      <c r="G364" s="478" t="s">
        <v>2673</v>
      </c>
      <c r="H364" s="212" t="s">
        <v>2674</v>
      </c>
      <c r="I364" s="212" t="s">
        <v>117</v>
      </c>
      <c r="J364" s="475">
        <v>18000000</v>
      </c>
      <c r="K364" s="212" t="s">
        <v>112</v>
      </c>
      <c r="L364" s="212" t="s">
        <v>2675</v>
      </c>
      <c r="M364" s="212" t="s">
        <v>44</v>
      </c>
      <c r="N364" s="212" t="s">
        <v>45</v>
      </c>
      <c r="O364" s="212" t="s">
        <v>63</v>
      </c>
      <c r="P364" s="212" t="s">
        <v>43</v>
      </c>
      <c r="R364" s="212">
        <v>378</v>
      </c>
      <c r="S364" s="490">
        <v>44265</v>
      </c>
      <c r="T364" s="486" t="s">
        <v>3695</v>
      </c>
      <c r="U364" s="475">
        <v>18000000</v>
      </c>
      <c r="V364" s="406"/>
      <c r="W364" s="362"/>
      <c r="X364" s="483" t="s">
        <v>3696</v>
      </c>
      <c r="Y364" s="484">
        <v>44286</v>
      </c>
      <c r="Z364" s="484">
        <v>44286</v>
      </c>
      <c r="AA364" s="484">
        <v>44469</v>
      </c>
      <c r="AB364" s="485" t="s">
        <v>2650</v>
      </c>
      <c r="AC364" s="483" t="s">
        <v>3381</v>
      </c>
      <c r="AD364" s="485" t="s">
        <v>3697</v>
      </c>
      <c r="AE364" s="486" t="s">
        <v>3698</v>
      </c>
      <c r="AF364" s="473">
        <v>18000000</v>
      </c>
      <c r="AG364" s="474">
        <f t="shared" si="6"/>
        <v>0</v>
      </c>
      <c r="AL364" s="475">
        <v>2600000</v>
      </c>
      <c r="AM364" s="306">
        <v>3000000</v>
      </c>
    </row>
    <row r="365" spans="1:50" ht="15" hidden="1" customHeight="1" x14ac:dyDescent="0.3">
      <c r="A365" s="476" t="s">
        <v>3699</v>
      </c>
      <c r="B365" s="477">
        <v>27000000</v>
      </c>
      <c r="C365" s="212" t="s">
        <v>2646</v>
      </c>
      <c r="D365" s="478">
        <v>360</v>
      </c>
      <c r="E365" s="478">
        <v>20214000013613</v>
      </c>
      <c r="F365" s="310">
        <v>44265</v>
      </c>
      <c r="G365" s="478" t="s">
        <v>2673</v>
      </c>
      <c r="H365" s="212" t="s">
        <v>2674</v>
      </c>
      <c r="I365" s="212" t="s">
        <v>117</v>
      </c>
      <c r="J365" s="475">
        <v>18000000</v>
      </c>
      <c r="K365" s="212" t="s">
        <v>112</v>
      </c>
      <c r="L365" s="212" t="s">
        <v>2675</v>
      </c>
      <c r="M365" s="212" t="s">
        <v>44</v>
      </c>
      <c r="N365" s="212" t="s">
        <v>45</v>
      </c>
      <c r="O365" s="212" t="s">
        <v>63</v>
      </c>
      <c r="P365" s="212" t="s">
        <v>43</v>
      </c>
      <c r="R365" s="212">
        <v>379</v>
      </c>
      <c r="S365" s="490">
        <v>44265</v>
      </c>
      <c r="T365" s="486" t="s">
        <v>3700</v>
      </c>
      <c r="U365" s="475">
        <v>18000000</v>
      </c>
      <c r="V365" s="406"/>
      <c r="W365" s="362"/>
      <c r="X365" s="211" t="s">
        <v>3701</v>
      </c>
      <c r="Y365" s="472">
        <v>44301</v>
      </c>
      <c r="Z365" s="472">
        <v>44301</v>
      </c>
      <c r="AA365" s="472">
        <v>44484</v>
      </c>
      <c r="AB365" s="2" t="s">
        <v>2650</v>
      </c>
      <c r="AC365" s="211" t="s">
        <v>3702</v>
      </c>
      <c r="AD365" s="2" t="s">
        <v>3703</v>
      </c>
      <c r="AE365" s="212" t="s">
        <v>3704</v>
      </c>
      <c r="AF365" s="473">
        <v>18000000</v>
      </c>
      <c r="AG365" s="474">
        <f t="shared" si="6"/>
        <v>0</v>
      </c>
      <c r="AL365" s="475">
        <v>1600000</v>
      </c>
      <c r="AM365" s="306">
        <v>3000000</v>
      </c>
    </row>
    <row r="366" spans="1:50" ht="15" hidden="1" customHeight="1" x14ac:dyDescent="0.3">
      <c r="A366" s="476" t="s">
        <v>2426</v>
      </c>
      <c r="B366" s="477">
        <v>54000000</v>
      </c>
      <c r="C366" s="212" t="s">
        <v>2646</v>
      </c>
      <c r="D366" s="478">
        <v>361</v>
      </c>
      <c r="E366" s="478">
        <v>20215000013343</v>
      </c>
      <c r="F366" s="479">
        <v>44264</v>
      </c>
      <c r="G366" s="478" t="s">
        <v>2640</v>
      </c>
      <c r="H366" s="212" t="s">
        <v>2641</v>
      </c>
      <c r="I366" s="212" t="s">
        <v>228</v>
      </c>
      <c r="J366" s="475">
        <v>32000000</v>
      </c>
      <c r="K366" s="212" t="s">
        <v>223</v>
      </c>
      <c r="L366" s="212" t="s">
        <v>2758</v>
      </c>
      <c r="M366" s="212" t="s">
        <v>44</v>
      </c>
      <c r="N366" s="212" t="s">
        <v>45</v>
      </c>
      <c r="O366" s="212" t="s">
        <v>63</v>
      </c>
      <c r="P366" s="212" t="s">
        <v>674</v>
      </c>
      <c r="R366" s="212">
        <v>368</v>
      </c>
      <c r="S366" s="490">
        <v>44264</v>
      </c>
      <c r="T366" s="486" t="s">
        <v>3705</v>
      </c>
      <c r="U366" s="475">
        <v>32000000</v>
      </c>
      <c r="V366" s="406"/>
      <c r="W366" s="362"/>
      <c r="X366" s="483" t="s">
        <v>3706</v>
      </c>
      <c r="Y366" s="484">
        <v>44279</v>
      </c>
      <c r="Z366" s="484">
        <v>44279</v>
      </c>
      <c r="AA366" s="484">
        <v>44524</v>
      </c>
      <c r="AB366" s="485" t="s">
        <v>2650</v>
      </c>
      <c r="AC366" s="483" t="s">
        <v>3707</v>
      </c>
      <c r="AD366" s="485" t="s">
        <v>3708</v>
      </c>
      <c r="AE366" s="486" t="s">
        <v>3709</v>
      </c>
      <c r="AF366" s="473">
        <v>32000000</v>
      </c>
      <c r="AG366" s="474">
        <f t="shared" si="6"/>
        <v>0</v>
      </c>
      <c r="AK366" s="475">
        <v>933333</v>
      </c>
      <c r="AL366" s="475">
        <v>4000000</v>
      </c>
      <c r="AM366" s="306">
        <v>4000000</v>
      </c>
    </row>
    <row r="367" spans="1:50" ht="15" hidden="1" customHeight="1" x14ac:dyDescent="0.3">
      <c r="A367" s="476" t="s">
        <v>2212</v>
      </c>
      <c r="B367" s="477">
        <v>28619969</v>
      </c>
      <c r="C367" s="212" t="s">
        <v>2646</v>
      </c>
      <c r="D367" s="478">
        <v>362</v>
      </c>
      <c r="E367" s="478">
        <v>20211300013943</v>
      </c>
      <c r="F367" s="310">
        <v>44265</v>
      </c>
      <c r="G367" s="478" t="s">
        <v>2647</v>
      </c>
      <c r="H367" s="212" t="s">
        <v>2648</v>
      </c>
      <c r="I367" s="212" t="s">
        <v>210</v>
      </c>
      <c r="J367" s="475">
        <v>16353468</v>
      </c>
      <c r="K367" s="212" t="s">
        <v>138</v>
      </c>
      <c r="L367" s="212" t="s">
        <v>139</v>
      </c>
      <c r="M367" s="212" t="s">
        <v>44</v>
      </c>
      <c r="N367" s="212" t="s">
        <v>45</v>
      </c>
      <c r="O367" s="212" t="s">
        <v>142</v>
      </c>
      <c r="P367" s="212" t="s">
        <v>43</v>
      </c>
      <c r="R367" s="212">
        <v>403</v>
      </c>
      <c r="S367" s="490">
        <v>44266</v>
      </c>
      <c r="T367" s="486" t="s">
        <v>3710</v>
      </c>
      <c r="U367" s="475">
        <v>16353468</v>
      </c>
      <c r="V367" s="406"/>
      <c r="W367" s="362"/>
      <c r="X367" s="483" t="s">
        <v>3711</v>
      </c>
      <c r="Y367" s="484">
        <v>44305</v>
      </c>
      <c r="Z367" s="484">
        <v>44305</v>
      </c>
      <c r="AA367" s="484">
        <v>44426</v>
      </c>
      <c r="AB367" s="485" t="s">
        <v>2650</v>
      </c>
      <c r="AC367" s="483" t="s">
        <v>3712</v>
      </c>
      <c r="AD367" s="485" t="s">
        <v>3713</v>
      </c>
      <c r="AE367" s="486" t="s">
        <v>2719</v>
      </c>
      <c r="AF367" s="473">
        <v>16353468</v>
      </c>
      <c r="AG367" s="474">
        <f t="shared" si="6"/>
        <v>0</v>
      </c>
      <c r="AM367" s="306">
        <v>5587435</v>
      </c>
    </row>
    <row r="368" spans="1:50" ht="15" hidden="1" customHeight="1" x14ac:dyDescent="0.3">
      <c r="A368" s="476" t="s">
        <v>2006</v>
      </c>
      <c r="B368" s="477">
        <v>29981358</v>
      </c>
      <c r="C368" s="212" t="s">
        <v>2646</v>
      </c>
      <c r="D368" s="478">
        <v>363</v>
      </c>
      <c r="E368" s="309">
        <v>20217000011343</v>
      </c>
      <c r="F368" s="479">
        <v>44256</v>
      </c>
      <c r="G368" s="478" t="s">
        <v>2647</v>
      </c>
      <c r="H368" s="212" t="s">
        <v>2648</v>
      </c>
      <c r="I368" s="212" t="s">
        <v>164</v>
      </c>
      <c r="J368" s="475">
        <v>16353468</v>
      </c>
      <c r="K368" s="212" t="s">
        <v>138</v>
      </c>
      <c r="L368" s="212" t="s">
        <v>139</v>
      </c>
      <c r="M368" s="212" t="s">
        <v>44</v>
      </c>
      <c r="N368" s="212" t="s">
        <v>45</v>
      </c>
      <c r="O368" s="212" t="s">
        <v>142</v>
      </c>
      <c r="P368" s="212" t="s">
        <v>43</v>
      </c>
      <c r="R368" s="212">
        <v>319</v>
      </c>
      <c r="S368" s="490">
        <v>44256</v>
      </c>
      <c r="T368" s="486" t="s">
        <v>3714</v>
      </c>
      <c r="U368" s="475">
        <v>16353468</v>
      </c>
      <c r="V368" s="406"/>
      <c r="W368" s="362"/>
      <c r="X368" s="483" t="s">
        <v>3715</v>
      </c>
      <c r="Y368" s="484">
        <v>44279</v>
      </c>
      <c r="Z368" s="484">
        <v>44279</v>
      </c>
      <c r="AA368" s="484">
        <v>44463</v>
      </c>
      <c r="AB368" s="485" t="s">
        <v>2650</v>
      </c>
      <c r="AC368" s="483" t="s">
        <v>3716</v>
      </c>
      <c r="AD368" s="485" t="s">
        <v>3717</v>
      </c>
      <c r="AE368" s="486" t="s">
        <v>2697</v>
      </c>
      <c r="AF368" s="473">
        <v>16353468</v>
      </c>
      <c r="AG368" s="474">
        <f t="shared" si="6"/>
        <v>0</v>
      </c>
      <c r="AL368" s="475">
        <v>3270693</v>
      </c>
      <c r="AM368" s="306">
        <v>2725578</v>
      </c>
    </row>
    <row r="369" spans="1:50" ht="15" hidden="1" customHeight="1" x14ac:dyDescent="0.3">
      <c r="A369" s="476" t="s">
        <v>1957</v>
      </c>
      <c r="B369" s="477">
        <v>43380000</v>
      </c>
      <c r="C369" s="212" t="s">
        <v>2646</v>
      </c>
      <c r="D369" s="478">
        <v>364</v>
      </c>
      <c r="E369" s="478">
        <v>20216000014473</v>
      </c>
      <c r="F369" s="479">
        <v>44267</v>
      </c>
      <c r="G369" s="478" t="s">
        <v>2647</v>
      </c>
      <c r="H369" s="212" t="s">
        <v>2648</v>
      </c>
      <c r="I369" s="212" t="s">
        <v>214</v>
      </c>
      <c r="J369" s="475">
        <v>43380000</v>
      </c>
      <c r="K369" s="212" t="s">
        <v>138</v>
      </c>
      <c r="L369" s="212" t="s">
        <v>139</v>
      </c>
      <c r="M369" s="212" t="s">
        <v>44</v>
      </c>
      <c r="N369" s="212" t="s">
        <v>45</v>
      </c>
      <c r="O369" s="212" t="s">
        <v>142</v>
      </c>
      <c r="P369" s="212" t="s">
        <v>43</v>
      </c>
      <c r="R369" s="212">
        <v>427</v>
      </c>
      <c r="S369" s="490">
        <v>44267</v>
      </c>
      <c r="T369" s="486" t="s">
        <v>3718</v>
      </c>
      <c r="U369" s="475">
        <v>43380000</v>
      </c>
      <c r="V369" s="406"/>
      <c r="W369" s="362"/>
      <c r="X369" s="483" t="s">
        <v>3620</v>
      </c>
      <c r="Y369" s="484">
        <v>44279</v>
      </c>
      <c r="Z369" s="484">
        <v>44279</v>
      </c>
      <c r="AA369" s="484">
        <v>44554</v>
      </c>
      <c r="AB369" s="485" t="s">
        <v>2650</v>
      </c>
      <c r="AC369" s="483" t="s">
        <v>3719</v>
      </c>
      <c r="AD369" s="485" t="s">
        <v>3720</v>
      </c>
      <c r="AE369" s="486" t="s">
        <v>3721</v>
      </c>
      <c r="AF369" s="473">
        <v>43380000</v>
      </c>
      <c r="AG369" s="474">
        <f t="shared" si="6"/>
        <v>0</v>
      </c>
      <c r="AK369" s="475">
        <v>964000</v>
      </c>
      <c r="AL369" s="475">
        <v>4820000</v>
      </c>
      <c r="AM369" s="306">
        <v>4820000</v>
      </c>
    </row>
    <row r="370" spans="1:50" ht="15" hidden="1" customHeight="1" x14ac:dyDescent="0.3">
      <c r="A370" s="476" t="s">
        <v>2215</v>
      </c>
      <c r="B370" s="477">
        <v>41337934</v>
      </c>
      <c r="C370" s="212" t="s">
        <v>2646</v>
      </c>
      <c r="D370" s="478">
        <v>365</v>
      </c>
      <c r="E370" s="478">
        <v>20211300013933</v>
      </c>
      <c r="F370" s="310">
        <v>44265</v>
      </c>
      <c r="G370" s="478" t="s">
        <v>2647</v>
      </c>
      <c r="H370" s="212" t="s">
        <v>2648</v>
      </c>
      <c r="I370" s="212" t="s">
        <v>210</v>
      </c>
      <c r="J370" s="475">
        <v>23621677</v>
      </c>
      <c r="K370" s="212" t="s">
        <v>138</v>
      </c>
      <c r="L370" s="212" t="s">
        <v>139</v>
      </c>
      <c r="M370" s="212" t="s">
        <v>44</v>
      </c>
      <c r="N370" s="212" t="s">
        <v>45</v>
      </c>
      <c r="O370" s="212" t="s">
        <v>142</v>
      </c>
      <c r="P370" s="212" t="s">
        <v>43</v>
      </c>
      <c r="R370" s="212">
        <v>402</v>
      </c>
      <c r="S370" s="490">
        <v>44266</v>
      </c>
      <c r="T370" s="486" t="s">
        <v>3722</v>
      </c>
      <c r="U370" s="475">
        <v>23621677</v>
      </c>
      <c r="V370" s="406"/>
      <c r="W370" s="362"/>
      <c r="X370" s="483" t="s">
        <v>3723</v>
      </c>
      <c r="Y370" s="484">
        <v>44294</v>
      </c>
      <c r="Z370" s="484">
        <v>44294</v>
      </c>
      <c r="AA370" s="484">
        <v>44416</v>
      </c>
      <c r="AB370" s="485" t="s">
        <v>2650</v>
      </c>
      <c r="AC370" s="483" t="s">
        <v>3724</v>
      </c>
      <c r="AD370" s="485" t="s">
        <v>3725</v>
      </c>
      <c r="AE370" s="486" t="s">
        <v>3726</v>
      </c>
      <c r="AF370" s="473">
        <v>23621676</v>
      </c>
      <c r="AG370" s="474">
        <f t="shared" si="6"/>
        <v>1</v>
      </c>
      <c r="AL370" s="475">
        <v>4527488</v>
      </c>
      <c r="AM370" s="306">
        <v>5905419</v>
      </c>
    </row>
    <row r="371" spans="1:50" ht="15" hidden="1" customHeight="1" x14ac:dyDescent="0.3">
      <c r="B371" s="477" t="s">
        <v>2796</v>
      </c>
      <c r="C371" s="212" t="s">
        <v>3727</v>
      </c>
      <c r="D371" s="478">
        <v>366</v>
      </c>
      <c r="E371" s="478">
        <v>20211300014103</v>
      </c>
      <c r="F371" s="310">
        <v>44265</v>
      </c>
      <c r="G371" s="478" t="s">
        <v>2647</v>
      </c>
      <c r="H371" s="212" t="s">
        <v>2648</v>
      </c>
      <c r="I371" s="212" t="s">
        <v>210</v>
      </c>
      <c r="J371" s="475">
        <v>11411438</v>
      </c>
      <c r="K371" s="212" t="s">
        <v>138</v>
      </c>
      <c r="L371" s="212" t="s">
        <v>139</v>
      </c>
      <c r="M371" s="212" t="s">
        <v>44</v>
      </c>
      <c r="N371" s="212" t="s">
        <v>45</v>
      </c>
      <c r="O371" s="212" t="s">
        <v>142</v>
      </c>
      <c r="P371" s="212" t="s">
        <v>43</v>
      </c>
      <c r="R371" s="212">
        <v>404</v>
      </c>
      <c r="S371" s="490">
        <v>44266</v>
      </c>
      <c r="T371" s="486" t="s">
        <v>3728</v>
      </c>
      <c r="U371" s="475">
        <v>11411438</v>
      </c>
      <c r="V371" s="406"/>
      <c r="W371" s="362"/>
      <c r="X371" s="483" t="s">
        <v>3729</v>
      </c>
      <c r="Y371" s="484">
        <v>44285</v>
      </c>
      <c r="Z371" s="484">
        <v>44287</v>
      </c>
      <c r="AA371" s="484">
        <v>44346</v>
      </c>
      <c r="AB371" s="485" t="s">
        <v>2650</v>
      </c>
      <c r="AC371" s="483" t="s">
        <v>3730</v>
      </c>
      <c r="AD371" s="485" t="s">
        <v>3731</v>
      </c>
      <c r="AE371" s="486" t="s">
        <v>3732</v>
      </c>
      <c r="AF371" s="473">
        <v>11411438</v>
      </c>
      <c r="AG371" s="474">
        <f t="shared" si="6"/>
        <v>0</v>
      </c>
      <c r="AM371" s="306">
        <v>4564574</v>
      </c>
    </row>
    <row r="372" spans="1:50" s="210" customFormat="1" ht="15" hidden="1" customHeight="1" x14ac:dyDescent="0.3">
      <c r="A372" s="476" t="s">
        <v>1954</v>
      </c>
      <c r="B372" s="477">
        <v>69750000</v>
      </c>
      <c r="C372" s="212" t="s">
        <v>2646</v>
      </c>
      <c r="D372" s="309">
        <v>367</v>
      </c>
      <c r="E372" s="309">
        <v>20216000013633</v>
      </c>
      <c r="F372" s="310">
        <v>44265</v>
      </c>
      <c r="G372" s="309" t="s">
        <v>2647</v>
      </c>
      <c r="H372" s="210" t="s">
        <v>2648</v>
      </c>
      <c r="I372" s="210" t="s">
        <v>214</v>
      </c>
      <c r="J372" s="407">
        <v>69750000</v>
      </c>
      <c r="K372" s="210" t="s">
        <v>138</v>
      </c>
      <c r="L372" s="210" t="s">
        <v>139</v>
      </c>
      <c r="M372" s="210" t="s">
        <v>44</v>
      </c>
      <c r="N372" s="210" t="s">
        <v>45</v>
      </c>
      <c r="O372" s="210" t="s">
        <v>142</v>
      </c>
      <c r="P372" s="210" t="s">
        <v>43</v>
      </c>
      <c r="R372" s="210">
        <v>381</v>
      </c>
      <c r="S372" s="320">
        <v>44266</v>
      </c>
      <c r="T372" s="321" t="s">
        <v>3733</v>
      </c>
      <c r="U372" s="475">
        <v>69750000</v>
      </c>
      <c r="V372" s="415"/>
      <c r="W372" s="401"/>
      <c r="X372" s="328" t="s">
        <v>3630</v>
      </c>
      <c r="Y372" s="359">
        <v>44280</v>
      </c>
      <c r="Z372" s="359">
        <v>44280</v>
      </c>
      <c r="AA372" s="359">
        <v>44555</v>
      </c>
      <c r="AB372" s="323" t="s">
        <v>2650</v>
      </c>
      <c r="AC372" s="328" t="s">
        <v>3734</v>
      </c>
      <c r="AD372" s="323" t="s">
        <v>3735</v>
      </c>
      <c r="AE372" s="321" t="s">
        <v>3736</v>
      </c>
      <c r="AF372" s="473">
        <v>69750000</v>
      </c>
      <c r="AG372" s="474">
        <f t="shared" si="6"/>
        <v>0</v>
      </c>
      <c r="AH372" s="407"/>
      <c r="AI372" s="407"/>
      <c r="AJ372" s="475"/>
      <c r="AK372" s="475">
        <v>1550000</v>
      </c>
      <c r="AL372" s="475">
        <v>7750000</v>
      </c>
      <c r="AM372" s="306">
        <v>7750000</v>
      </c>
    </row>
    <row r="373" spans="1:50" ht="15" hidden="1" customHeight="1" x14ac:dyDescent="0.3">
      <c r="A373" s="476" t="s">
        <v>1964</v>
      </c>
      <c r="B373" s="477">
        <v>63000000</v>
      </c>
      <c r="C373" s="212" t="s">
        <v>2646</v>
      </c>
      <c r="D373" s="478">
        <v>368</v>
      </c>
      <c r="E373" s="478">
        <v>20216000013673</v>
      </c>
      <c r="F373" s="310">
        <v>44265</v>
      </c>
      <c r="G373" s="478" t="s">
        <v>2647</v>
      </c>
      <c r="H373" s="212" t="s">
        <v>2648</v>
      </c>
      <c r="I373" s="212" t="s">
        <v>214</v>
      </c>
      <c r="J373" s="475">
        <v>63000000</v>
      </c>
      <c r="K373" s="212" t="s">
        <v>138</v>
      </c>
      <c r="L373" s="212" t="s">
        <v>139</v>
      </c>
      <c r="M373" s="212" t="s">
        <v>44</v>
      </c>
      <c r="N373" s="212" t="s">
        <v>45</v>
      </c>
      <c r="O373" s="212" t="s">
        <v>142</v>
      </c>
      <c r="P373" s="212" t="s">
        <v>43</v>
      </c>
      <c r="R373" s="212">
        <v>389</v>
      </c>
      <c r="S373" s="490">
        <v>44266</v>
      </c>
      <c r="T373" s="486" t="s">
        <v>3737</v>
      </c>
      <c r="U373" s="475">
        <v>63000000</v>
      </c>
      <c r="V373" s="406"/>
      <c r="W373" s="362"/>
      <c r="X373" s="483" t="s">
        <v>3635</v>
      </c>
      <c r="Y373" s="484">
        <v>44280</v>
      </c>
      <c r="Z373" s="484">
        <v>44280</v>
      </c>
      <c r="AA373" s="484">
        <v>44555</v>
      </c>
      <c r="AB373" s="485" t="s">
        <v>2650</v>
      </c>
      <c r="AC373" s="483" t="s">
        <v>3738</v>
      </c>
      <c r="AD373" s="485" t="s">
        <v>3739</v>
      </c>
      <c r="AE373" s="486" t="s">
        <v>3740</v>
      </c>
      <c r="AF373" s="473">
        <v>63000000</v>
      </c>
      <c r="AG373" s="474">
        <f t="shared" si="6"/>
        <v>0</v>
      </c>
      <c r="AK373" s="475">
        <v>1400000</v>
      </c>
      <c r="AL373" s="475">
        <v>7000000</v>
      </c>
      <c r="AM373" s="306">
        <v>7000000</v>
      </c>
    </row>
    <row r="374" spans="1:50" ht="15" hidden="1" customHeight="1" x14ac:dyDescent="0.3">
      <c r="A374" s="476" t="s">
        <v>2335</v>
      </c>
      <c r="B374" s="477">
        <v>55000000</v>
      </c>
      <c r="C374" s="212" t="s">
        <v>2646</v>
      </c>
      <c r="D374" s="478">
        <v>369</v>
      </c>
      <c r="E374" s="478">
        <v>20216000013803</v>
      </c>
      <c r="F374" s="310">
        <v>44265</v>
      </c>
      <c r="G374" s="478" t="s">
        <v>2647</v>
      </c>
      <c r="H374" s="212" t="s">
        <v>2648</v>
      </c>
      <c r="I374" s="212" t="s">
        <v>214</v>
      </c>
      <c r="J374" s="475">
        <v>45000000</v>
      </c>
      <c r="K374" s="212" t="s">
        <v>138</v>
      </c>
      <c r="L374" s="212" t="s">
        <v>139</v>
      </c>
      <c r="M374" s="212" t="s">
        <v>44</v>
      </c>
      <c r="N374" s="212" t="s">
        <v>45</v>
      </c>
      <c r="O374" s="212" t="s">
        <v>142</v>
      </c>
      <c r="P374" s="212" t="s">
        <v>43</v>
      </c>
      <c r="R374" s="212">
        <v>395</v>
      </c>
      <c r="S374" s="490">
        <v>44266</v>
      </c>
      <c r="T374" s="486" t="s">
        <v>3741</v>
      </c>
      <c r="U374" s="475">
        <v>45000000</v>
      </c>
      <c r="V374" s="406"/>
      <c r="W374" s="362"/>
      <c r="X374" s="483" t="s">
        <v>3742</v>
      </c>
      <c r="Y374" s="484">
        <v>44280</v>
      </c>
      <c r="Z374" s="484">
        <v>44280</v>
      </c>
      <c r="AA374" s="484">
        <v>44555</v>
      </c>
      <c r="AB374" s="485" t="s">
        <v>2650</v>
      </c>
      <c r="AC374" s="483" t="s">
        <v>3743</v>
      </c>
      <c r="AD374" s="485" t="s">
        <v>3744</v>
      </c>
      <c r="AE374" s="486" t="s">
        <v>3745</v>
      </c>
      <c r="AF374" s="473">
        <v>45000000</v>
      </c>
      <c r="AG374" s="474">
        <f t="shared" si="6"/>
        <v>0</v>
      </c>
      <c r="AM374" s="212"/>
    </row>
    <row r="375" spans="1:50" s="329" customFormat="1" ht="15" hidden="1" customHeight="1" x14ac:dyDescent="0.3">
      <c r="A375" s="476" t="s">
        <v>2374</v>
      </c>
      <c r="B375" s="477">
        <v>81767340</v>
      </c>
      <c r="C375" s="212" t="s">
        <v>2646</v>
      </c>
      <c r="D375" s="309">
        <v>370</v>
      </c>
      <c r="E375" s="478">
        <v>20217000014643</v>
      </c>
      <c r="F375" s="479">
        <v>44274</v>
      </c>
      <c r="G375" s="478" t="s">
        <v>2647</v>
      </c>
      <c r="H375" s="212" t="s">
        <v>2648</v>
      </c>
      <c r="I375" s="212" t="s">
        <v>164</v>
      </c>
      <c r="J375" s="475">
        <v>73590606</v>
      </c>
      <c r="K375" s="212" t="s">
        <v>138</v>
      </c>
      <c r="L375" s="212" t="s">
        <v>139</v>
      </c>
      <c r="M375" s="212" t="s">
        <v>44</v>
      </c>
      <c r="N375" s="212" t="s">
        <v>45</v>
      </c>
      <c r="O375" s="212" t="s">
        <v>142</v>
      </c>
      <c r="P375" s="212" t="s">
        <v>43</v>
      </c>
      <c r="Q375" s="212"/>
      <c r="R375" s="486">
        <v>466</v>
      </c>
      <c r="S375" s="490">
        <v>44274</v>
      </c>
      <c r="T375" s="486" t="s">
        <v>3746</v>
      </c>
      <c r="U375" s="475">
        <v>73590606</v>
      </c>
      <c r="V375" s="406"/>
      <c r="W375" s="362"/>
      <c r="X375" s="483" t="s">
        <v>3098</v>
      </c>
      <c r="Y375" s="484">
        <v>44280</v>
      </c>
      <c r="Z375" s="484">
        <v>44280</v>
      </c>
      <c r="AA375" s="484">
        <v>44555</v>
      </c>
      <c r="AB375" s="485" t="s">
        <v>2650</v>
      </c>
      <c r="AC375" s="483" t="s">
        <v>3747</v>
      </c>
      <c r="AD375" s="485" t="s">
        <v>3748</v>
      </c>
      <c r="AE375" s="486" t="s">
        <v>3749</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3">
      <c r="A376" s="476" t="s">
        <v>1955</v>
      </c>
      <c r="B376" s="477">
        <v>69750000</v>
      </c>
      <c r="C376" s="212" t="s">
        <v>2646</v>
      </c>
      <c r="D376" s="309">
        <v>371</v>
      </c>
      <c r="E376" s="309">
        <v>20216000013643</v>
      </c>
      <c r="F376" s="310">
        <v>44265</v>
      </c>
      <c r="G376" s="309" t="s">
        <v>2647</v>
      </c>
      <c r="H376" s="210" t="s">
        <v>2648</v>
      </c>
      <c r="I376" s="210" t="s">
        <v>214</v>
      </c>
      <c r="J376" s="407">
        <v>69750000</v>
      </c>
      <c r="K376" s="210" t="s">
        <v>138</v>
      </c>
      <c r="L376" s="210" t="s">
        <v>139</v>
      </c>
      <c r="M376" s="210" t="s">
        <v>44</v>
      </c>
      <c r="N376" s="210" t="s">
        <v>45</v>
      </c>
      <c r="O376" s="210" t="s">
        <v>142</v>
      </c>
      <c r="P376" s="210" t="s">
        <v>43</v>
      </c>
      <c r="R376" s="210">
        <v>382</v>
      </c>
      <c r="S376" s="320">
        <v>44266</v>
      </c>
      <c r="T376" s="493" t="s">
        <v>3750</v>
      </c>
      <c r="U376" s="475">
        <v>69750000</v>
      </c>
      <c r="V376" s="415"/>
      <c r="W376" s="401"/>
      <c r="X376" s="319">
        <v>356</v>
      </c>
      <c r="Y376" s="491">
        <v>44285</v>
      </c>
      <c r="Z376" s="491">
        <v>44256</v>
      </c>
      <c r="AA376" s="491">
        <v>44286</v>
      </c>
      <c r="AB376" s="485" t="s">
        <v>2650</v>
      </c>
      <c r="AC376" s="322">
        <v>259</v>
      </c>
      <c r="AD376" s="492" t="s">
        <v>3751</v>
      </c>
      <c r="AE376" s="493" t="s">
        <v>3752</v>
      </c>
      <c r="AF376" s="473">
        <v>69750000</v>
      </c>
      <c r="AG376" s="474">
        <f t="shared" si="6"/>
        <v>0</v>
      </c>
      <c r="AH376" s="407"/>
      <c r="AI376" s="407"/>
      <c r="AJ376" s="475"/>
      <c r="AK376" s="475"/>
      <c r="AL376" s="475">
        <v>7750000</v>
      </c>
      <c r="AM376" s="306">
        <v>7750000</v>
      </c>
    </row>
    <row r="377" spans="1:50" ht="15" hidden="1" customHeight="1" x14ac:dyDescent="0.3">
      <c r="A377" s="476" t="s">
        <v>1956</v>
      </c>
      <c r="B377" s="477">
        <v>69750000</v>
      </c>
      <c r="C377" s="212" t="s">
        <v>2646</v>
      </c>
      <c r="D377" s="478">
        <v>372</v>
      </c>
      <c r="E377" s="478">
        <v>20216000013653</v>
      </c>
      <c r="F377" s="310">
        <v>44265</v>
      </c>
      <c r="G377" s="478" t="s">
        <v>2647</v>
      </c>
      <c r="H377" s="212" t="s">
        <v>2648</v>
      </c>
      <c r="I377" s="212" t="s">
        <v>214</v>
      </c>
      <c r="J377" s="475">
        <v>69750000</v>
      </c>
      <c r="K377" s="212" t="s">
        <v>138</v>
      </c>
      <c r="L377" s="212" t="s">
        <v>139</v>
      </c>
      <c r="M377" s="212" t="s">
        <v>44</v>
      </c>
      <c r="N377" s="212" t="s">
        <v>45</v>
      </c>
      <c r="O377" s="212" t="s">
        <v>142</v>
      </c>
      <c r="P377" s="212" t="s">
        <v>43</v>
      </c>
      <c r="R377" s="212">
        <v>383</v>
      </c>
      <c r="S377" s="490">
        <v>44266</v>
      </c>
      <c r="T377" s="486" t="s">
        <v>3753</v>
      </c>
      <c r="U377" s="475">
        <v>69750000</v>
      </c>
      <c r="V377" s="406"/>
      <c r="W377" s="362"/>
      <c r="X377" s="483" t="s">
        <v>3754</v>
      </c>
      <c r="Y377" s="484">
        <v>44286</v>
      </c>
      <c r="Z377" s="484">
        <v>44286</v>
      </c>
      <c r="AA377" s="484">
        <v>44561</v>
      </c>
      <c r="AB377" s="485" t="s">
        <v>2650</v>
      </c>
      <c r="AC377" s="483" t="s">
        <v>3755</v>
      </c>
      <c r="AD377" s="485" t="s">
        <v>3756</v>
      </c>
      <c r="AE377" s="486" t="s">
        <v>3757</v>
      </c>
      <c r="AF377" s="473">
        <v>69750000</v>
      </c>
      <c r="AG377" s="474">
        <f t="shared" si="6"/>
        <v>0</v>
      </c>
      <c r="AL377" s="475">
        <v>7750000</v>
      </c>
      <c r="AM377" s="306">
        <v>7750000</v>
      </c>
    </row>
    <row r="378" spans="1:50" ht="15" hidden="1" customHeight="1" x14ac:dyDescent="0.3">
      <c r="A378" s="476" t="s">
        <v>1958</v>
      </c>
      <c r="B378" s="477">
        <v>69750000</v>
      </c>
      <c r="C378" s="212" t="s">
        <v>2646</v>
      </c>
      <c r="D378" s="478">
        <v>373</v>
      </c>
      <c r="E378" s="478">
        <v>20216000013663</v>
      </c>
      <c r="F378" s="310">
        <v>44265</v>
      </c>
      <c r="G378" s="478" t="s">
        <v>2647</v>
      </c>
      <c r="H378" s="212" t="s">
        <v>2648</v>
      </c>
      <c r="I378" s="212" t="s">
        <v>214</v>
      </c>
      <c r="J378" s="475">
        <v>69750000</v>
      </c>
      <c r="K378" s="212" t="s">
        <v>138</v>
      </c>
      <c r="L378" s="212" t="s">
        <v>139</v>
      </c>
      <c r="M378" s="212" t="s">
        <v>44</v>
      </c>
      <c r="N378" s="212" t="s">
        <v>45</v>
      </c>
      <c r="O378" s="212" t="s">
        <v>142</v>
      </c>
      <c r="P378" s="212" t="s">
        <v>43</v>
      </c>
      <c r="R378" s="212">
        <v>388</v>
      </c>
      <c r="S378" s="490">
        <v>44266</v>
      </c>
      <c r="T378" s="486" t="s">
        <v>3758</v>
      </c>
      <c r="U378" s="475">
        <v>69750000</v>
      </c>
      <c r="V378" s="406"/>
      <c r="W378" s="362"/>
      <c r="X378" s="483" t="s">
        <v>3759</v>
      </c>
      <c r="Y378" s="484">
        <v>44340</v>
      </c>
      <c r="Z378" s="484">
        <v>44340</v>
      </c>
      <c r="AA378" s="484">
        <v>44553</v>
      </c>
      <c r="AB378" s="486" t="s">
        <v>2650</v>
      </c>
      <c r="AC378" s="483" t="s">
        <v>3619</v>
      </c>
      <c r="AD378" s="486" t="s">
        <v>3760</v>
      </c>
      <c r="AE378" s="486" t="s">
        <v>3761</v>
      </c>
      <c r="AF378" s="473">
        <v>54250000</v>
      </c>
      <c r="AG378" s="474">
        <f t="shared" si="6"/>
        <v>15500000</v>
      </c>
      <c r="AM378" s="212"/>
    </row>
    <row r="379" spans="1:50" ht="15" hidden="1" customHeight="1" x14ac:dyDescent="0.3">
      <c r="A379" s="466" t="s">
        <v>2018</v>
      </c>
      <c r="B379" s="467">
        <v>32706936</v>
      </c>
      <c r="C379" s="212" t="s">
        <v>2646</v>
      </c>
      <c r="D379" s="469">
        <v>374</v>
      </c>
      <c r="E379" s="469">
        <v>20217000015253</v>
      </c>
      <c r="F379" s="470">
        <v>44271</v>
      </c>
      <c r="G379" s="469" t="s">
        <v>2647</v>
      </c>
      <c r="H379" s="468" t="s">
        <v>2648</v>
      </c>
      <c r="I379" s="468" t="s">
        <v>164</v>
      </c>
      <c r="J379" s="471">
        <v>13809592</v>
      </c>
      <c r="K379" s="468" t="s">
        <v>138</v>
      </c>
      <c r="L379" s="468" t="s">
        <v>139</v>
      </c>
      <c r="M379" s="468" t="s">
        <v>44</v>
      </c>
      <c r="N379" s="468" t="s">
        <v>45</v>
      </c>
      <c r="O379" s="468" t="s">
        <v>142</v>
      </c>
      <c r="P379" s="468" t="s">
        <v>43</v>
      </c>
      <c r="Q379" s="468"/>
      <c r="R379" s="529">
        <v>446</v>
      </c>
      <c r="S379" s="528">
        <v>44272</v>
      </c>
      <c r="T379" s="529" t="s">
        <v>3762</v>
      </c>
      <c r="U379" s="471">
        <v>13809592</v>
      </c>
      <c r="V379" s="414"/>
      <c r="W379" s="379"/>
      <c r="X379" s="483" t="s">
        <v>3763</v>
      </c>
      <c r="Y379" s="484">
        <v>44280</v>
      </c>
      <c r="Z379" s="484">
        <v>44280</v>
      </c>
      <c r="AA379" s="484">
        <v>44402</v>
      </c>
      <c r="AB379" s="485" t="s">
        <v>2650</v>
      </c>
      <c r="AC379" s="483" t="s">
        <v>3764</v>
      </c>
      <c r="AD379" s="485" t="s">
        <v>3765</v>
      </c>
      <c r="AE379" s="486" t="s">
        <v>3766</v>
      </c>
      <c r="AF379" s="473">
        <v>13809592</v>
      </c>
      <c r="AG379" s="474">
        <f t="shared" si="6"/>
        <v>0</v>
      </c>
      <c r="AI379" s="471"/>
      <c r="AJ379" s="471"/>
      <c r="AK379" s="471"/>
      <c r="AL379" s="471">
        <v>4027798</v>
      </c>
      <c r="AM379" s="306">
        <v>3452398</v>
      </c>
    </row>
    <row r="380" spans="1:50" ht="15" hidden="1" customHeight="1" x14ac:dyDescent="0.3">
      <c r="A380" s="476" t="s">
        <v>2468</v>
      </c>
      <c r="B380" s="477">
        <v>26100000</v>
      </c>
      <c r="C380" s="212" t="s">
        <v>2646</v>
      </c>
      <c r="D380" s="478">
        <v>375</v>
      </c>
      <c r="E380" s="478">
        <v>20216000013693</v>
      </c>
      <c r="F380" s="310">
        <v>44265</v>
      </c>
      <c r="G380" s="478" t="s">
        <v>2647</v>
      </c>
      <c r="H380" s="212" t="s">
        <v>2648</v>
      </c>
      <c r="I380" s="212" t="s">
        <v>214</v>
      </c>
      <c r="J380" s="475">
        <v>26100000</v>
      </c>
      <c r="K380" s="212" t="s">
        <v>138</v>
      </c>
      <c r="L380" s="212" t="s">
        <v>139</v>
      </c>
      <c r="M380" s="212" t="s">
        <v>44</v>
      </c>
      <c r="N380" s="212" t="s">
        <v>45</v>
      </c>
      <c r="O380" s="212" t="s">
        <v>142</v>
      </c>
      <c r="P380" s="212" t="s">
        <v>43</v>
      </c>
      <c r="R380" s="212">
        <v>390</v>
      </c>
      <c r="S380" s="490">
        <v>44266</v>
      </c>
      <c r="T380" s="486" t="s">
        <v>3767</v>
      </c>
      <c r="U380" s="475">
        <v>26100000</v>
      </c>
      <c r="V380" s="406"/>
      <c r="W380" s="362"/>
      <c r="X380" s="483" t="s">
        <v>3768</v>
      </c>
      <c r="Y380" s="484">
        <v>44295</v>
      </c>
      <c r="Z380" s="484">
        <v>44295</v>
      </c>
      <c r="AA380" s="484">
        <v>44550</v>
      </c>
      <c r="AB380" s="485" t="s">
        <v>2650</v>
      </c>
      <c r="AC380" s="483" t="s">
        <v>3565</v>
      </c>
      <c r="AD380" s="485" t="s">
        <v>3769</v>
      </c>
      <c r="AE380" s="486" t="s">
        <v>3770</v>
      </c>
      <c r="AF380" s="473">
        <v>23167413</v>
      </c>
      <c r="AG380" s="474">
        <f t="shared" si="6"/>
        <v>2932587</v>
      </c>
      <c r="AL380" s="475">
        <v>1998757</v>
      </c>
      <c r="AM380" s="306">
        <v>2725578</v>
      </c>
    </row>
    <row r="381" spans="1:50" ht="15" hidden="1" customHeight="1" x14ac:dyDescent="0.3">
      <c r="A381" s="476" t="s">
        <v>1967</v>
      </c>
      <c r="B381" s="477">
        <v>55800000</v>
      </c>
      <c r="C381" s="212" t="s">
        <v>2646</v>
      </c>
      <c r="D381" s="478">
        <v>376</v>
      </c>
      <c r="E381" s="478">
        <v>20216000013703</v>
      </c>
      <c r="F381" s="310">
        <v>44265</v>
      </c>
      <c r="G381" s="478" t="s">
        <v>2647</v>
      </c>
      <c r="H381" s="212" t="s">
        <v>2648</v>
      </c>
      <c r="I381" s="212" t="s">
        <v>214</v>
      </c>
      <c r="J381" s="475">
        <v>55800000</v>
      </c>
      <c r="K381" s="212" t="s">
        <v>138</v>
      </c>
      <c r="L381" s="212" t="s">
        <v>139</v>
      </c>
      <c r="M381" s="212" t="s">
        <v>44</v>
      </c>
      <c r="N381" s="212" t="s">
        <v>45</v>
      </c>
      <c r="O381" s="212" t="s">
        <v>142</v>
      </c>
      <c r="P381" s="212" t="s">
        <v>43</v>
      </c>
      <c r="R381" s="212">
        <v>391</v>
      </c>
      <c r="S381" s="490">
        <v>44266</v>
      </c>
      <c r="T381" s="486" t="s">
        <v>3771</v>
      </c>
      <c r="U381" s="475">
        <v>55800000</v>
      </c>
      <c r="V381" s="406"/>
      <c r="W381" s="362"/>
      <c r="X381" s="211" t="s">
        <v>3772</v>
      </c>
      <c r="Y381" s="472">
        <v>44300</v>
      </c>
      <c r="Z381" s="472">
        <v>44300</v>
      </c>
      <c r="AA381" s="472">
        <v>44561</v>
      </c>
      <c r="AB381" s="2" t="s">
        <v>2650</v>
      </c>
      <c r="AC381" s="211" t="s">
        <v>3773</v>
      </c>
      <c r="AD381" s="2" t="s">
        <v>3774</v>
      </c>
      <c r="AE381" s="212" t="s">
        <v>3775</v>
      </c>
      <c r="AF381" s="473">
        <v>42466000</v>
      </c>
      <c r="AG381" s="474">
        <f t="shared" si="6"/>
        <v>13334000</v>
      </c>
      <c r="AL381" s="475">
        <v>2831067</v>
      </c>
      <c r="AM381" s="306">
        <v>4996000</v>
      </c>
    </row>
    <row r="382" spans="1:50" ht="15" hidden="1" customHeight="1" x14ac:dyDescent="0.3">
      <c r="A382" s="476" t="s">
        <v>1968</v>
      </c>
      <c r="B382" s="477">
        <v>60300000</v>
      </c>
      <c r="C382" s="212" t="s">
        <v>2646</v>
      </c>
      <c r="D382" s="478">
        <v>377</v>
      </c>
      <c r="E382" s="478">
        <v>20216000013713</v>
      </c>
      <c r="F382" s="310">
        <v>44265</v>
      </c>
      <c r="G382" s="478" t="s">
        <v>2647</v>
      </c>
      <c r="H382" s="212" t="s">
        <v>2648</v>
      </c>
      <c r="I382" s="212" t="s">
        <v>214</v>
      </c>
      <c r="J382" s="475">
        <v>60300000</v>
      </c>
      <c r="K382" s="212" t="s">
        <v>138</v>
      </c>
      <c r="L382" s="212" t="s">
        <v>139</v>
      </c>
      <c r="M382" s="212" t="s">
        <v>44</v>
      </c>
      <c r="N382" s="212" t="s">
        <v>45</v>
      </c>
      <c r="O382" s="212" t="s">
        <v>142</v>
      </c>
      <c r="P382" s="212" t="s">
        <v>43</v>
      </c>
      <c r="R382" s="212">
        <v>384</v>
      </c>
      <c r="S382" s="490">
        <v>44266</v>
      </c>
      <c r="T382" s="486" t="s">
        <v>3776</v>
      </c>
      <c r="U382" s="475">
        <v>60300000</v>
      </c>
      <c r="V382" s="406"/>
      <c r="W382" s="362"/>
      <c r="X382" s="483" t="s">
        <v>3777</v>
      </c>
      <c r="Y382" s="484">
        <v>44299</v>
      </c>
      <c r="Z382" s="484">
        <v>44299</v>
      </c>
      <c r="AA382" s="484">
        <v>44561</v>
      </c>
      <c r="AB382" s="485" t="s">
        <v>2650</v>
      </c>
      <c r="AC382" s="483" t="s">
        <v>3778</v>
      </c>
      <c r="AD382" s="485" t="s">
        <v>3779</v>
      </c>
      <c r="AE382" s="486" t="s">
        <v>3780</v>
      </c>
      <c r="AF382" s="473">
        <v>58045650</v>
      </c>
      <c r="AG382" s="474">
        <f t="shared" si="6"/>
        <v>2254350</v>
      </c>
      <c r="AL382" s="475">
        <v>4097340</v>
      </c>
      <c r="AM382" s="306">
        <v>6828900</v>
      </c>
    </row>
    <row r="383" spans="1:50" ht="15" hidden="1" customHeight="1" x14ac:dyDescent="0.3">
      <c r="A383" s="476" t="s">
        <v>2169</v>
      </c>
      <c r="B383" s="477">
        <v>40700000</v>
      </c>
      <c r="C383" s="212" t="s">
        <v>2646</v>
      </c>
      <c r="D383" s="478">
        <v>378</v>
      </c>
      <c r="E383" s="478">
        <v>20215000002843</v>
      </c>
      <c r="F383" s="479">
        <v>44225</v>
      </c>
      <c r="G383" s="478" t="s">
        <v>2640</v>
      </c>
      <c r="H383" s="212" t="s">
        <v>2641</v>
      </c>
      <c r="I383" s="212" t="s">
        <v>228</v>
      </c>
      <c r="J383" s="475">
        <v>40700000</v>
      </c>
      <c r="K383" s="212" t="s">
        <v>223</v>
      </c>
      <c r="L383" s="212" t="s">
        <v>236</v>
      </c>
      <c r="M383" s="212" t="s">
        <v>44</v>
      </c>
      <c r="N383" s="212" t="s">
        <v>45</v>
      </c>
      <c r="O383" s="212" t="s">
        <v>63</v>
      </c>
      <c r="P383" s="212" t="s">
        <v>674</v>
      </c>
      <c r="R383" s="212">
        <v>126</v>
      </c>
      <c r="S383" s="479">
        <v>44225</v>
      </c>
      <c r="T383" s="212" t="s">
        <v>3781</v>
      </c>
      <c r="U383" s="475">
        <f>40700000-13700000</f>
        <v>27000000</v>
      </c>
      <c r="V383" s="406">
        <v>13700000</v>
      </c>
      <c r="W383" s="362"/>
      <c r="X383" s="483" t="s">
        <v>3782</v>
      </c>
      <c r="Y383" s="484">
        <v>44280</v>
      </c>
      <c r="Z383" s="484">
        <v>44280</v>
      </c>
      <c r="AA383" s="484">
        <v>44555</v>
      </c>
      <c r="AB383" s="485" t="s">
        <v>2650</v>
      </c>
      <c r="AC383" s="483" t="s">
        <v>3783</v>
      </c>
      <c r="AD383" s="485" t="s">
        <v>3784</v>
      </c>
      <c r="AE383" s="486" t="s">
        <v>3785</v>
      </c>
      <c r="AF383" s="473">
        <v>27000000</v>
      </c>
      <c r="AG383" s="474">
        <f t="shared" si="6"/>
        <v>0</v>
      </c>
      <c r="AL383" s="475">
        <v>3600000</v>
      </c>
      <c r="AM383" s="306">
        <v>3000000</v>
      </c>
    </row>
    <row r="384" spans="1:50" ht="15" hidden="1" customHeight="1" x14ac:dyDescent="0.3">
      <c r="A384" s="476" t="s">
        <v>2332</v>
      </c>
      <c r="B384" s="477">
        <v>36000000</v>
      </c>
      <c r="C384" s="212" t="s">
        <v>2646</v>
      </c>
      <c r="D384" s="478">
        <v>379</v>
      </c>
      <c r="E384" s="478">
        <v>20216000013753</v>
      </c>
      <c r="F384" s="310">
        <v>44265</v>
      </c>
      <c r="G384" s="478" t="s">
        <v>2647</v>
      </c>
      <c r="H384" s="212" t="s">
        <v>2648</v>
      </c>
      <c r="I384" s="212" t="s">
        <v>214</v>
      </c>
      <c r="J384" s="475">
        <v>36000000</v>
      </c>
      <c r="K384" s="212" t="s">
        <v>138</v>
      </c>
      <c r="L384" s="212" t="s">
        <v>139</v>
      </c>
      <c r="M384" s="212" t="s">
        <v>44</v>
      </c>
      <c r="N384" s="212" t="s">
        <v>45</v>
      </c>
      <c r="O384" s="212" t="s">
        <v>142</v>
      </c>
      <c r="P384" s="212" t="s">
        <v>43</v>
      </c>
      <c r="R384" s="212">
        <v>387</v>
      </c>
      <c r="S384" s="490">
        <v>44266</v>
      </c>
      <c r="T384" s="486" t="s">
        <v>3786</v>
      </c>
      <c r="U384" s="475">
        <v>36000000</v>
      </c>
      <c r="V384" s="406"/>
      <c r="W384" s="362"/>
      <c r="X384" s="483" t="s">
        <v>3787</v>
      </c>
      <c r="Y384" s="484">
        <v>44286</v>
      </c>
      <c r="Z384" s="484">
        <v>44286</v>
      </c>
      <c r="AA384" s="484">
        <v>44555</v>
      </c>
      <c r="AB384" s="485" t="s">
        <v>2650</v>
      </c>
      <c r="AC384" s="483" t="s">
        <v>3386</v>
      </c>
      <c r="AD384" s="485" t="s">
        <v>3788</v>
      </c>
      <c r="AE384" s="486" t="s">
        <v>3789</v>
      </c>
      <c r="AF384" s="473">
        <v>35333333</v>
      </c>
      <c r="AG384" s="474">
        <f t="shared" si="6"/>
        <v>666667</v>
      </c>
      <c r="AL384" s="475">
        <v>3466667</v>
      </c>
      <c r="AM384" s="306">
        <v>4000000</v>
      </c>
    </row>
    <row r="385" spans="1:39" hidden="1" x14ac:dyDescent="0.3">
      <c r="A385" s="476" t="s">
        <v>2435</v>
      </c>
      <c r="B385" s="477">
        <v>36000000</v>
      </c>
      <c r="C385" s="212" t="s">
        <v>2646</v>
      </c>
      <c r="D385" s="478">
        <v>380</v>
      </c>
      <c r="E385" s="478">
        <v>20215000012063</v>
      </c>
      <c r="F385" s="479">
        <v>44264</v>
      </c>
      <c r="G385" s="478" t="s">
        <v>2640</v>
      </c>
      <c r="H385" s="212" t="s">
        <v>2641</v>
      </c>
      <c r="I385" s="212" t="s">
        <v>228</v>
      </c>
      <c r="J385" s="475">
        <v>36000000</v>
      </c>
      <c r="K385" s="212" t="s">
        <v>223</v>
      </c>
      <c r="L385" s="212" t="s">
        <v>2758</v>
      </c>
      <c r="M385" s="212" t="s">
        <v>44</v>
      </c>
      <c r="N385" s="212" t="s">
        <v>45</v>
      </c>
      <c r="O385" s="212" t="s">
        <v>63</v>
      </c>
      <c r="P385" s="212" t="s">
        <v>674</v>
      </c>
      <c r="R385" s="212">
        <v>350</v>
      </c>
      <c r="S385" s="490">
        <v>44264</v>
      </c>
      <c r="T385" s="486" t="s">
        <v>3790</v>
      </c>
      <c r="U385" s="475">
        <f>36000000-9000000</f>
        <v>27000000</v>
      </c>
      <c r="V385" s="406">
        <v>9000000</v>
      </c>
      <c r="W385" s="362"/>
      <c r="X385" s="483" t="s">
        <v>3562</v>
      </c>
      <c r="Y385" s="484">
        <v>44280</v>
      </c>
      <c r="Z385" s="484">
        <v>44280</v>
      </c>
      <c r="AA385" s="484">
        <v>44555</v>
      </c>
      <c r="AB385" s="485" t="s">
        <v>2650</v>
      </c>
      <c r="AC385" s="483" t="s">
        <v>3791</v>
      </c>
      <c r="AD385" s="485" t="s">
        <v>3792</v>
      </c>
      <c r="AE385" s="486" t="s">
        <v>3793</v>
      </c>
      <c r="AF385" s="473">
        <v>27000000</v>
      </c>
      <c r="AG385" s="474">
        <f t="shared" si="6"/>
        <v>0</v>
      </c>
      <c r="AL385" s="475">
        <v>3600000</v>
      </c>
      <c r="AM385" s="306">
        <v>3000000</v>
      </c>
    </row>
    <row r="386" spans="1:39" hidden="1" x14ac:dyDescent="0.3">
      <c r="A386" s="476" t="s">
        <v>2334</v>
      </c>
      <c r="B386" s="477">
        <v>45000000</v>
      </c>
      <c r="C386" s="212" t="s">
        <v>2646</v>
      </c>
      <c r="D386" s="478">
        <v>381</v>
      </c>
      <c r="E386" s="478">
        <v>20216000013773</v>
      </c>
      <c r="F386" s="310">
        <v>44265</v>
      </c>
      <c r="G386" s="478" t="s">
        <v>2647</v>
      </c>
      <c r="H386" s="212" t="s">
        <v>2648</v>
      </c>
      <c r="I386" s="212" t="s">
        <v>214</v>
      </c>
      <c r="J386" s="475">
        <v>45000000</v>
      </c>
      <c r="K386" s="212" t="s">
        <v>138</v>
      </c>
      <c r="L386" s="212" t="s">
        <v>139</v>
      </c>
      <c r="M386" s="212" t="s">
        <v>44</v>
      </c>
      <c r="N386" s="212" t="s">
        <v>45</v>
      </c>
      <c r="O386" s="212" t="s">
        <v>142</v>
      </c>
      <c r="P386" s="212" t="s">
        <v>43</v>
      </c>
      <c r="R386" s="212">
        <v>393</v>
      </c>
      <c r="S386" s="490">
        <v>44266</v>
      </c>
      <c r="T386" s="486" t="s">
        <v>3794</v>
      </c>
      <c r="U386" s="475">
        <v>45000000</v>
      </c>
      <c r="V386" s="406"/>
      <c r="W386" s="362"/>
      <c r="X386" s="483" t="s">
        <v>3547</v>
      </c>
      <c r="Y386" s="484">
        <v>44294</v>
      </c>
      <c r="Z386" s="484">
        <v>44294</v>
      </c>
      <c r="AA386" s="484">
        <v>44550</v>
      </c>
      <c r="AB386" s="485" t="s">
        <v>2650</v>
      </c>
      <c r="AC386" s="483" t="s">
        <v>3542</v>
      </c>
      <c r="AD386" s="485" t="s">
        <v>3795</v>
      </c>
      <c r="AE386" s="486" t="s">
        <v>3796</v>
      </c>
      <c r="AF386" s="473">
        <v>42473590</v>
      </c>
      <c r="AG386" s="474">
        <f t="shared" si="6"/>
        <v>2526410</v>
      </c>
      <c r="AL386" s="475">
        <v>3830951</v>
      </c>
      <c r="AM386" s="306">
        <v>4996893</v>
      </c>
    </row>
    <row r="387" spans="1:39" hidden="1" x14ac:dyDescent="0.3">
      <c r="A387" s="476" t="s">
        <v>1829</v>
      </c>
      <c r="B387" s="477">
        <v>69600000</v>
      </c>
      <c r="C387" s="212" t="s">
        <v>2646</v>
      </c>
      <c r="D387" s="478">
        <v>382</v>
      </c>
      <c r="E387" s="478">
        <v>20213000014923</v>
      </c>
      <c r="F387" s="479">
        <v>44272</v>
      </c>
      <c r="G387" s="478" t="s">
        <v>2640</v>
      </c>
      <c r="H387" s="212" t="s">
        <v>2641</v>
      </c>
      <c r="I387" s="212" t="s">
        <v>432</v>
      </c>
      <c r="J387" s="475">
        <v>62400000</v>
      </c>
      <c r="K387" s="212" t="s">
        <v>342</v>
      </c>
      <c r="L387" s="212" t="s">
        <v>351</v>
      </c>
      <c r="M387" s="212" t="s">
        <v>44</v>
      </c>
      <c r="N387" s="212" t="s">
        <v>45</v>
      </c>
      <c r="O387" s="212" t="s">
        <v>63</v>
      </c>
      <c r="P387" s="212" t="s">
        <v>674</v>
      </c>
      <c r="R387" s="486">
        <v>451</v>
      </c>
      <c r="S387" s="490">
        <v>44272</v>
      </c>
      <c r="T387" s="486" t="s">
        <v>3797</v>
      </c>
      <c r="U387" s="475">
        <v>62400000</v>
      </c>
      <c r="V387" s="406"/>
      <c r="W387" s="362"/>
      <c r="X387" s="483" t="s">
        <v>3595</v>
      </c>
      <c r="Y387" s="484">
        <v>44280</v>
      </c>
      <c r="Z387" s="484">
        <v>44280</v>
      </c>
      <c r="AA387" s="484">
        <v>44464</v>
      </c>
      <c r="AB387" s="485" t="s">
        <v>2650</v>
      </c>
      <c r="AC387" s="483" t="s">
        <v>3798</v>
      </c>
      <c r="AD387" s="485" t="s">
        <v>3799</v>
      </c>
      <c r="AE387" s="486" t="s">
        <v>2793</v>
      </c>
      <c r="AF387" s="473">
        <v>62400000</v>
      </c>
      <c r="AG387" s="474">
        <f t="shared" si="6"/>
        <v>0</v>
      </c>
      <c r="AK387" s="475">
        <v>1733333</v>
      </c>
      <c r="AL387" s="475">
        <v>10400000</v>
      </c>
      <c r="AM387" s="306">
        <v>10400000</v>
      </c>
    </row>
    <row r="388" spans="1:39" hidden="1" x14ac:dyDescent="0.3">
      <c r="A388" s="476" t="s">
        <v>2336</v>
      </c>
      <c r="B388" s="477">
        <v>36000000</v>
      </c>
      <c r="C388" s="212" t="s">
        <v>2646</v>
      </c>
      <c r="D388" s="478">
        <v>383</v>
      </c>
      <c r="E388" s="478">
        <v>20216000013783</v>
      </c>
      <c r="F388" s="310">
        <v>44265</v>
      </c>
      <c r="G388" s="478" t="s">
        <v>2647</v>
      </c>
      <c r="H388" s="212" t="s">
        <v>2648</v>
      </c>
      <c r="I388" s="212" t="s">
        <v>214</v>
      </c>
      <c r="J388" s="475">
        <v>36000000</v>
      </c>
      <c r="K388" s="212" t="s">
        <v>138</v>
      </c>
      <c r="L388" s="212" t="s">
        <v>139</v>
      </c>
      <c r="M388" s="212" t="s">
        <v>44</v>
      </c>
      <c r="N388" s="212" t="s">
        <v>45</v>
      </c>
      <c r="O388" s="212" t="s">
        <v>142</v>
      </c>
      <c r="P388" s="212" t="s">
        <v>43</v>
      </c>
      <c r="R388" s="212">
        <v>394</v>
      </c>
      <c r="S388" s="490">
        <v>44266</v>
      </c>
      <c r="T388" s="486" t="s">
        <v>3800</v>
      </c>
      <c r="U388" s="475">
        <v>36000000</v>
      </c>
      <c r="V388" s="406"/>
      <c r="W388" s="362"/>
      <c r="X388" s="308">
        <v>302</v>
      </c>
      <c r="Y388" s="491">
        <v>44279</v>
      </c>
      <c r="Z388" s="491">
        <v>44256</v>
      </c>
      <c r="AA388" s="491">
        <v>44286</v>
      </c>
      <c r="AB388" s="485" t="s">
        <v>2650</v>
      </c>
      <c r="AC388" s="211">
        <v>213</v>
      </c>
      <c r="AD388" s="492" t="s">
        <v>3801</v>
      </c>
      <c r="AE388" s="493" t="s">
        <v>3802</v>
      </c>
      <c r="AF388" s="473">
        <v>36000000</v>
      </c>
      <c r="AG388" s="474">
        <f t="shared" si="6"/>
        <v>0</v>
      </c>
      <c r="AK388" s="475">
        <v>933333</v>
      </c>
      <c r="AL388" s="475">
        <v>4000000</v>
      </c>
      <c r="AM388" s="306">
        <v>4000000</v>
      </c>
    </row>
    <row r="389" spans="1:39" hidden="1" x14ac:dyDescent="0.3">
      <c r="A389" s="476" t="s">
        <v>2340</v>
      </c>
      <c r="B389" s="477">
        <v>24300000</v>
      </c>
      <c r="C389" s="212" t="s">
        <v>2646</v>
      </c>
      <c r="D389" s="478">
        <v>384</v>
      </c>
      <c r="E389" s="478">
        <v>20216000013823</v>
      </c>
      <c r="F389" s="310">
        <v>44265</v>
      </c>
      <c r="G389" s="478" t="s">
        <v>2647</v>
      </c>
      <c r="H389" s="212" t="s">
        <v>2648</v>
      </c>
      <c r="I389" s="212" t="s">
        <v>214</v>
      </c>
      <c r="J389" s="475">
        <v>24300000</v>
      </c>
      <c r="K389" s="212" t="s">
        <v>138</v>
      </c>
      <c r="L389" s="212" t="s">
        <v>139</v>
      </c>
      <c r="M389" s="212" t="s">
        <v>44</v>
      </c>
      <c r="N389" s="212" t="s">
        <v>45</v>
      </c>
      <c r="O389" s="212" t="s">
        <v>142</v>
      </c>
      <c r="P389" s="212" t="s">
        <v>43</v>
      </c>
      <c r="R389" s="212">
        <v>396</v>
      </c>
      <c r="S389" s="490">
        <v>44266</v>
      </c>
      <c r="T389" s="486" t="s">
        <v>3803</v>
      </c>
      <c r="U389" s="475">
        <v>24300000</v>
      </c>
      <c r="V389" s="406"/>
      <c r="W389" s="362"/>
      <c r="X389" s="483" t="s">
        <v>3804</v>
      </c>
      <c r="Y389" s="484">
        <v>44285</v>
      </c>
      <c r="Z389" s="484">
        <v>44285</v>
      </c>
      <c r="AA389" s="484">
        <v>44560</v>
      </c>
      <c r="AB389" s="485" t="s">
        <v>2650</v>
      </c>
      <c r="AC389" s="483" t="s">
        <v>3805</v>
      </c>
      <c r="AD389" s="485" t="s">
        <v>3806</v>
      </c>
      <c r="AE389" s="486" t="s">
        <v>3807</v>
      </c>
      <c r="AF389" s="473">
        <v>24300000</v>
      </c>
      <c r="AG389" s="474">
        <f t="shared" si="6"/>
        <v>0</v>
      </c>
      <c r="AL389" s="475">
        <v>2790000</v>
      </c>
      <c r="AM389" s="306">
        <v>2700000</v>
      </c>
    </row>
    <row r="390" spans="1:39" hidden="1" x14ac:dyDescent="0.3">
      <c r="A390" s="476" t="s">
        <v>2344</v>
      </c>
      <c r="B390" s="477">
        <v>46350000</v>
      </c>
      <c r="C390" s="212" t="s">
        <v>2646</v>
      </c>
      <c r="D390" s="478">
        <v>385</v>
      </c>
      <c r="E390" s="478">
        <v>20216000013843</v>
      </c>
      <c r="F390" s="310">
        <v>44265</v>
      </c>
      <c r="G390" s="478" t="s">
        <v>2647</v>
      </c>
      <c r="H390" s="212" t="s">
        <v>2648</v>
      </c>
      <c r="I390" s="212" t="s">
        <v>214</v>
      </c>
      <c r="J390" s="475">
        <v>46350000</v>
      </c>
      <c r="K390" s="212" t="s">
        <v>138</v>
      </c>
      <c r="L390" s="212" t="s">
        <v>139</v>
      </c>
      <c r="M390" s="212" t="s">
        <v>44</v>
      </c>
      <c r="N390" s="212" t="s">
        <v>45</v>
      </c>
      <c r="O390" s="212" t="s">
        <v>142</v>
      </c>
      <c r="P390" s="212" t="s">
        <v>43</v>
      </c>
      <c r="R390" s="212">
        <v>397</v>
      </c>
      <c r="S390" s="490">
        <v>44266</v>
      </c>
      <c r="T390" s="486" t="s">
        <v>3808</v>
      </c>
      <c r="U390" s="475">
        <v>46350000</v>
      </c>
      <c r="V390" s="406"/>
      <c r="W390" s="362"/>
      <c r="X390" s="483" t="s">
        <v>3809</v>
      </c>
      <c r="Y390" s="484">
        <v>44285</v>
      </c>
      <c r="Z390" s="484">
        <v>44285</v>
      </c>
      <c r="AA390" s="484">
        <v>44560</v>
      </c>
      <c r="AB390" s="485" t="s">
        <v>2650</v>
      </c>
      <c r="AC390" s="483" t="s">
        <v>3810</v>
      </c>
      <c r="AD390" s="485" t="s">
        <v>3811</v>
      </c>
      <c r="AE390" s="486" t="s">
        <v>3812</v>
      </c>
      <c r="AF390" s="473">
        <v>46350000</v>
      </c>
      <c r="AG390" s="474">
        <f t="shared" si="6"/>
        <v>0</v>
      </c>
      <c r="AM390" s="306">
        <f>6351667+4120000</f>
        <v>10471667</v>
      </c>
    </row>
    <row r="391" spans="1:39" hidden="1" x14ac:dyDescent="0.3">
      <c r="A391" s="476" t="s">
        <v>2345</v>
      </c>
      <c r="B391" s="477">
        <v>64800000</v>
      </c>
      <c r="C391" s="212" t="s">
        <v>2646</v>
      </c>
      <c r="D391" s="478">
        <v>386</v>
      </c>
      <c r="E391" s="478">
        <v>20216000013853</v>
      </c>
      <c r="F391" s="310">
        <v>44265</v>
      </c>
      <c r="G391" s="478" t="s">
        <v>2647</v>
      </c>
      <c r="H391" s="212" t="s">
        <v>2648</v>
      </c>
      <c r="I391" s="212" t="s">
        <v>214</v>
      </c>
      <c r="J391" s="475">
        <v>64800000</v>
      </c>
      <c r="K391" s="212" t="s">
        <v>138</v>
      </c>
      <c r="L391" s="212" t="s">
        <v>139</v>
      </c>
      <c r="M391" s="212" t="s">
        <v>44</v>
      </c>
      <c r="N391" s="212" t="s">
        <v>45</v>
      </c>
      <c r="O391" s="212" t="s">
        <v>142</v>
      </c>
      <c r="P391" s="212" t="s">
        <v>43</v>
      </c>
      <c r="R391" s="212">
        <v>398</v>
      </c>
      <c r="S391" s="490">
        <v>44266</v>
      </c>
      <c r="T391" s="486" t="s">
        <v>3813</v>
      </c>
      <c r="U391" s="475">
        <v>64800000</v>
      </c>
      <c r="V391" s="406"/>
      <c r="W391" s="362"/>
      <c r="X391" s="530" t="s">
        <v>3814</v>
      </c>
      <c r="Y391" s="491">
        <v>44278</v>
      </c>
      <c r="Z391" s="491">
        <v>44256</v>
      </c>
      <c r="AA391" s="491">
        <v>44286</v>
      </c>
      <c r="AB391" s="485" t="s">
        <v>2650</v>
      </c>
      <c r="AC391" s="211" t="s">
        <v>3815</v>
      </c>
      <c r="AD391" s="492" t="s">
        <v>3816</v>
      </c>
      <c r="AE391" s="493" t="s">
        <v>3817</v>
      </c>
      <c r="AF391" s="473">
        <v>64800000</v>
      </c>
      <c r="AG391" s="474">
        <f t="shared" si="6"/>
        <v>0</v>
      </c>
      <c r="AL391" s="475">
        <v>8880000</v>
      </c>
      <c r="AM391" s="306">
        <v>7200000</v>
      </c>
    </row>
    <row r="392" spans="1:39" hidden="1" x14ac:dyDescent="0.3">
      <c r="A392" s="476" t="s">
        <v>2347</v>
      </c>
      <c r="B392" s="477">
        <v>36000000</v>
      </c>
      <c r="C392" s="212" t="s">
        <v>2646</v>
      </c>
      <c r="D392" s="478">
        <v>387</v>
      </c>
      <c r="E392" s="478">
        <v>20216000013883</v>
      </c>
      <c r="F392" s="310">
        <v>44265</v>
      </c>
      <c r="G392" s="478" t="s">
        <v>2647</v>
      </c>
      <c r="H392" s="212" t="s">
        <v>2648</v>
      </c>
      <c r="I392" s="212" t="s">
        <v>214</v>
      </c>
      <c r="J392" s="475">
        <v>36000000</v>
      </c>
      <c r="K392" s="212" t="s">
        <v>138</v>
      </c>
      <c r="L392" s="212" t="s">
        <v>139</v>
      </c>
      <c r="M392" s="212" t="s">
        <v>44</v>
      </c>
      <c r="N392" s="212" t="s">
        <v>45</v>
      </c>
      <c r="O392" s="212" t="s">
        <v>142</v>
      </c>
      <c r="P392" s="212" t="s">
        <v>43</v>
      </c>
      <c r="R392" s="212">
        <v>399</v>
      </c>
      <c r="S392" s="490">
        <v>44266</v>
      </c>
      <c r="T392" s="486" t="s">
        <v>3818</v>
      </c>
      <c r="U392" s="475">
        <v>36000000</v>
      </c>
      <c r="V392" s="406"/>
      <c r="W392" s="362"/>
      <c r="X392" s="483" t="s">
        <v>3819</v>
      </c>
      <c r="Y392" s="484">
        <v>44292</v>
      </c>
      <c r="Z392" s="484">
        <v>44292</v>
      </c>
      <c r="AA392" s="484">
        <v>44561</v>
      </c>
      <c r="AB392" s="485" t="s">
        <v>2650</v>
      </c>
      <c r="AC392" s="483" t="s">
        <v>3481</v>
      </c>
      <c r="AD392" s="485" t="s">
        <v>3820</v>
      </c>
      <c r="AE392" s="486" t="s">
        <v>3821</v>
      </c>
      <c r="AF392" s="473">
        <v>35333333</v>
      </c>
      <c r="AG392" s="474">
        <f t="shared" si="6"/>
        <v>666667</v>
      </c>
      <c r="AL392" s="475">
        <v>3333333</v>
      </c>
      <c r="AM392" s="306">
        <v>4000000</v>
      </c>
    </row>
    <row r="393" spans="1:39" hidden="1" x14ac:dyDescent="0.3">
      <c r="B393" s="501" t="s">
        <v>3016</v>
      </c>
      <c r="C393" s="212" t="s">
        <v>3822</v>
      </c>
      <c r="D393" s="478">
        <v>388</v>
      </c>
      <c r="E393" s="478">
        <v>20217000014063</v>
      </c>
      <c r="F393" s="479">
        <v>44267</v>
      </c>
      <c r="G393" s="478" t="s">
        <v>2647</v>
      </c>
      <c r="H393" s="212" t="s">
        <v>2648</v>
      </c>
      <c r="I393" s="212" t="s">
        <v>164</v>
      </c>
      <c r="J393" s="475">
        <v>10533636</v>
      </c>
      <c r="K393" s="212" t="s">
        <v>138</v>
      </c>
      <c r="L393" s="212" t="s">
        <v>139</v>
      </c>
      <c r="M393" s="212" t="s">
        <v>44</v>
      </c>
      <c r="N393" s="212" t="s">
        <v>45</v>
      </c>
      <c r="O393" s="212" t="s">
        <v>142</v>
      </c>
      <c r="P393" s="212" t="s">
        <v>43</v>
      </c>
      <c r="R393" s="212">
        <v>423</v>
      </c>
      <c r="S393" s="490">
        <v>44267</v>
      </c>
      <c r="T393" s="486" t="s">
        <v>3823</v>
      </c>
      <c r="U393" s="475">
        <v>10533636</v>
      </c>
      <c r="V393" s="406"/>
      <c r="W393" s="362"/>
      <c r="X393" s="483" t="s">
        <v>3824</v>
      </c>
      <c r="Y393" s="484">
        <v>44285</v>
      </c>
      <c r="Z393" s="484">
        <v>44286</v>
      </c>
      <c r="AA393" s="484">
        <v>44331</v>
      </c>
      <c r="AB393" s="485" t="s">
        <v>2650</v>
      </c>
      <c r="AC393" s="483" t="s">
        <v>3825</v>
      </c>
      <c r="AD393" s="485" t="s">
        <v>3826</v>
      </c>
      <c r="AE393" s="486" t="s">
        <v>3827</v>
      </c>
      <c r="AF393" s="473">
        <v>10533636</v>
      </c>
      <c r="AG393" s="474">
        <f t="shared" si="6"/>
        <v>0</v>
      </c>
      <c r="AK393" s="475">
        <v>7022424</v>
      </c>
      <c r="AL393" s="475">
        <v>234081</v>
      </c>
      <c r="AM393" s="306">
        <v>3277131</v>
      </c>
    </row>
    <row r="394" spans="1:39" hidden="1" x14ac:dyDescent="0.3">
      <c r="A394" s="476" t="s">
        <v>2407</v>
      </c>
      <c r="B394" s="477">
        <v>22725578</v>
      </c>
      <c r="C394" s="212" t="s">
        <v>2646</v>
      </c>
      <c r="D394" s="478">
        <v>389</v>
      </c>
      <c r="E394" s="478">
        <v>20217000014443</v>
      </c>
      <c r="F394" s="479">
        <v>44267</v>
      </c>
      <c r="G394" s="478" t="s">
        <v>2647</v>
      </c>
      <c r="H394" s="212" t="s">
        <v>2648</v>
      </c>
      <c r="I394" s="212" t="s">
        <v>164</v>
      </c>
      <c r="J394" s="475">
        <v>7268208</v>
      </c>
      <c r="K394" s="212" t="s">
        <v>138</v>
      </c>
      <c r="L394" s="212" t="s">
        <v>139</v>
      </c>
      <c r="M394" s="212" t="s">
        <v>44</v>
      </c>
      <c r="N394" s="212" t="s">
        <v>45</v>
      </c>
      <c r="O394" s="212" t="s">
        <v>142</v>
      </c>
      <c r="P394" s="212" t="s">
        <v>43</v>
      </c>
      <c r="R394" s="212">
        <v>425</v>
      </c>
      <c r="S394" s="490">
        <v>44267</v>
      </c>
      <c r="T394" s="486" t="s">
        <v>3828</v>
      </c>
      <c r="U394" s="475">
        <v>7268208</v>
      </c>
      <c r="V394" s="406"/>
      <c r="W394" s="362"/>
      <c r="X394" s="483" t="s">
        <v>3829</v>
      </c>
      <c r="Y394" s="484">
        <v>44285</v>
      </c>
      <c r="Z394" s="484">
        <v>44285</v>
      </c>
      <c r="AA394" s="484">
        <v>44407</v>
      </c>
      <c r="AB394" s="485" t="s">
        <v>2650</v>
      </c>
      <c r="AC394" s="483" t="s">
        <v>3830</v>
      </c>
      <c r="AD394" s="485" t="s">
        <v>3831</v>
      </c>
      <c r="AE394" s="486" t="s">
        <v>3062</v>
      </c>
      <c r="AF394" s="473">
        <v>7268208</v>
      </c>
      <c r="AG394" s="474">
        <f t="shared" si="6"/>
        <v>0</v>
      </c>
      <c r="AL394" s="475">
        <v>1817052</v>
      </c>
      <c r="AM394" s="306">
        <v>1817052</v>
      </c>
    </row>
    <row r="395" spans="1:39" hidden="1" x14ac:dyDescent="0.3">
      <c r="A395" s="476" t="s">
        <v>2587</v>
      </c>
      <c r="B395" s="477">
        <v>90000000</v>
      </c>
      <c r="C395" s="212" t="s">
        <v>2646</v>
      </c>
      <c r="D395" s="478">
        <v>390</v>
      </c>
      <c r="E395" s="478">
        <v>20213000014583</v>
      </c>
      <c r="F395" s="479">
        <v>44272</v>
      </c>
      <c r="G395" s="478" t="s">
        <v>2640</v>
      </c>
      <c r="H395" s="212" t="s">
        <v>2641</v>
      </c>
      <c r="I395" s="212" t="s">
        <v>432</v>
      </c>
      <c r="J395" s="475">
        <v>81000000</v>
      </c>
      <c r="K395" s="212" t="s">
        <v>342</v>
      </c>
      <c r="L395" s="212" t="s">
        <v>351</v>
      </c>
      <c r="M395" s="212" t="s">
        <v>44</v>
      </c>
      <c r="N395" s="212" t="s">
        <v>45</v>
      </c>
      <c r="O395" s="212" t="s">
        <v>63</v>
      </c>
      <c r="P395" s="212" t="s">
        <v>674</v>
      </c>
      <c r="R395" s="486">
        <v>447</v>
      </c>
      <c r="S395" s="490">
        <v>44272</v>
      </c>
      <c r="T395" s="486" t="s">
        <v>3832</v>
      </c>
      <c r="U395" s="475">
        <v>81000000</v>
      </c>
      <c r="V395" s="406"/>
      <c r="W395" s="362"/>
      <c r="X395" s="483" t="s">
        <v>3778</v>
      </c>
      <c r="Y395" s="484">
        <v>44280</v>
      </c>
      <c r="Z395" s="484">
        <v>44280</v>
      </c>
      <c r="AA395" s="484">
        <v>44555</v>
      </c>
      <c r="AB395" s="485" t="s">
        <v>2650</v>
      </c>
      <c r="AC395" s="483" t="s">
        <v>3833</v>
      </c>
      <c r="AD395" s="485" t="s">
        <v>3834</v>
      </c>
      <c r="AE395" s="486" t="s">
        <v>3835</v>
      </c>
      <c r="AF395" s="473">
        <v>81000000</v>
      </c>
      <c r="AG395" s="474">
        <f t="shared" si="6"/>
        <v>0</v>
      </c>
      <c r="AL395" s="475">
        <v>10500000</v>
      </c>
      <c r="AM395" s="212"/>
    </row>
    <row r="396" spans="1:39" hidden="1" x14ac:dyDescent="0.3">
      <c r="A396" s="476" t="s">
        <v>1962</v>
      </c>
      <c r="B396" s="477">
        <v>53100000</v>
      </c>
      <c r="C396" s="212" t="s">
        <v>2646</v>
      </c>
      <c r="D396" s="478">
        <v>391</v>
      </c>
      <c r="E396" s="478">
        <v>20216000014463</v>
      </c>
      <c r="F396" s="479">
        <v>44267</v>
      </c>
      <c r="G396" s="478" t="s">
        <v>2647</v>
      </c>
      <c r="H396" s="212" t="s">
        <v>2648</v>
      </c>
      <c r="I396" s="212" t="s">
        <v>214</v>
      </c>
      <c r="J396" s="475">
        <v>53100000</v>
      </c>
      <c r="K396" s="212" t="s">
        <v>138</v>
      </c>
      <c r="L396" s="212" t="s">
        <v>139</v>
      </c>
      <c r="M396" s="212" t="s">
        <v>44</v>
      </c>
      <c r="N396" s="212" t="s">
        <v>45</v>
      </c>
      <c r="O396" s="212" t="s">
        <v>142</v>
      </c>
      <c r="P396" s="212" t="s">
        <v>43</v>
      </c>
      <c r="R396" s="212">
        <v>426</v>
      </c>
      <c r="S396" s="490">
        <v>44267</v>
      </c>
      <c r="T396" s="486" t="s">
        <v>3836</v>
      </c>
      <c r="U396" s="475">
        <v>53100000</v>
      </c>
      <c r="V396" s="406"/>
      <c r="W396" s="362"/>
      <c r="X396" s="483" t="s">
        <v>3837</v>
      </c>
      <c r="Y396" s="484">
        <v>44295</v>
      </c>
      <c r="Z396" s="484">
        <v>44295</v>
      </c>
      <c r="AA396" s="484">
        <v>44550</v>
      </c>
      <c r="AB396" s="485" t="s">
        <v>2650</v>
      </c>
      <c r="AC396" s="483" t="s">
        <v>3574</v>
      </c>
      <c r="AD396" s="485" t="s">
        <v>3838</v>
      </c>
      <c r="AE396" s="486" t="s">
        <v>3839</v>
      </c>
      <c r="AF396" s="473">
        <v>50150000</v>
      </c>
      <c r="AG396" s="474">
        <f t="shared" si="6"/>
        <v>2950000</v>
      </c>
      <c r="AL396" s="475">
        <v>4326667</v>
      </c>
      <c r="AM396" s="306">
        <v>5900000</v>
      </c>
    </row>
    <row r="397" spans="1:39" hidden="1" x14ac:dyDescent="0.3">
      <c r="B397" s="501" t="s">
        <v>3016</v>
      </c>
      <c r="C397" s="212" t="s">
        <v>3840</v>
      </c>
      <c r="D397" s="478">
        <v>392</v>
      </c>
      <c r="E397" s="478">
        <v>20217000014533</v>
      </c>
      <c r="F397" s="479">
        <v>44267</v>
      </c>
      <c r="G397" s="478" t="s">
        <v>2647</v>
      </c>
      <c r="H397" s="212" t="s">
        <v>2648</v>
      </c>
      <c r="I397" s="212" t="s">
        <v>164</v>
      </c>
      <c r="J397" s="475">
        <v>7800000</v>
      </c>
      <c r="K397" s="212" t="s">
        <v>138</v>
      </c>
      <c r="L397" s="212" t="s">
        <v>139</v>
      </c>
      <c r="M397" s="212" t="s">
        <v>44</v>
      </c>
      <c r="N397" s="212" t="s">
        <v>45</v>
      </c>
      <c r="O397" s="212" t="s">
        <v>142</v>
      </c>
      <c r="P397" s="212" t="s">
        <v>43</v>
      </c>
      <c r="R397" s="212">
        <v>428</v>
      </c>
      <c r="S397" s="490">
        <v>44267</v>
      </c>
      <c r="T397" s="486" t="s">
        <v>3841</v>
      </c>
      <c r="U397" s="475">
        <v>7800000</v>
      </c>
      <c r="V397" s="406"/>
      <c r="W397" s="362"/>
      <c r="X397" s="483" t="s">
        <v>3842</v>
      </c>
      <c r="Y397" s="484">
        <v>44285</v>
      </c>
      <c r="Z397" s="484">
        <v>44288</v>
      </c>
      <c r="AA397" s="484">
        <v>44347</v>
      </c>
      <c r="AB397" s="485" t="s">
        <v>2650</v>
      </c>
      <c r="AC397" s="483" t="s">
        <v>3843</v>
      </c>
      <c r="AD397" s="485" t="s">
        <v>3844</v>
      </c>
      <c r="AE397" s="486" t="s">
        <v>3845</v>
      </c>
      <c r="AF397" s="473">
        <v>7800000</v>
      </c>
      <c r="AG397" s="474">
        <f t="shared" si="6"/>
        <v>0</v>
      </c>
      <c r="AM397" s="306">
        <v>3900000</v>
      </c>
    </row>
    <row r="398" spans="1:39" s="312" customFormat="1" hidden="1" x14ac:dyDescent="0.3">
      <c r="A398" s="476"/>
      <c r="B398" s="501" t="s">
        <v>2683</v>
      </c>
      <c r="C398" s="312" t="s">
        <v>3846</v>
      </c>
      <c r="D398" s="325">
        <v>393</v>
      </c>
      <c r="E398" s="325">
        <v>20217000014543</v>
      </c>
      <c r="F398" s="315">
        <v>44267</v>
      </c>
      <c r="G398" s="325" t="s">
        <v>2647</v>
      </c>
      <c r="H398" s="312" t="s">
        <v>2648</v>
      </c>
      <c r="I398" s="312" t="s">
        <v>164</v>
      </c>
      <c r="J398" s="405"/>
      <c r="K398" s="312" t="s">
        <v>138</v>
      </c>
      <c r="L398" s="312" t="s">
        <v>139</v>
      </c>
      <c r="M398" s="312" t="s">
        <v>44</v>
      </c>
      <c r="N398" s="312" t="s">
        <v>45</v>
      </c>
      <c r="O398" s="312" t="s">
        <v>142</v>
      </c>
      <c r="P398" s="312" t="s">
        <v>43</v>
      </c>
      <c r="Q398" s="312" t="s">
        <v>3300</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3">
      <c r="A399" s="476" t="s">
        <v>2202</v>
      </c>
      <c r="B399" s="477">
        <v>54000000</v>
      </c>
      <c r="C399" s="212" t="s">
        <v>2646</v>
      </c>
      <c r="D399" s="478">
        <v>394</v>
      </c>
      <c r="E399" s="478">
        <v>20211200014573</v>
      </c>
      <c r="F399" s="310">
        <v>44267</v>
      </c>
      <c r="G399" s="309" t="s">
        <v>2647</v>
      </c>
      <c r="H399" s="210" t="s">
        <v>2648</v>
      </c>
      <c r="I399" s="212" t="s">
        <v>143</v>
      </c>
      <c r="J399" s="407">
        <v>54000000</v>
      </c>
      <c r="K399" s="210" t="s">
        <v>138</v>
      </c>
      <c r="L399" s="210" t="s">
        <v>139</v>
      </c>
      <c r="M399" s="210" t="s">
        <v>44</v>
      </c>
      <c r="N399" s="210" t="s">
        <v>45</v>
      </c>
      <c r="O399" s="210" t="s">
        <v>142</v>
      </c>
      <c r="P399" s="210" t="s">
        <v>43</v>
      </c>
      <c r="R399" s="212">
        <v>429</v>
      </c>
      <c r="S399" s="490">
        <v>44267</v>
      </c>
      <c r="T399" s="486" t="s">
        <v>3847</v>
      </c>
      <c r="U399" s="475">
        <v>54000000</v>
      </c>
      <c r="V399" s="406"/>
      <c r="W399" s="362"/>
      <c r="X399" s="483" t="s">
        <v>3848</v>
      </c>
      <c r="Y399" s="484">
        <v>44286</v>
      </c>
      <c r="Z399" s="484">
        <v>44286</v>
      </c>
      <c r="AA399" s="484">
        <v>44555</v>
      </c>
      <c r="AB399" s="485" t="s">
        <v>2650</v>
      </c>
      <c r="AC399" s="483" t="s">
        <v>3849</v>
      </c>
      <c r="AD399" s="485" t="s">
        <v>3850</v>
      </c>
      <c r="AE399" s="486" t="s">
        <v>3851</v>
      </c>
      <c r="AF399" s="473">
        <v>53200000</v>
      </c>
      <c r="AG399" s="474">
        <f t="shared" si="6"/>
        <v>800000</v>
      </c>
      <c r="AL399" s="475">
        <v>6200000</v>
      </c>
      <c r="AM399" s="306">
        <v>6000000</v>
      </c>
    </row>
    <row r="400" spans="1:39" s="312" customFormat="1" hidden="1" x14ac:dyDescent="0.3">
      <c r="A400" s="361" t="s">
        <v>3852</v>
      </c>
      <c r="B400" s="417">
        <v>44972037</v>
      </c>
      <c r="C400" s="312" t="s">
        <v>2762</v>
      </c>
      <c r="D400" s="325">
        <v>395</v>
      </c>
      <c r="E400" s="325">
        <v>20216000014153</v>
      </c>
      <c r="F400" s="315">
        <v>44267</v>
      </c>
      <c r="G400" s="325" t="s">
        <v>2647</v>
      </c>
      <c r="H400" s="312" t="s">
        <v>2648</v>
      </c>
      <c r="I400" s="312" t="s">
        <v>214</v>
      </c>
      <c r="J400" s="405">
        <v>44972037</v>
      </c>
      <c r="K400" s="312" t="s">
        <v>138</v>
      </c>
      <c r="L400" s="312" t="s">
        <v>139</v>
      </c>
      <c r="M400" s="312" t="s">
        <v>44</v>
      </c>
      <c r="N400" s="312" t="s">
        <v>45</v>
      </c>
      <c r="O400" s="312" t="s">
        <v>142</v>
      </c>
      <c r="P400" s="312" t="s">
        <v>43</v>
      </c>
      <c r="R400" s="312">
        <v>424</v>
      </c>
      <c r="S400" s="363">
        <v>44267</v>
      </c>
      <c r="T400" s="360" t="s">
        <v>3853</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3">
      <c r="B401" s="501" t="s">
        <v>2683</v>
      </c>
      <c r="C401" s="212" t="s">
        <v>3854</v>
      </c>
      <c r="D401" s="478">
        <v>396</v>
      </c>
      <c r="E401" s="478">
        <v>20217000014653</v>
      </c>
      <c r="F401" s="479">
        <v>44267</v>
      </c>
      <c r="G401" s="478" t="s">
        <v>2647</v>
      </c>
      <c r="H401" s="212" t="s">
        <v>2648</v>
      </c>
      <c r="I401" s="212" t="s">
        <v>214</v>
      </c>
      <c r="J401" s="475">
        <v>6320181</v>
      </c>
      <c r="K401" s="212" t="s">
        <v>138</v>
      </c>
      <c r="L401" s="212" t="s">
        <v>139</v>
      </c>
      <c r="M401" s="212" t="s">
        <v>44</v>
      </c>
      <c r="N401" s="212" t="s">
        <v>45</v>
      </c>
      <c r="O401" s="212" t="s">
        <v>142</v>
      </c>
      <c r="P401" s="212" t="s">
        <v>43</v>
      </c>
      <c r="R401" s="212">
        <v>430</v>
      </c>
      <c r="S401" s="490">
        <v>44267</v>
      </c>
      <c r="T401" s="486" t="s">
        <v>3855</v>
      </c>
      <c r="U401" s="475">
        <v>6320181</v>
      </c>
      <c r="V401" s="406"/>
      <c r="W401" s="362"/>
      <c r="X401" s="483" t="s">
        <v>3856</v>
      </c>
      <c r="Y401" s="484">
        <v>44285</v>
      </c>
      <c r="Z401" s="484">
        <v>44285</v>
      </c>
      <c r="AA401" s="484">
        <v>44338</v>
      </c>
      <c r="AB401" s="485" t="s">
        <v>2650</v>
      </c>
      <c r="AC401" s="483" t="s">
        <v>3857</v>
      </c>
      <c r="AD401" s="485" t="s">
        <v>3858</v>
      </c>
      <c r="AE401" s="486" t="s">
        <v>3859</v>
      </c>
      <c r="AF401" s="473">
        <v>6320181</v>
      </c>
      <c r="AG401" s="474">
        <f t="shared" si="6"/>
        <v>0</v>
      </c>
      <c r="AK401" s="475">
        <v>117040</v>
      </c>
      <c r="AL401" s="475">
        <v>3511212</v>
      </c>
      <c r="AM401" s="306">
        <v>2574889</v>
      </c>
    </row>
    <row r="402" spans="1:39" hidden="1" x14ac:dyDescent="0.3">
      <c r="A402" s="476" t="s">
        <v>2204</v>
      </c>
      <c r="B402" s="477">
        <v>58500000</v>
      </c>
      <c r="C402" s="212" t="s">
        <v>2646</v>
      </c>
      <c r="D402" s="478">
        <v>397</v>
      </c>
      <c r="E402" s="478">
        <v>20211200014703</v>
      </c>
      <c r="F402" s="479">
        <v>44270</v>
      </c>
      <c r="G402" s="309" t="s">
        <v>2647</v>
      </c>
      <c r="H402" s="210" t="s">
        <v>2648</v>
      </c>
      <c r="I402" s="212" t="s">
        <v>143</v>
      </c>
      <c r="J402" s="407">
        <v>56000000</v>
      </c>
      <c r="K402" s="210" t="s">
        <v>138</v>
      </c>
      <c r="L402" s="210" t="s">
        <v>139</v>
      </c>
      <c r="M402" s="210" t="s">
        <v>44</v>
      </c>
      <c r="N402" s="210" t="s">
        <v>45</v>
      </c>
      <c r="O402" s="210" t="s">
        <v>142</v>
      </c>
      <c r="P402" s="210" t="s">
        <v>43</v>
      </c>
      <c r="R402" s="486">
        <v>434</v>
      </c>
      <c r="S402" s="490">
        <v>44271</v>
      </c>
      <c r="T402" s="486" t="s">
        <v>3860</v>
      </c>
      <c r="U402" s="475">
        <v>56000000</v>
      </c>
      <c r="V402" s="406"/>
      <c r="W402" s="362"/>
      <c r="X402" s="483" t="s">
        <v>3861</v>
      </c>
      <c r="Y402" s="484">
        <v>44286</v>
      </c>
      <c r="Z402" s="484">
        <v>44286</v>
      </c>
      <c r="AA402" s="484">
        <v>44530</v>
      </c>
      <c r="AB402" s="485" t="s">
        <v>2650</v>
      </c>
      <c r="AC402" s="483" t="s">
        <v>3862</v>
      </c>
      <c r="AD402" s="485" t="s">
        <v>3863</v>
      </c>
      <c r="AE402" s="486" t="s">
        <v>3864</v>
      </c>
      <c r="AF402" s="473">
        <v>56000000</v>
      </c>
      <c r="AG402" s="474">
        <f t="shared" si="6"/>
        <v>0</v>
      </c>
      <c r="AL402" s="475">
        <v>7000000</v>
      </c>
      <c r="AM402" s="306">
        <v>7000000</v>
      </c>
    </row>
    <row r="403" spans="1:39" hidden="1" x14ac:dyDescent="0.3">
      <c r="A403" s="476" t="s">
        <v>2198</v>
      </c>
      <c r="B403" s="477">
        <v>12000000</v>
      </c>
      <c r="C403" s="212" t="s">
        <v>2646</v>
      </c>
      <c r="D403" s="478">
        <v>398</v>
      </c>
      <c r="E403" s="478">
        <v>20211200014793</v>
      </c>
      <c r="F403" s="479">
        <v>44270</v>
      </c>
      <c r="G403" s="309" t="s">
        <v>2647</v>
      </c>
      <c r="H403" s="210" t="s">
        <v>2648</v>
      </c>
      <c r="I403" s="212" t="s">
        <v>143</v>
      </c>
      <c r="J403" s="407">
        <v>12000000</v>
      </c>
      <c r="K403" s="210" t="s">
        <v>138</v>
      </c>
      <c r="L403" s="210" t="s">
        <v>139</v>
      </c>
      <c r="M403" s="210" t="s">
        <v>44</v>
      </c>
      <c r="N403" s="210" t="s">
        <v>45</v>
      </c>
      <c r="O403" s="210" t="s">
        <v>142</v>
      </c>
      <c r="P403" s="210" t="s">
        <v>43</v>
      </c>
      <c r="R403" s="486">
        <v>435</v>
      </c>
      <c r="S403" s="490">
        <v>44271</v>
      </c>
      <c r="T403" s="486" t="s">
        <v>3865</v>
      </c>
      <c r="U403" s="475">
        <v>12000000</v>
      </c>
      <c r="V403" s="406"/>
      <c r="W403" s="362"/>
      <c r="X403" s="483" t="s">
        <v>3866</v>
      </c>
      <c r="Y403" s="484">
        <v>44285</v>
      </c>
      <c r="Z403" s="484">
        <v>44285</v>
      </c>
      <c r="AA403" s="484">
        <v>44407</v>
      </c>
      <c r="AB403" s="485" t="s">
        <v>2650</v>
      </c>
      <c r="AC403" s="483" t="s">
        <v>3867</v>
      </c>
      <c r="AD403" s="485" t="s">
        <v>3868</v>
      </c>
      <c r="AE403" s="486" t="s">
        <v>3869</v>
      </c>
      <c r="AF403" s="473">
        <v>12000000</v>
      </c>
      <c r="AG403" s="474">
        <f t="shared" si="6"/>
        <v>0</v>
      </c>
      <c r="AM403" s="306">
        <f>3000000+3000000</f>
        <v>6000000</v>
      </c>
    </row>
    <row r="404" spans="1:39" hidden="1" x14ac:dyDescent="0.3">
      <c r="B404" s="501" t="s">
        <v>2683</v>
      </c>
      <c r="C404" s="212" t="s">
        <v>3846</v>
      </c>
      <c r="D404" s="478">
        <v>399</v>
      </c>
      <c r="E404" s="478">
        <v>20217000014543</v>
      </c>
      <c r="F404" s="479">
        <v>44270</v>
      </c>
      <c r="G404" s="478" t="s">
        <v>2647</v>
      </c>
      <c r="H404" s="212" t="s">
        <v>2648</v>
      </c>
      <c r="I404" s="212" t="s">
        <v>164</v>
      </c>
      <c r="J404" s="475">
        <v>5478400</v>
      </c>
      <c r="K404" s="212" t="s">
        <v>138</v>
      </c>
      <c r="L404" s="212" t="s">
        <v>139</v>
      </c>
      <c r="M404" s="212" t="s">
        <v>44</v>
      </c>
      <c r="N404" s="212" t="s">
        <v>45</v>
      </c>
      <c r="O404" s="212" t="s">
        <v>142</v>
      </c>
      <c r="P404" s="212" t="s">
        <v>43</v>
      </c>
      <c r="R404" s="486">
        <v>433</v>
      </c>
      <c r="S404" s="490">
        <v>44271</v>
      </c>
      <c r="T404" s="486" t="s">
        <v>3870</v>
      </c>
      <c r="U404" s="475">
        <v>5478400</v>
      </c>
      <c r="V404" s="406"/>
      <c r="W404" s="362"/>
      <c r="X404" s="483" t="s">
        <v>3871</v>
      </c>
      <c r="Y404" s="484">
        <v>44285</v>
      </c>
      <c r="Z404" s="484">
        <v>44287</v>
      </c>
      <c r="AA404" s="484">
        <v>44339</v>
      </c>
      <c r="AB404" s="485" t="s">
        <v>2650</v>
      </c>
      <c r="AC404" s="483" t="s">
        <v>3872</v>
      </c>
      <c r="AD404" s="485" t="s">
        <v>3873</v>
      </c>
      <c r="AE404" s="486" t="s">
        <v>3874</v>
      </c>
      <c r="AF404" s="473">
        <v>5427200</v>
      </c>
      <c r="AG404" s="474">
        <f t="shared" si="6"/>
        <v>51200</v>
      </c>
      <c r="AL404" s="475">
        <v>3072000</v>
      </c>
      <c r="AM404" s="212"/>
    </row>
    <row r="405" spans="1:39" hidden="1" x14ac:dyDescent="0.3">
      <c r="B405" s="501" t="s">
        <v>2683</v>
      </c>
      <c r="C405" s="212" t="s">
        <v>3875</v>
      </c>
      <c r="D405" s="478">
        <v>400</v>
      </c>
      <c r="E405" s="478">
        <v>20217000014983</v>
      </c>
      <c r="F405" s="479">
        <v>44270</v>
      </c>
      <c r="G405" s="478" t="s">
        <v>2647</v>
      </c>
      <c r="H405" s="212" t="s">
        <v>2648</v>
      </c>
      <c r="I405" s="212" t="s">
        <v>164</v>
      </c>
      <c r="J405" s="475">
        <v>7241874</v>
      </c>
      <c r="K405" s="212" t="s">
        <v>138</v>
      </c>
      <c r="L405" s="212" t="s">
        <v>139</v>
      </c>
      <c r="M405" s="212" t="s">
        <v>44</v>
      </c>
      <c r="N405" s="212" t="s">
        <v>45</v>
      </c>
      <c r="O405" s="212" t="s">
        <v>142</v>
      </c>
      <c r="P405" s="212" t="s">
        <v>43</v>
      </c>
      <c r="R405" s="486">
        <v>436</v>
      </c>
      <c r="S405" s="490">
        <v>44271</v>
      </c>
      <c r="T405" s="486" t="s">
        <v>3876</v>
      </c>
      <c r="U405" s="475">
        <v>7241874</v>
      </c>
      <c r="V405" s="406"/>
      <c r="W405" s="362"/>
      <c r="X405" s="483" t="s">
        <v>3877</v>
      </c>
      <c r="Y405" s="484">
        <v>44285</v>
      </c>
      <c r="Z405" s="484">
        <v>44285</v>
      </c>
      <c r="AA405" s="484">
        <v>44341</v>
      </c>
      <c r="AB405" s="485" t="s">
        <v>2650</v>
      </c>
      <c r="AC405" s="483" t="s">
        <v>3878</v>
      </c>
      <c r="AD405" s="485" t="s">
        <v>3879</v>
      </c>
      <c r="AE405" s="486" t="s">
        <v>3880</v>
      </c>
      <c r="AF405" s="473">
        <v>7241874</v>
      </c>
      <c r="AG405" s="474">
        <f t="shared" si="6"/>
        <v>0</v>
      </c>
      <c r="AL405" s="475">
        <v>4061785</v>
      </c>
      <c r="AM405" s="306">
        <v>20000</v>
      </c>
    </row>
    <row r="406" spans="1:39" hidden="1" x14ac:dyDescent="0.3">
      <c r="A406" s="476" t="s">
        <v>2412</v>
      </c>
      <c r="B406" s="477">
        <v>65413872</v>
      </c>
      <c r="C406" s="212" t="s">
        <v>2646</v>
      </c>
      <c r="D406" s="478">
        <v>401</v>
      </c>
      <c r="E406" s="478">
        <v>20217000014993</v>
      </c>
      <c r="F406" s="479">
        <v>44270</v>
      </c>
      <c r="G406" s="478" t="s">
        <v>2647</v>
      </c>
      <c r="H406" s="212" t="s">
        <v>2648</v>
      </c>
      <c r="I406" s="212" t="s">
        <v>164</v>
      </c>
      <c r="J406" s="475">
        <v>54600000</v>
      </c>
      <c r="K406" s="212" t="s">
        <v>138</v>
      </c>
      <c r="L406" s="212" t="s">
        <v>139</v>
      </c>
      <c r="M406" s="212" t="s">
        <v>44</v>
      </c>
      <c r="N406" s="212" t="s">
        <v>45</v>
      </c>
      <c r="O406" s="212" t="s">
        <v>142</v>
      </c>
      <c r="P406" s="212" t="s">
        <v>43</v>
      </c>
      <c r="R406" s="486">
        <v>437</v>
      </c>
      <c r="S406" s="490">
        <v>44271</v>
      </c>
      <c r="T406" s="486" t="s">
        <v>3881</v>
      </c>
      <c r="U406" s="475">
        <v>54600000</v>
      </c>
      <c r="V406" s="406"/>
      <c r="W406" s="362"/>
      <c r="X406" s="211" t="s">
        <v>3882</v>
      </c>
      <c r="Y406" s="472">
        <v>44301</v>
      </c>
      <c r="Z406" s="472">
        <v>44301</v>
      </c>
      <c r="AA406" s="472">
        <v>44515</v>
      </c>
      <c r="AB406" s="2" t="s">
        <v>2650</v>
      </c>
      <c r="AC406" s="211" t="s">
        <v>3412</v>
      </c>
      <c r="AD406" s="2" t="s">
        <v>3883</v>
      </c>
      <c r="AE406" s="212" t="s">
        <v>2815</v>
      </c>
      <c r="AF406" s="473">
        <v>54600000</v>
      </c>
      <c r="AG406" s="474">
        <f t="shared" si="6"/>
        <v>0</v>
      </c>
      <c r="AL406" s="475">
        <v>4160000</v>
      </c>
      <c r="AM406" s="306">
        <v>7800000</v>
      </c>
    </row>
    <row r="407" spans="1:39" hidden="1" x14ac:dyDescent="0.3">
      <c r="B407" s="501" t="s">
        <v>2683</v>
      </c>
      <c r="C407" s="212" t="s">
        <v>3884</v>
      </c>
      <c r="D407" s="478">
        <v>402</v>
      </c>
      <c r="E407" s="478">
        <v>20217000015093</v>
      </c>
      <c r="F407" s="479">
        <v>44271</v>
      </c>
      <c r="G407" s="478" t="s">
        <v>2647</v>
      </c>
      <c r="H407" s="212" t="s">
        <v>2648</v>
      </c>
      <c r="I407" s="212" t="s">
        <v>164</v>
      </c>
      <c r="J407" s="475">
        <v>6086100</v>
      </c>
      <c r="K407" s="212" t="s">
        <v>138</v>
      </c>
      <c r="L407" s="212" t="s">
        <v>139</v>
      </c>
      <c r="M407" s="212" t="s">
        <v>44</v>
      </c>
      <c r="N407" s="212" t="s">
        <v>45</v>
      </c>
      <c r="O407" s="212" t="s">
        <v>142</v>
      </c>
      <c r="P407" s="212" t="s">
        <v>43</v>
      </c>
      <c r="R407" s="486">
        <v>445</v>
      </c>
      <c r="S407" s="490">
        <v>44272</v>
      </c>
      <c r="T407" s="486" t="s">
        <v>3885</v>
      </c>
      <c r="U407" s="475">
        <v>6086100</v>
      </c>
      <c r="V407" s="406"/>
      <c r="W407" s="362"/>
      <c r="X407" s="483" t="s">
        <v>3604</v>
      </c>
      <c r="Y407" s="484">
        <v>44285</v>
      </c>
      <c r="Z407" s="484">
        <v>44291</v>
      </c>
      <c r="AA407" s="484">
        <v>44342</v>
      </c>
      <c r="AB407" s="485" t="s">
        <v>2650</v>
      </c>
      <c r="AC407" s="483" t="s">
        <v>3886</v>
      </c>
      <c r="AD407" s="485" t="s">
        <v>3887</v>
      </c>
      <c r="AE407" s="486" t="s">
        <v>3888</v>
      </c>
      <c r="AF407" s="473">
        <v>6086100</v>
      </c>
      <c r="AG407" s="474">
        <f t="shared" si="6"/>
        <v>0</v>
      </c>
      <c r="AL407" s="475">
        <v>3511212</v>
      </c>
      <c r="AM407" s="306">
        <v>2574888</v>
      </c>
    </row>
    <row r="408" spans="1:39" hidden="1" x14ac:dyDescent="0.3">
      <c r="A408" s="476" t="s">
        <v>2287</v>
      </c>
      <c r="B408" s="477">
        <v>29981361</v>
      </c>
      <c r="C408" s="212" t="s">
        <v>2646</v>
      </c>
      <c r="D408" s="478">
        <v>403</v>
      </c>
      <c r="E408" s="478">
        <v>20211300013893</v>
      </c>
      <c r="F408" s="310">
        <v>44265</v>
      </c>
      <c r="G408" s="478" t="s">
        <v>2647</v>
      </c>
      <c r="H408" s="212" t="s">
        <v>2648</v>
      </c>
      <c r="I408" s="212" t="s">
        <v>210</v>
      </c>
      <c r="J408" s="475">
        <v>19987572</v>
      </c>
      <c r="K408" s="212" t="s">
        <v>138</v>
      </c>
      <c r="L408" s="212" t="s">
        <v>139</v>
      </c>
      <c r="M408" s="212" t="s">
        <v>44</v>
      </c>
      <c r="N408" s="212" t="s">
        <v>45</v>
      </c>
      <c r="O408" s="212" t="s">
        <v>142</v>
      </c>
      <c r="P408" s="212" t="s">
        <v>43</v>
      </c>
      <c r="R408" s="212">
        <v>400</v>
      </c>
      <c r="S408" s="490">
        <v>44266</v>
      </c>
      <c r="T408" s="486" t="s">
        <v>3889</v>
      </c>
      <c r="U408" s="475">
        <v>19987572</v>
      </c>
      <c r="V408" s="406"/>
      <c r="W408" s="362"/>
      <c r="X408" s="483" t="s">
        <v>3890</v>
      </c>
      <c r="Y408" s="484">
        <v>44280</v>
      </c>
      <c r="Z408" s="484">
        <v>44280</v>
      </c>
      <c r="AA408" s="484">
        <v>44402</v>
      </c>
      <c r="AB408" s="485" t="s">
        <v>2650</v>
      </c>
      <c r="AC408" s="483" t="s">
        <v>3891</v>
      </c>
      <c r="AD408" s="485" t="s">
        <v>3892</v>
      </c>
      <c r="AE408" s="486" t="s">
        <v>3893</v>
      </c>
      <c r="AF408" s="473">
        <v>19987572</v>
      </c>
      <c r="AG408" s="474">
        <f t="shared" si="6"/>
        <v>0</v>
      </c>
      <c r="AM408" s="306">
        <v>5829708</v>
      </c>
    </row>
    <row r="409" spans="1:39" hidden="1" x14ac:dyDescent="0.3">
      <c r="A409" s="476" t="s">
        <v>2417</v>
      </c>
      <c r="B409" s="477">
        <v>44311860</v>
      </c>
      <c r="C409" s="212" t="s">
        <v>2646</v>
      </c>
      <c r="D409" s="478">
        <v>404</v>
      </c>
      <c r="E409" s="478">
        <v>20212000014733</v>
      </c>
      <c r="F409" s="479">
        <v>44271</v>
      </c>
      <c r="G409" s="478" t="s">
        <v>2640</v>
      </c>
      <c r="H409" s="212" t="s">
        <v>2641</v>
      </c>
      <c r="I409" s="212" t="s">
        <v>391</v>
      </c>
      <c r="J409" s="475">
        <v>44311860</v>
      </c>
      <c r="K409" s="210" t="s">
        <v>2711</v>
      </c>
      <c r="L409" s="212" t="s">
        <v>2712</v>
      </c>
      <c r="M409" s="212" t="s">
        <v>44</v>
      </c>
      <c r="N409" s="212" t="s">
        <v>45</v>
      </c>
      <c r="O409" s="212" t="s">
        <v>63</v>
      </c>
      <c r="P409" s="212" t="s">
        <v>674</v>
      </c>
      <c r="R409" s="486">
        <v>439</v>
      </c>
      <c r="S409" s="490">
        <v>44272</v>
      </c>
      <c r="T409" s="486" t="s">
        <v>3894</v>
      </c>
      <c r="U409" s="475">
        <f>44311860-2461770</f>
        <v>41850090</v>
      </c>
      <c r="V409" s="411">
        <v>2461770</v>
      </c>
      <c r="W409" s="397"/>
      <c r="X409" s="483" t="s">
        <v>3895</v>
      </c>
      <c r="Y409" s="484">
        <v>44292</v>
      </c>
      <c r="Z409" s="484">
        <v>44292</v>
      </c>
      <c r="AA409" s="484">
        <v>44550</v>
      </c>
      <c r="AB409" s="485" t="s">
        <v>2650</v>
      </c>
      <c r="AC409" s="483" t="s">
        <v>3487</v>
      </c>
      <c r="AD409" s="485" t="s">
        <v>3896</v>
      </c>
      <c r="AE409" s="486" t="s">
        <v>3897</v>
      </c>
      <c r="AF409" s="473">
        <v>41850090</v>
      </c>
      <c r="AG409" s="474">
        <f t="shared" si="6"/>
        <v>0</v>
      </c>
      <c r="AL409" s="475">
        <v>4102950</v>
      </c>
      <c r="AM409" s="306">
        <v>4923540</v>
      </c>
    </row>
    <row r="410" spans="1:39" hidden="1" x14ac:dyDescent="0.3">
      <c r="A410" s="476" t="s">
        <v>2399</v>
      </c>
      <c r="B410" s="477">
        <v>36720000</v>
      </c>
      <c r="C410" s="212" t="s">
        <v>2646</v>
      </c>
      <c r="D410" s="478">
        <v>405</v>
      </c>
      <c r="E410" s="478">
        <v>20212000014743</v>
      </c>
      <c r="F410" s="479">
        <v>44271</v>
      </c>
      <c r="G410" s="478" t="s">
        <v>2640</v>
      </c>
      <c r="H410" s="212" t="s">
        <v>2641</v>
      </c>
      <c r="I410" s="212" t="s">
        <v>391</v>
      </c>
      <c r="J410" s="475">
        <v>34850000</v>
      </c>
      <c r="K410" s="210" t="s">
        <v>2711</v>
      </c>
      <c r="L410" s="212" t="s">
        <v>2712</v>
      </c>
      <c r="M410" s="212" t="s">
        <v>44</v>
      </c>
      <c r="N410" s="212" t="s">
        <v>45</v>
      </c>
      <c r="O410" s="212" t="s">
        <v>63</v>
      </c>
      <c r="P410" s="212" t="s">
        <v>674</v>
      </c>
      <c r="R410" s="486">
        <v>440</v>
      </c>
      <c r="S410" s="490">
        <v>44272</v>
      </c>
      <c r="T410" s="486" t="s">
        <v>3898</v>
      </c>
      <c r="U410" s="475">
        <v>34850000</v>
      </c>
      <c r="V410" s="406"/>
      <c r="W410" s="362"/>
      <c r="X410" s="483" t="s">
        <v>3899</v>
      </c>
      <c r="Y410" s="484">
        <v>44298</v>
      </c>
      <c r="Z410" s="484">
        <v>44298</v>
      </c>
      <c r="AA410" s="484">
        <v>44561</v>
      </c>
      <c r="AB410" s="485" t="s">
        <v>2650</v>
      </c>
      <c r="AC410" s="483" t="s">
        <v>3706</v>
      </c>
      <c r="AD410" s="485" t="s">
        <v>3900</v>
      </c>
      <c r="AE410" s="486" t="s">
        <v>3901</v>
      </c>
      <c r="AF410" s="473">
        <v>34850000</v>
      </c>
      <c r="AG410" s="474">
        <f t="shared" si="6"/>
        <v>0</v>
      </c>
      <c r="AL410" s="475">
        <v>2596666</v>
      </c>
      <c r="AM410" s="306">
        <v>4100000</v>
      </c>
    </row>
    <row r="411" spans="1:39" hidden="1" x14ac:dyDescent="0.3">
      <c r="A411" s="476" t="s">
        <v>2400</v>
      </c>
      <c r="B411" s="477">
        <v>51754800</v>
      </c>
      <c r="C411" s="212" t="s">
        <v>2646</v>
      </c>
      <c r="D411" s="478">
        <v>406</v>
      </c>
      <c r="E411" s="478">
        <v>20212000014753</v>
      </c>
      <c r="F411" s="479">
        <v>44271</v>
      </c>
      <c r="G411" s="478" t="s">
        <v>2640</v>
      </c>
      <c r="H411" s="212" t="s">
        <v>2641</v>
      </c>
      <c r="I411" s="212" t="s">
        <v>391</v>
      </c>
      <c r="J411" s="475">
        <v>39474000</v>
      </c>
      <c r="K411" s="210" t="s">
        <v>2711</v>
      </c>
      <c r="L411" s="212" t="s">
        <v>2712</v>
      </c>
      <c r="M411" s="212" t="s">
        <v>44</v>
      </c>
      <c r="N411" s="212" t="s">
        <v>45</v>
      </c>
      <c r="O411" s="212" t="s">
        <v>63</v>
      </c>
      <c r="P411" s="212" t="s">
        <v>674</v>
      </c>
      <c r="R411" s="486">
        <v>441</v>
      </c>
      <c r="S411" s="490">
        <v>44272</v>
      </c>
      <c r="T411" s="486" t="s">
        <v>3902</v>
      </c>
      <c r="U411" s="475">
        <v>39474000</v>
      </c>
      <c r="V411" s="406"/>
      <c r="W411" s="362"/>
      <c r="X411" s="483" t="s">
        <v>3345</v>
      </c>
      <c r="Y411" s="484">
        <v>44285</v>
      </c>
      <c r="Z411" s="484">
        <v>44285</v>
      </c>
      <c r="AA411" s="484">
        <v>44560</v>
      </c>
      <c r="AB411" s="485" t="s">
        <v>2650</v>
      </c>
      <c r="AC411" s="483" t="s">
        <v>3903</v>
      </c>
      <c r="AD411" s="485" t="s">
        <v>3904</v>
      </c>
      <c r="AE411" s="486" t="s">
        <v>3905</v>
      </c>
      <c r="AF411" s="473">
        <v>39474000</v>
      </c>
      <c r="AG411" s="474">
        <f t="shared" si="6"/>
        <v>0</v>
      </c>
      <c r="AL411" s="475">
        <v>4532200</v>
      </c>
      <c r="AM411" s="306">
        <v>4386000</v>
      </c>
    </row>
    <row r="412" spans="1:39" hidden="1" x14ac:dyDescent="0.3">
      <c r="A412" s="476" t="s">
        <v>2401</v>
      </c>
      <c r="B412" s="477">
        <v>48144000</v>
      </c>
      <c r="C412" s="212" t="s">
        <v>2646</v>
      </c>
      <c r="D412" s="478">
        <v>407</v>
      </c>
      <c r="E412" s="478">
        <v>20212000014763</v>
      </c>
      <c r="F412" s="479">
        <v>44271</v>
      </c>
      <c r="G412" s="478" t="s">
        <v>2640</v>
      </c>
      <c r="H412" s="212" t="s">
        <v>2641</v>
      </c>
      <c r="I412" s="212" t="s">
        <v>391</v>
      </c>
      <c r="J412" s="475">
        <v>36900000</v>
      </c>
      <c r="K412" s="210" t="s">
        <v>2711</v>
      </c>
      <c r="L412" s="212" t="s">
        <v>2712</v>
      </c>
      <c r="M412" s="212" t="s">
        <v>44</v>
      </c>
      <c r="N412" s="212" t="s">
        <v>45</v>
      </c>
      <c r="O412" s="212" t="s">
        <v>63</v>
      </c>
      <c r="P412" s="212" t="s">
        <v>674</v>
      </c>
      <c r="R412" s="486">
        <v>442</v>
      </c>
      <c r="S412" s="490">
        <v>44272</v>
      </c>
      <c r="T412" s="486" t="s">
        <v>3906</v>
      </c>
      <c r="U412" s="475">
        <v>36900000</v>
      </c>
      <c r="V412" s="406"/>
      <c r="W412" s="362"/>
      <c r="X412" s="483" t="s">
        <v>3907</v>
      </c>
      <c r="Y412" s="484">
        <v>44305</v>
      </c>
      <c r="Z412" s="484">
        <v>44305</v>
      </c>
      <c r="AA412" s="484">
        <v>44548</v>
      </c>
      <c r="AB412" s="485" t="s">
        <v>2650</v>
      </c>
      <c r="AC412" s="483" t="s">
        <v>3908</v>
      </c>
      <c r="AD412" s="485" t="s">
        <v>3909</v>
      </c>
      <c r="AE412" s="486" t="s">
        <v>3910</v>
      </c>
      <c r="AF412" s="473">
        <v>32800000</v>
      </c>
      <c r="AG412" s="474">
        <f t="shared" si="6"/>
        <v>4100000</v>
      </c>
      <c r="AL412" s="475">
        <v>1503333</v>
      </c>
      <c r="AM412" s="306">
        <v>4100000</v>
      </c>
    </row>
    <row r="413" spans="1:39" hidden="1" x14ac:dyDescent="0.3">
      <c r="A413" s="476" t="s">
        <v>1894</v>
      </c>
      <c r="B413" s="477">
        <v>57888060</v>
      </c>
      <c r="C413" s="212" t="s">
        <v>2646</v>
      </c>
      <c r="D413" s="478">
        <v>408</v>
      </c>
      <c r="E413" s="478">
        <v>20212000014773</v>
      </c>
      <c r="F413" s="479">
        <v>44271</v>
      </c>
      <c r="G413" s="478" t="s">
        <v>2640</v>
      </c>
      <c r="H413" s="212" t="s">
        <v>2641</v>
      </c>
      <c r="I413" s="212" t="s">
        <v>391</v>
      </c>
      <c r="J413" s="475">
        <v>54846000</v>
      </c>
      <c r="K413" s="210" t="s">
        <v>2711</v>
      </c>
      <c r="L413" s="212" t="s">
        <v>2712</v>
      </c>
      <c r="M413" s="212" t="s">
        <v>44</v>
      </c>
      <c r="N413" s="212" t="s">
        <v>45</v>
      </c>
      <c r="O413" s="212" t="s">
        <v>63</v>
      </c>
      <c r="P413" s="212" t="s">
        <v>674</v>
      </c>
      <c r="R413" s="486">
        <v>443</v>
      </c>
      <c r="S413" s="490">
        <v>44272</v>
      </c>
      <c r="T413" s="486" t="s">
        <v>3911</v>
      </c>
      <c r="U413" s="475">
        <v>54846000</v>
      </c>
      <c r="V413" s="406"/>
      <c r="W413" s="362"/>
      <c r="AG413" s="474">
        <f t="shared" si="6"/>
        <v>54846000</v>
      </c>
      <c r="AM413" s="212"/>
    </row>
    <row r="414" spans="1:39" hidden="1" x14ac:dyDescent="0.3">
      <c r="A414" s="476" t="s">
        <v>2522</v>
      </c>
      <c r="B414" s="477">
        <v>63000000</v>
      </c>
      <c r="C414" s="212" t="s">
        <v>2646</v>
      </c>
      <c r="D414" s="478">
        <v>409</v>
      </c>
      <c r="E414" s="478">
        <v>20213000014933</v>
      </c>
      <c r="F414" s="479">
        <v>44271</v>
      </c>
      <c r="G414" s="478" t="s">
        <v>2640</v>
      </c>
      <c r="H414" s="212" t="s">
        <v>2641</v>
      </c>
      <c r="I414" s="212" t="s">
        <v>432</v>
      </c>
      <c r="J414" s="475">
        <v>42000000</v>
      </c>
      <c r="K414" s="212" t="s">
        <v>342</v>
      </c>
      <c r="L414" s="212" t="s">
        <v>351</v>
      </c>
      <c r="M414" s="212" t="s">
        <v>44</v>
      </c>
      <c r="N414" s="212" t="s">
        <v>45</v>
      </c>
      <c r="O414" s="212" t="s">
        <v>63</v>
      </c>
      <c r="P414" s="212" t="s">
        <v>674</v>
      </c>
      <c r="R414" s="486">
        <v>444</v>
      </c>
      <c r="S414" s="490">
        <v>44272</v>
      </c>
      <c r="T414" s="486" t="s">
        <v>3912</v>
      </c>
      <c r="U414" s="475">
        <v>42000000</v>
      </c>
      <c r="V414" s="406"/>
      <c r="W414" s="362"/>
      <c r="X414" s="483" t="s">
        <v>3913</v>
      </c>
      <c r="Y414" s="484">
        <v>44305</v>
      </c>
      <c r="Z414" s="484">
        <v>44305</v>
      </c>
      <c r="AA414" s="484">
        <v>44487</v>
      </c>
      <c r="AB414" s="485" t="s">
        <v>2650</v>
      </c>
      <c r="AC414" s="483" t="s">
        <v>3914</v>
      </c>
      <c r="AD414" s="485" t="s">
        <v>3915</v>
      </c>
      <c r="AE414" s="486" t="s">
        <v>3916</v>
      </c>
      <c r="AF414" s="473">
        <v>42000000</v>
      </c>
      <c r="AG414" s="474">
        <f t="shared" si="6"/>
        <v>0</v>
      </c>
      <c r="AL414" s="475">
        <v>2333333</v>
      </c>
      <c r="AM414" s="306">
        <v>7000000</v>
      </c>
    </row>
    <row r="415" spans="1:39" hidden="1" x14ac:dyDescent="0.3">
      <c r="A415" s="476" t="s">
        <v>2218</v>
      </c>
      <c r="B415" s="477">
        <v>24530202</v>
      </c>
      <c r="C415" s="212" t="s">
        <v>2646</v>
      </c>
      <c r="D415" s="478">
        <v>410</v>
      </c>
      <c r="E415" s="478">
        <v>20211300013903</v>
      </c>
      <c r="F415" s="310">
        <v>44265</v>
      </c>
      <c r="G415" s="478" t="s">
        <v>2647</v>
      </c>
      <c r="H415" s="212" t="s">
        <v>2648</v>
      </c>
      <c r="I415" s="212" t="s">
        <v>210</v>
      </c>
      <c r="J415" s="475">
        <v>16353468</v>
      </c>
      <c r="K415" s="212" t="s">
        <v>138</v>
      </c>
      <c r="L415" s="212" t="s">
        <v>139</v>
      </c>
      <c r="M415" s="212" t="s">
        <v>44</v>
      </c>
      <c r="N415" s="212" t="s">
        <v>45</v>
      </c>
      <c r="O415" s="212" t="s">
        <v>142</v>
      </c>
      <c r="P415" s="212" t="s">
        <v>43</v>
      </c>
      <c r="R415" s="212">
        <v>401</v>
      </c>
      <c r="S415" s="490">
        <v>44266</v>
      </c>
      <c r="T415" s="486" t="s">
        <v>3917</v>
      </c>
      <c r="U415" s="475">
        <v>16353468</v>
      </c>
      <c r="V415" s="406"/>
      <c r="W415" s="362"/>
      <c r="X415" s="483" t="s">
        <v>3918</v>
      </c>
      <c r="Y415" s="484">
        <v>44280</v>
      </c>
      <c r="Z415" s="484">
        <v>44280</v>
      </c>
      <c r="AA415" s="484">
        <v>44402</v>
      </c>
      <c r="AB415" s="485" t="s">
        <v>2650</v>
      </c>
      <c r="AC415" s="483" t="s">
        <v>3919</v>
      </c>
      <c r="AD415" s="485" t="s">
        <v>3920</v>
      </c>
      <c r="AE415" s="486" t="s">
        <v>3921</v>
      </c>
      <c r="AF415" s="473">
        <v>16353468</v>
      </c>
      <c r="AG415" s="474">
        <f t="shared" si="6"/>
        <v>0</v>
      </c>
      <c r="AL415" s="475">
        <v>4769761</v>
      </c>
      <c r="AM415" s="306">
        <v>4088367</v>
      </c>
    </row>
    <row r="416" spans="1:39" hidden="1" x14ac:dyDescent="0.3">
      <c r="A416" s="476" t="s">
        <v>2333</v>
      </c>
      <c r="B416" s="477">
        <v>31706748</v>
      </c>
      <c r="C416" s="212" t="s">
        <v>2646</v>
      </c>
      <c r="D416" s="478">
        <v>411</v>
      </c>
      <c r="E416" s="478">
        <v>20216000013763</v>
      </c>
      <c r="F416" s="310">
        <v>44265</v>
      </c>
      <c r="G416" s="478" t="s">
        <v>2647</v>
      </c>
      <c r="H416" s="212" t="s">
        <v>2648</v>
      </c>
      <c r="I416" s="212" t="s">
        <v>214</v>
      </c>
      <c r="J416" s="475">
        <v>31706748</v>
      </c>
      <c r="K416" s="212" t="s">
        <v>138</v>
      </c>
      <c r="L416" s="212" t="s">
        <v>139</v>
      </c>
      <c r="M416" s="212" t="s">
        <v>44</v>
      </c>
      <c r="N416" s="212" t="s">
        <v>45</v>
      </c>
      <c r="O416" s="212" t="s">
        <v>142</v>
      </c>
      <c r="P416" s="212" t="s">
        <v>43</v>
      </c>
      <c r="R416" s="212">
        <v>392</v>
      </c>
      <c r="S416" s="490">
        <v>44266</v>
      </c>
      <c r="T416" s="486" t="s">
        <v>3922</v>
      </c>
      <c r="U416" s="475">
        <v>31706748</v>
      </c>
      <c r="V416" s="406"/>
      <c r="W416" s="362"/>
      <c r="X416" s="483" t="s">
        <v>3667</v>
      </c>
      <c r="Y416" s="484">
        <v>44280</v>
      </c>
      <c r="Z416" s="484">
        <v>44280</v>
      </c>
      <c r="AA416" s="484">
        <v>44555</v>
      </c>
      <c r="AB416" s="485" t="s">
        <v>2650</v>
      </c>
      <c r="AC416" s="483" t="s">
        <v>3923</v>
      </c>
      <c r="AD416" s="485" t="s">
        <v>3924</v>
      </c>
      <c r="AE416" s="486" t="s">
        <v>3925</v>
      </c>
      <c r="AF416" s="473">
        <v>31706748</v>
      </c>
      <c r="AG416" s="474">
        <f t="shared" si="6"/>
        <v>0</v>
      </c>
      <c r="AL416" s="475">
        <v>3640404</v>
      </c>
      <c r="AM416" s="306">
        <v>3522972</v>
      </c>
    </row>
    <row r="417" spans="1:39" hidden="1" x14ac:dyDescent="0.3">
      <c r="A417" s="476" t="s">
        <v>2465</v>
      </c>
      <c r="B417" s="477">
        <v>42000000</v>
      </c>
      <c r="C417" s="212" t="s">
        <v>2646</v>
      </c>
      <c r="D417" s="478">
        <v>412</v>
      </c>
      <c r="E417" s="478">
        <v>20213000014943</v>
      </c>
      <c r="F417" s="479">
        <v>44272</v>
      </c>
      <c r="G417" s="478" t="s">
        <v>2640</v>
      </c>
      <c r="H417" s="212" t="s">
        <v>2641</v>
      </c>
      <c r="I417" s="212" t="s">
        <v>432</v>
      </c>
      <c r="J417" s="475">
        <v>37500000</v>
      </c>
      <c r="K417" s="212" t="s">
        <v>342</v>
      </c>
      <c r="L417" s="212" t="s">
        <v>351</v>
      </c>
      <c r="M417" s="212" t="s">
        <v>44</v>
      </c>
      <c r="N417" s="212" t="s">
        <v>45</v>
      </c>
      <c r="O417" s="212" t="s">
        <v>63</v>
      </c>
      <c r="P417" s="212" t="s">
        <v>674</v>
      </c>
      <c r="R417" s="486">
        <v>452</v>
      </c>
      <c r="S417" s="490">
        <v>44272</v>
      </c>
      <c r="T417" s="486" t="s">
        <v>3926</v>
      </c>
      <c r="U417" s="475">
        <v>37500000</v>
      </c>
      <c r="V417" s="406"/>
      <c r="W417" s="362"/>
      <c r="X417" s="211" t="s">
        <v>3927</v>
      </c>
      <c r="Y417" s="472">
        <v>44300</v>
      </c>
      <c r="Z417" s="472">
        <v>44300</v>
      </c>
      <c r="AA417" s="472">
        <v>44453</v>
      </c>
      <c r="AB417" s="2" t="s">
        <v>2650</v>
      </c>
      <c r="AC417" s="211" t="s">
        <v>3877</v>
      </c>
      <c r="AD417" s="2" t="s">
        <v>3928</v>
      </c>
      <c r="AE417" s="212" t="s">
        <v>3929</v>
      </c>
      <c r="AF417" s="473">
        <v>37500000</v>
      </c>
      <c r="AG417" s="474">
        <f t="shared" ref="AG417:AG480" si="7">+U417-AF417</f>
        <v>0</v>
      </c>
      <c r="AL417" s="475">
        <v>4250000</v>
      </c>
      <c r="AM417" s="306">
        <v>7500000</v>
      </c>
    </row>
    <row r="418" spans="1:39" hidden="1" x14ac:dyDescent="0.3">
      <c r="A418" s="476" t="s">
        <v>2005</v>
      </c>
      <c r="B418" s="477">
        <v>29981358</v>
      </c>
      <c r="C418" s="212" t="s">
        <v>2646</v>
      </c>
      <c r="D418" s="478">
        <v>413</v>
      </c>
      <c r="E418" s="309">
        <v>20217000011163</v>
      </c>
      <c r="F418" s="479">
        <v>44256</v>
      </c>
      <c r="G418" s="478" t="s">
        <v>2647</v>
      </c>
      <c r="H418" s="212" t="s">
        <v>2648</v>
      </c>
      <c r="I418" s="212" t="s">
        <v>164</v>
      </c>
      <c r="J418" s="475">
        <v>17000000</v>
      </c>
      <c r="K418" s="212" t="s">
        <v>138</v>
      </c>
      <c r="L418" s="212" t="s">
        <v>139</v>
      </c>
      <c r="M418" s="212" t="s">
        <v>44</v>
      </c>
      <c r="N418" s="212" t="s">
        <v>45</v>
      </c>
      <c r="O418" s="212" t="s">
        <v>142</v>
      </c>
      <c r="P418" s="212" t="s">
        <v>43</v>
      </c>
      <c r="R418" s="212">
        <v>317</v>
      </c>
      <c r="S418" s="490">
        <v>44256</v>
      </c>
      <c r="T418" s="486" t="s">
        <v>3930</v>
      </c>
      <c r="U418" s="475">
        <v>17000000</v>
      </c>
      <c r="V418" s="406"/>
      <c r="W418" s="362"/>
      <c r="X418" s="483" t="s">
        <v>3931</v>
      </c>
      <c r="Y418" s="484">
        <v>44281</v>
      </c>
      <c r="Z418" s="484">
        <v>44281</v>
      </c>
      <c r="AA418" s="484">
        <v>44465</v>
      </c>
      <c r="AB418" s="485" t="s">
        <v>2650</v>
      </c>
      <c r="AC418" s="483" t="s">
        <v>3932</v>
      </c>
      <c r="AD418" s="485" t="s">
        <v>3933</v>
      </c>
      <c r="AE418" s="486" t="s">
        <v>2699</v>
      </c>
      <c r="AF418" s="473">
        <v>16353468</v>
      </c>
      <c r="AG418" s="474">
        <f t="shared" si="7"/>
        <v>646532</v>
      </c>
      <c r="AL418" s="475">
        <v>2907283</v>
      </c>
      <c r="AM418" s="306">
        <v>2725578</v>
      </c>
    </row>
    <row r="419" spans="1:39" hidden="1" x14ac:dyDescent="0.3">
      <c r="A419" s="476" t="s">
        <v>2517</v>
      </c>
      <c r="B419" s="477">
        <v>72000000</v>
      </c>
      <c r="C419" s="212" t="s">
        <v>2646</v>
      </c>
      <c r="D419" s="478">
        <v>414</v>
      </c>
      <c r="E419" s="478">
        <v>20213000014593</v>
      </c>
      <c r="F419" s="479">
        <v>44272</v>
      </c>
      <c r="G419" s="478" t="s">
        <v>2640</v>
      </c>
      <c r="H419" s="212" t="s">
        <v>2641</v>
      </c>
      <c r="I419" s="212" t="s">
        <v>432</v>
      </c>
      <c r="J419" s="475">
        <v>72000000</v>
      </c>
      <c r="K419" s="212" t="s">
        <v>342</v>
      </c>
      <c r="L419" s="212" t="s">
        <v>351</v>
      </c>
      <c r="M419" s="212" t="s">
        <v>44</v>
      </c>
      <c r="N419" s="212" t="s">
        <v>45</v>
      </c>
      <c r="O419" s="212" t="s">
        <v>63</v>
      </c>
      <c r="P419" s="212" t="s">
        <v>674</v>
      </c>
      <c r="R419" s="486">
        <v>448</v>
      </c>
      <c r="S419" s="490">
        <v>44272</v>
      </c>
      <c r="T419" s="486" t="s">
        <v>3934</v>
      </c>
      <c r="U419" s="475">
        <v>72000000</v>
      </c>
      <c r="V419" s="406"/>
      <c r="W419" s="362"/>
      <c r="X419" s="483" t="s">
        <v>3935</v>
      </c>
      <c r="Y419" s="484">
        <v>44299</v>
      </c>
      <c r="Z419" s="484">
        <v>44299</v>
      </c>
      <c r="AA419" s="484">
        <v>44543</v>
      </c>
      <c r="AB419" s="485" t="s">
        <v>2650</v>
      </c>
      <c r="AC419" s="483" t="s">
        <v>3936</v>
      </c>
      <c r="AD419" s="485" t="s">
        <v>3937</v>
      </c>
      <c r="AE419" s="486" t="s">
        <v>2831</v>
      </c>
      <c r="AF419" s="473">
        <v>72000000</v>
      </c>
      <c r="AG419" s="474">
        <f t="shared" si="7"/>
        <v>0</v>
      </c>
      <c r="AL419" s="475">
        <v>5400000</v>
      </c>
      <c r="AM419" s="306">
        <v>9000000</v>
      </c>
    </row>
    <row r="420" spans="1:39" hidden="1" x14ac:dyDescent="0.3">
      <c r="A420" s="476" t="s">
        <v>2457</v>
      </c>
      <c r="B420" s="477">
        <v>56000000</v>
      </c>
      <c r="C420" s="212" t="s">
        <v>2646</v>
      </c>
      <c r="D420" s="478">
        <v>415</v>
      </c>
      <c r="E420" s="478">
        <v>20213000014603</v>
      </c>
      <c r="F420" s="479">
        <v>44272</v>
      </c>
      <c r="G420" s="478" t="s">
        <v>2640</v>
      </c>
      <c r="H420" s="212" t="s">
        <v>2641</v>
      </c>
      <c r="I420" s="212" t="s">
        <v>432</v>
      </c>
      <c r="J420" s="475">
        <v>56000000</v>
      </c>
      <c r="K420" s="212" t="s">
        <v>342</v>
      </c>
      <c r="L420" s="212" t="s">
        <v>351</v>
      </c>
      <c r="M420" s="212" t="s">
        <v>44</v>
      </c>
      <c r="N420" s="212" t="s">
        <v>45</v>
      </c>
      <c r="O420" s="212" t="s">
        <v>63</v>
      </c>
      <c r="P420" s="212" t="s">
        <v>674</v>
      </c>
      <c r="R420" s="486">
        <v>449</v>
      </c>
      <c r="S420" s="490">
        <v>44272</v>
      </c>
      <c r="T420" s="486" t="s">
        <v>3938</v>
      </c>
      <c r="U420" s="475">
        <v>56000000</v>
      </c>
      <c r="V420" s="406"/>
      <c r="W420" s="362"/>
      <c r="X420" s="483" t="s">
        <v>3450</v>
      </c>
      <c r="Y420" s="484">
        <v>44285</v>
      </c>
      <c r="Z420" s="484">
        <v>44285</v>
      </c>
      <c r="AA420" s="484">
        <v>44530</v>
      </c>
      <c r="AB420" s="485" t="s">
        <v>2650</v>
      </c>
      <c r="AC420" s="483" t="s">
        <v>3939</v>
      </c>
      <c r="AD420" s="485" t="s">
        <v>3940</v>
      </c>
      <c r="AE420" s="486" t="s">
        <v>3941</v>
      </c>
      <c r="AF420" s="473">
        <v>56000000</v>
      </c>
      <c r="AG420" s="474">
        <f t="shared" si="7"/>
        <v>0</v>
      </c>
      <c r="AL420" s="475">
        <v>7233333</v>
      </c>
      <c r="AM420" s="306">
        <v>7000000</v>
      </c>
    </row>
    <row r="421" spans="1:39" hidden="1" x14ac:dyDescent="0.3">
      <c r="A421" s="476" t="s">
        <v>2460</v>
      </c>
      <c r="B421" s="477">
        <v>25200000</v>
      </c>
      <c r="C421" s="212" t="s">
        <v>2646</v>
      </c>
      <c r="D421" s="478">
        <v>416</v>
      </c>
      <c r="E421" s="478">
        <v>20213000014613</v>
      </c>
      <c r="F421" s="479">
        <v>44272</v>
      </c>
      <c r="G421" s="478" t="s">
        <v>2640</v>
      </c>
      <c r="H421" s="212" t="s">
        <v>2641</v>
      </c>
      <c r="I421" s="212" t="s">
        <v>432</v>
      </c>
      <c r="J421" s="475">
        <v>24530206</v>
      </c>
      <c r="K421" s="212" t="s">
        <v>342</v>
      </c>
      <c r="L421" s="212" t="s">
        <v>351</v>
      </c>
      <c r="M421" s="212" t="s">
        <v>44</v>
      </c>
      <c r="N421" s="212" t="s">
        <v>45</v>
      </c>
      <c r="O421" s="212" t="s">
        <v>63</v>
      </c>
      <c r="P421" s="212" t="s">
        <v>674</v>
      </c>
      <c r="R421" s="486">
        <v>450</v>
      </c>
      <c r="S421" s="490">
        <v>44272</v>
      </c>
      <c r="T421" s="486" t="s">
        <v>3942</v>
      </c>
      <c r="U421" s="475">
        <f>24530206-4</f>
        <v>24530202</v>
      </c>
      <c r="V421" s="406">
        <v>4</v>
      </c>
      <c r="W421" s="362"/>
      <c r="X421" s="211" t="s">
        <v>3943</v>
      </c>
      <c r="Y421" s="472">
        <v>44300</v>
      </c>
      <c r="Z421" s="472">
        <v>44300</v>
      </c>
      <c r="AA421" s="472">
        <v>44483</v>
      </c>
      <c r="AB421" s="2" t="s">
        <v>2650</v>
      </c>
      <c r="AC421" s="211" t="s">
        <v>3944</v>
      </c>
      <c r="AD421" s="2" t="s">
        <v>3945</v>
      </c>
      <c r="AE421" s="212" t="s">
        <v>3946</v>
      </c>
      <c r="AF421" s="473">
        <v>24530202</v>
      </c>
      <c r="AG421" s="474">
        <f t="shared" si="7"/>
        <v>0</v>
      </c>
      <c r="AL421" s="475">
        <v>2180462</v>
      </c>
      <c r="AM421" s="306">
        <v>4088367</v>
      </c>
    </row>
    <row r="422" spans="1:39" hidden="1" x14ac:dyDescent="0.3">
      <c r="A422" s="476" t="s">
        <v>2415</v>
      </c>
      <c r="B422" s="477">
        <v>34978251</v>
      </c>
      <c r="C422" s="212" t="s">
        <v>2646</v>
      </c>
      <c r="D422" s="478">
        <v>417</v>
      </c>
      <c r="E422" s="478">
        <v>20217000015403</v>
      </c>
      <c r="F422" s="479">
        <v>44272</v>
      </c>
      <c r="G422" s="478" t="s">
        <v>2647</v>
      </c>
      <c r="H422" s="212" t="s">
        <v>2648</v>
      </c>
      <c r="I422" s="212" t="s">
        <v>164</v>
      </c>
      <c r="J422" s="475">
        <v>12719364</v>
      </c>
      <c r="K422" s="212" t="s">
        <v>138</v>
      </c>
      <c r="L422" s="212" t="s">
        <v>139</v>
      </c>
      <c r="M422" s="212" t="s">
        <v>44</v>
      </c>
      <c r="N422" s="212" t="s">
        <v>45</v>
      </c>
      <c r="O422" s="212" t="s">
        <v>142</v>
      </c>
      <c r="P422" s="212" t="s">
        <v>43</v>
      </c>
      <c r="R422" s="486">
        <v>453</v>
      </c>
      <c r="S422" s="490">
        <v>44272</v>
      </c>
      <c r="T422" s="486" t="s">
        <v>3947</v>
      </c>
      <c r="U422" s="475">
        <v>12719364</v>
      </c>
      <c r="V422" s="406"/>
      <c r="W422" s="362"/>
      <c r="X422" s="483" t="s">
        <v>3948</v>
      </c>
      <c r="Y422" s="484">
        <v>44307</v>
      </c>
      <c r="Z422" s="484">
        <v>44307</v>
      </c>
      <c r="AA422" s="484">
        <v>44428</v>
      </c>
      <c r="AB422" s="485" t="s">
        <v>2650</v>
      </c>
      <c r="AC422" s="483" t="s">
        <v>3949</v>
      </c>
      <c r="AD422" s="485" t="s">
        <v>3950</v>
      </c>
      <c r="AE422" s="486" t="s">
        <v>2823</v>
      </c>
      <c r="AF422" s="473">
        <v>12719364</v>
      </c>
      <c r="AG422" s="474">
        <f t="shared" si="7"/>
        <v>0</v>
      </c>
      <c r="AL422" s="475">
        <v>1059947</v>
      </c>
      <c r="AM422" s="306">
        <v>3179841</v>
      </c>
    </row>
    <row r="423" spans="1:39" hidden="1" x14ac:dyDescent="0.3">
      <c r="A423" s="476" t="s">
        <v>2015</v>
      </c>
      <c r="B423" s="477">
        <v>53148771</v>
      </c>
      <c r="C423" s="212" t="s">
        <v>2646</v>
      </c>
      <c r="D423" s="478">
        <v>418</v>
      </c>
      <c r="E423" s="478">
        <v>20217000015423</v>
      </c>
      <c r="F423" s="479">
        <v>44272</v>
      </c>
      <c r="G423" s="478" t="s">
        <v>2647</v>
      </c>
      <c r="H423" s="212" t="s">
        <v>2648</v>
      </c>
      <c r="I423" s="212" t="s">
        <v>164</v>
      </c>
      <c r="J423" s="475">
        <v>41337933</v>
      </c>
      <c r="K423" s="212" t="s">
        <v>138</v>
      </c>
      <c r="L423" s="212" t="s">
        <v>139</v>
      </c>
      <c r="M423" s="212" t="s">
        <v>44</v>
      </c>
      <c r="N423" s="212" t="s">
        <v>45</v>
      </c>
      <c r="O423" s="212" t="s">
        <v>142</v>
      </c>
      <c r="P423" s="212" t="s">
        <v>43</v>
      </c>
      <c r="R423" s="486">
        <v>454</v>
      </c>
      <c r="S423" s="490">
        <v>44272</v>
      </c>
      <c r="T423" s="486" t="s">
        <v>3951</v>
      </c>
      <c r="U423" s="475">
        <v>41337933</v>
      </c>
      <c r="V423" s="406"/>
      <c r="W423" s="362"/>
      <c r="X423" s="483" t="s">
        <v>3952</v>
      </c>
      <c r="Y423" s="484">
        <v>44306</v>
      </c>
      <c r="Z423" s="484">
        <v>44306</v>
      </c>
      <c r="AA423" s="484">
        <v>44519</v>
      </c>
      <c r="AB423" s="485" t="s">
        <v>2650</v>
      </c>
      <c r="AC423" s="483" t="s">
        <v>3729</v>
      </c>
      <c r="AD423" s="485" t="s">
        <v>3953</v>
      </c>
      <c r="AE423" s="486" t="s">
        <v>3954</v>
      </c>
      <c r="AF423" s="473">
        <v>41337933</v>
      </c>
      <c r="AG423" s="474">
        <f t="shared" si="7"/>
        <v>0</v>
      </c>
      <c r="AL423" s="475">
        <v>1968473</v>
      </c>
      <c r="AM423" s="306">
        <v>5905419</v>
      </c>
    </row>
    <row r="424" spans="1:39" hidden="1" x14ac:dyDescent="0.3">
      <c r="A424" s="476" t="s">
        <v>2008</v>
      </c>
      <c r="B424" s="477">
        <v>34978251</v>
      </c>
      <c r="C424" s="212" t="s">
        <v>2646</v>
      </c>
      <c r="D424" s="478">
        <v>419</v>
      </c>
      <c r="E424" s="478">
        <v>20217000015353</v>
      </c>
      <c r="F424" s="479">
        <v>44273</v>
      </c>
      <c r="G424" s="478" t="s">
        <v>2647</v>
      </c>
      <c r="H424" s="212" t="s">
        <v>2648</v>
      </c>
      <c r="I424" s="212" t="s">
        <v>164</v>
      </c>
      <c r="J424" s="475">
        <v>12719364</v>
      </c>
      <c r="K424" s="212" t="s">
        <v>138</v>
      </c>
      <c r="L424" s="212" t="s">
        <v>139</v>
      </c>
      <c r="M424" s="212" t="s">
        <v>44</v>
      </c>
      <c r="N424" s="212" t="s">
        <v>45</v>
      </c>
      <c r="O424" s="212" t="s">
        <v>142</v>
      </c>
      <c r="P424" s="212" t="s">
        <v>43</v>
      </c>
      <c r="R424" s="486">
        <v>455</v>
      </c>
      <c r="S424" s="490">
        <v>44274</v>
      </c>
      <c r="T424" s="486" t="s">
        <v>3955</v>
      </c>
      <c r="U424" s="475">
        <v>12719364</v>
      </c>
      <c r="V424" s="406"/>
      <c r="W424" s="362"/>
      <c r="X424" s="483" t="s">
        <v>3956</v>
      </c>
      <c r="Y424" s="484">
        <v>44286</v>
      </c>
      <c r="Z424" s="484">
        <v>44286</v>
      </c>
      <c r="AA424" s="484">
        <v>44408</v>
      </c>
      <c r="AB424" s="485" t="s">
        <v>2650</v>
      </c>
      <c r="AC424" s="483" t="s">
        <v>3957</v>
      </c>
      <c r="AD424" s="485" t="s">
        <v>3958</v>
      </c>
      <c r="AE424" s="486" t="s">
        <v>2795</v>
      </c>
      <c r="AF424" s="473">
        <v>12719364</v>
      </c>
      <c r="AG424" s="474">
        <f t="shared" si="7"/>
        <v>0</v>
      </c>
      <c r="AL424" s="475">
        <v>2755862</v>
      </c>
      <c r="AM424" s="306">
        <v>3179841</v>
      </c>
    </row>
    <row r="425" spans="1:39" hidden="1" x14ac:dyDescent="0.3">
      <c r="B425" s="501" t="s">
        <v>2683</v>
      </c>
      <c r="C425" s="212" t="s">
        <v>3959</v>
      </c>
      <c r="D425" s="478">
        <v>420</v>
      </c>
      <c r="E425" s="478">
        <v>20217000015503</v>
      </c>
      <c r="F425" s="479">
        <v>44273</v>
      </c>
      <c r="G425" s="478" t="s">
        <v>2647</v>
      </c>
      <c r="H425" s="212" t="s">
        <v>2648</v>
      </c>
      <c r="I425" s="212" t="s">
        <v>164</v>
      </c>
      <c r="J425" s="475">
        <v>5299818</v>
      </c>
      <c r="K425" s="212" t="s">
        <v>138</v>
      </c>
      <c r="L425" s="212" t="s">
        <v>139</v>
      </c>
      <c r="M425" s="212" t="s">
        <v>44</v>
      </c>
      <c r="N425" s="212" t="s">
        <v>45</v>
      </c>
      <c r="O425" s="212" t="s">
        <v>142</v>
      </c>
      <c r="P425" s="212" t="s">
        <v>43</v>
      </c>
      <c r="R425" s="486">
        <v>456</v>
      </c>
      <c r="S425" s="490">
        <v>44274</v>
      </c>
      <c r="T425" s="486" t="s">
        <v>3960</v>
      </c>
      <c r="U425" s="475">
        <v>5299818</v>
      </c>
      <c r="V425" s="406"/>
      <c r="W425" s="362"/>
      <c r="X425" s="483" t="s">
        <v>3961</v>
      </c>
      <c r="Y425" s="484">
        <v>44285</v>
      </c>
      <c r="Z425" s="484">
        <v>44285</v>
      </c>
      <c r="AA425" s="484">
        <v>44329</v>
      </c>
      <c r="AB425" s="485" t="s">
        <v>2650</v>
      </c>
      <c r="AC425" s="483" t="s">
        <v>3962</v>
      </c>
      <c r="AD425" s="485" t="s">
        <v>3963</v>
      </c>
      <c r="AE425" s="486" t="s">
        <v>3964</v>
      </c>
      <c r="AF425" s="473">
        <v>5266818</v>
      </c>
      <c r="AG425" s="474">
        <f t="shared" si="7"/>
        <v>33000</v>
      </c>
      <c r="AK425" s="475">
        <v>117040</v>
      </c>
      <c r="AL425" s="475">
        <v>3511212</v>
      </c>
      <c r="AM425" s="306">
        <v>1521525</v>
      </c>
    </row>
    <row r="426" spans="1:39" hidden="1" x14ac:dyDescent="0.3">
      <c r="A426" s="476" t="s">
        <v>2418</v>
      </c>
      <c r="B426" s="477">
        <v>64260000</v>
      </c>
      <c r="C426" s="212" t="s">
        <v>2646</v>
      </c>
      <c r="D426" s="478">
        <v>421</v>
      </c>
      <c r="E426" s="478">
        <v>20212000015563</v>
      </c>
      <c r="F426" s="479">
        <v>44273</v>
      </c>
      <c r="G426" s="478" t="s">
        <v>2640</v>
      </c>
      <c r="H426" s="212" t="s">
        <v>2641</v>
      </c>
      <c r="I426" s="212" t="s">
        <v>391</v>
      </c>
      <c r="J426" s="475">
        <v>60690000</v>
      </c>
      <c r="K426" s="210" t="s">
        <v>2711</v>
      </c>
      <c r="L426" s="212" t="s">
        <v>2712</v>
      </c>
      <c r="M426" s="212" t="s">
        <v>44</v>
      </c>
      <c r="N426" s="212" t="s">
        <v>45</v>
      </c>
      <c r="O426" s="212" t="s">
        <v>63</v>
      </c>
      <c r="P426" s="212" t="s">
        <v>674</v>
      </c>
      <c r="R426" s="486">
        <v>457</v>
      </c>
      <c r="S426" s="490">
        <v>44274</v>
      </c>
      <c r="T426" s="486" t="s">
        <v>3965</v>
      </c>
      <c r="U426" s="475">
        <v>60690000</v>
      </c>
      <c r="V426" s="406"/>
      <c r="W426" s="362"/>
      <c r="X426" s="483" t="s">
        <v>3966</v>
      </c>
      <c r="Y426" s="484">
        <v>44307</v>
      </c>
      <c r="Z426" s="484">
        <v>44307</v>
      </c>
      <c r="AA426" s="484">
        <v>44550</v>
      </c>
      <c r="AB426" s="485" t="s">
        <v>2650</v>
      </c>
      <c r="AC426" s="483" t="s">
        <v>3809</v>
      </c>
      <c r="AD426" s="485" t="s">
        <v>3967</v>
      </c>
      <c r="AE426" s="486" t="s">
        <v>3968</v>
      </c>
      <c r="AF426" s="473">
        <v>57120000</v>
      </c>
      <c r="AG426" s="474">
        <f t="shared" si="7"/>
        <v>3570000</v>
      </c>
      <c r="AL426" s="475">
        <v>2380000</v>
      </c>
      <c r="AM426" s="306">
        <v>7140000</v>
      </c>
    </row>
    <row r="427" spans="1:39" hidden="1" x14ac:dyDescent="0.3">
      <c r="A427" s="476" t="s">
        <v>2420</v>
      </c>
      <c r="B427" s="477">
        <v>64260000</v>
      </c>
      <c r="C427" s="212" t="s">
        <v>2646</v>
      </c>
      <c r="D427" s="478">
        <v>422</v>
      </c>
      <c r="E427" s="478">
        <v>20212000015603</v>
      </c>
      <c r="F427" s="479">
        <v>44273</v>
      </c>
      <c r="G427" s="478" t="s">
        <v>2640</v>
      </c>
      <c r="H427" s="212" t="s">
        <v>2641</v>
      </c>
      <c r="I427" s="212" t="s">
        <v>391</v>
      </c>
      <c r="J427" s="475">
        <v>64260000</v>
      </c>
      <c r="K427" s="212" t="s">
        <v>396</v>
      </c>
      <c r="L427" s="212" t="s">
        <v>397</v>
      </c>
      <c r="M427" s="212" t="s">
        <v>44</v>
      </c>
      <c r="N427" s="212" t="s">
        <v>45</v>
      </c>
      <c r="O427" s="212" t="s">
        <v>63</v>
      </c>
      <c r="P427" s="212" t="s">
        <v>674</v>
      </c>
      <c r="R427" s="486">
        <v>458</v>
      </c>
      <c r="S427" s="490">
        <v>44274</v>
      </c>
      <c r="T427" s="486" t="s">
        <v>3969</v>
      </c>
      <c r="U427" s="475">
        <v>64260000</v>
      </c>
      <c r="V427" s="406"/>
      <c r="W427" s="362"/>
      <c r="X427" s="483" t="s">
        <v>3970</v>
      </c>
      <c r="Y427" s="484">
        <v>44307</v>
      </c>
      <c r="Z427" s="484">
        <v>44307</v>
      </c>
      <c r="AA427" s="484">
        <v>44549</v>
      </c>
      <c r="AB427" s="485" t="s">
        <v>2650</v>
      </c>
      <c r="AC427" s="483" t="s">
        <v>1843</v>
      </c>
      <c r="AD427" s="485" t="s">
        <v>3971</v>
      </c>
      <c r="AE427" s="486" t="s">
        <v>3972</v>
      </c>
      <c r="AF427" s="473">
        <v>57120000</v>
      </c>
      <c r="AG427" s="474">
        <f t="shared" si="7"/>
        <v>7140000</v>
      </c>
      <c r="AL427" s="475">
        <v>2380000</v>
      </c>
      <c r="AM427" s="306">
        <v>7140000</v>
      </c>
    </row>
    <row r="428" spans="1:39" hidden="1" x14ac:dyDescent="0.3">
      <c r="A428" s="476" t="s">
        <v>2421</v>
      </c>
      <c r="B428" s="477">
        <v>64260000</v>
      </c>
      <c r="C428" s="212" t="s">
        <v>2646</v>
      </c>
      <c r="D428" s="478">
        <v>423</v>
      </c>
      <c r="E428" s="478">
        <v>20212000015633</v>
      </c>
      <c r="F428" s="479">
        <v>44273</v>
      </c>
      <c r="G428" s="478" t="s">
        <v>2640</v>
      </c>
      <c r="H428" s="212" t="s">
        <v>2641</v>
      </c>
      <c r="I428" s="212" t="s">
        <v>391</v>
      </c>
      <c r="J428" s="475">
        <v>64260000</v>
      </c>
      <c r="K428" s="210" t="s">
        <v>2711</v>
      </c>
      <c r="L428" s="212" t="s">
        <v>2712</v>
      </c>
      <c r="M428" s="212" t="s">
        <v>44</v>
      </c>
      <c r="N428" s="212" t="s">
        <v>45</v>
      </c>
      <c r="O428" s="212" t="s">
        <v>63</v>
      </c>
      <c r="P428" s="212" t="s">
        <v>674</v>
      </c>
      <c r="R428" s="486">
        <v>459</v>
      </c>
      <c r="S428" s="490">
        <v>44274</v>
      </c>
      <c r="T428" s="486" t="s">
        <v>3973</v>
      </c>
      <c r="U428" s="475">
        <v>64260000</v>
      </c>
      <c r="V428" s="406"/>
      <c r="W428" s="362"/>
      <c r="X428" s="483" t="s">
        <v>3974</v>
      </c>
      <c r="Y428" s="484">
        <v>44319</v>
      </c>
      <c r="Z428" s="484">
        <v>44319</v>
      </c>
      <c r="AA428" s="484">
        <v>44561</v>
      </c>
      <c r="AB428" s="486" t="s">
        <v>2650</v>
      </c>
      <c r="AC428" s="483" t="s">
        <v>3354</v>
      </c>
      <c r="AD428" s="486" t="s">
        <v>3975</v>
      </c>
      <c r="AE428" s="486" t="s">
        <v>3976</v>
      </c>
      <c r="AF428" s="473">
        <v>57120000</v>
      </c>
      <c r="AG428" s="474">
        <f t="shared" si="7"/>
        <v>7140000</v>
      </c>
      <c r="AM428" s="306">
        <v>6188000</v>
      </c>
    </row>
    <row r="429" spans="1:39" hidden="1" x14ac:dyDescent="0.3">
      <c r="A429" s="466" t="s">
        <v>2422</v>
      </c>
      <c r="B429" s="467">
        <v>64260000</v>
      </c>
      <c r="C429" s="212" t="s">
        <v>2646</v>
      </c>
      <c r="D429" s="469">
        <v>424</v>
      </c>
      <c r="E429" s="469">
        <v>20212000015643</v>
      </c>
      <c r="F429" s="470">
        <v>44273</v>
      </c>
      <c r="G429" s="469" t="s">
        <v>2640</v>
      </c>
      <c r="H429" s="468" t="s">
        <v>2641</v>
      </c>
      <c r="I429" s="468" t="s">
        <v>391</v>
      </c>
      <c r="J429" s="471">
        <v>64260000</v>
      </c>
      <c r="K429" s="468" t="s">
        <v>396</v>
      </c>
      <c r="L429" s="468" t="s">
        <v>397</v>
      </c>
      <c r="M429" s="468" t="s">
        <v>44</v>
      </c>
      <c r="N429" s="468" t="s">
        <v>45</v>
      </c>
      <c r="O429" s="468" t="s">
        <v>63</v>
      </c>
      <c r="P429" s="212" t="s">
        <v>674</v>
      </c>
      <c r="Q429" s="468"/>
      <c r="R429" s="529">
        <v>460</v>
      </c>
      <c r="S429" s="528">
        <v>44274</v>
      </c>
      <c r="T429" s="529" t="s">
        <v>3977</v>
      </c>
      <c r="U429" s="471">
        <v>64260000</v>
      </c>
      <c r="V429" s="414"/>
      <c r="W429" s="379"/>
      <c r="X429" s="483" t="s">
        <v>3978</v>
      </c>
      <c r="Y429" s="484">
        <v>44299</v>
      </c>
      <c r="Z429" s="484">
        <v>44299</v>
      </c>
      <c r="AA429" s="484">
        <v>44561</v>
      </c>
      <c r="AB429" s="485" t="s">
        <v>2650</v>
      </c>
      <c r="AC429" s="483" t="s">
        <v>3648</v>
      </c>
      <c r="AD429" s="485" t="s">
        <v>3979</v>
      </c>
      <c r="AE429" s="486" t="s">
        <v>3980</v>
      </c>
      <c r="AF429" s="473">
        <v>60690000</v>
      </c>
      <c r="AG429" s="474">
        <f t="shared" si="7"/>
        <v>3570000</v>
      </c>
      <c r="AI429" s="471"/>
      <c r="AJ429" s="471"/>
      <c r="AK429" s="471"/>
      <c r="AL429" s="471">
        <v>4046000</v>
      </c>
      <c r="AM429" s="306">
        <v>7140000</v>
      </c>
    </row>
    <row r="430" spans="1:39" hidden="1" x14ac:dyDescent="0.3">
      <c r="A430" s="476" t="s">
        <v>2398</v>
      </c>
      <c r="B430" s="477">
        <v>64260000</v>
      </c>
      <c r="C430" s="212" t="s">
        <v>2646</v>
      </c>
      <c r="D430" s="478">
        <v>425</v>
      </c>
      <c r="E430" s="478">
        <v>20212000015653</v>
      </c>
      <c r="F430" s="479">
        <v>44273</v>
      </c>
      <c r="G430" s="478" t="s">
        <v>2640</v>
      </c>
      <c r="H430" s="212" t="s">
        <v>2641</v>
      </c>
      <c r="I430" s="212" t="s">
        <v>391</v>
      </c>
      <c r="J430" s="475">
        <v>49470000</v>
      </c>
      <c r="K430" s="212" t="s">
        <v>396</v>
      </c>
      <c r="L430" s="212" t="s">
        <v>397</v>
      </c>
      <c r="M430" s="212" t="s">
        <v>44</v>
      </c>
      <c r="N430" s="212" t="s">
        <v>45</v>
      </c>
      <c r="O430" s="212" t="s">
        <v>63</v>
      </c>
      <c r="P430" s="212" t="s">
        <v>674</v>
      </c>
      <c r="R430" s="486">
        <v>461</v>
      </c>
      <c r="S430" s="490">
        <v>44274</v>
      </c>
      <c r="T430" s="486" t="s">
        <v>3981</v>
      </c>
      <c r="U430" s="475">
        <v>49470000</v>
      </c>
      <c r="V430" s="406"/>
      <c r="W430" s="362"/>
      <c r="X430" s="483" t="s">
        <v>3982</v>
      </c>
      <c r="Y430" s="484">
        <v>44294</v>
      </c>
      <c r="Z430" s="484">
        <v>44294</v>
      </c>
      <c r="AA430" s="484">
        <v>44550</v>
      </c>
      <c r="AB430" s="485" t="s">
        <v>2650</v>
      </c>
      <c r="AC430" s="483" t="s">
        <v>3652</v>
      </c>
      <c r="AD430" s="485" t="s">
        <v>3983</v>
      </c>
      <c r="AE430" s="486" t="s">
        <v>3984</v>
      </c>
      <c r="AF430" s="473">
        <v>49470000</v>
      </c>
      <c r="AG430" s="474">
        <f t="shared" si="7"/>
        <v>0</v>
      </c>
      <c r="AL430" s="475">
        <v>4462000</v>
      </c>
      <c r="AM430" s="306">
        <v>5820000</v>
      </c>
    </row>
    <row r="431" spans="1:39" hidden="1" x14ac:dyDescent="0.3">
      <c r="B431" s="501" t="s">
        <v>2683</v>
      </c>
      <c r="C431" s="212" t="s">
        <v>3985</v>
      </c>
      <c r="D431" s="478">
        <v>426</v>
      </c>
      <c r="E431" s="478">
        <v>20211300015853</v>
      </c>
      <c r="F431" s="479">
        <v>44274</v>
      </c>
      <c r="G431" s="478" t="s">
        <v>2647</v>
      </c>
      <c r="H431" s="212" t="s">
        <v>2648</v>
      </c>
      <c r="I431" s="212" t="s">
        <v>210</v>
      </c>
      <c r="J431" s="475">
        <v>11411438</v>
      </c>
      <c r="K431" s="212" t="s">
        <v>138</v>
      </c>
      <c r="L431" s="212" t="s">
        <v>139</v>
      </c>
      <c r="M431" s="212" t="s">
        <v>44</v>
      </c>
      <c r="N431" s="212" t="s">
        <v>45</v>
      </c>
      <c r="O431" s="212" t="s">
        <v>142</v>
      </c>
      <c r="P431" s="212" t="s">
        <v>43</v>
      </c>
      <c r="R431" s="486">
        <v>462</v>
      </c>
      <c r="S431" s="490">
        <v>44274</v>
      </c>
      <c r="T431" s="486" t="s">
        <v>3986</v>
      </c>
      <c r="U431" s="475">
        <v>11411438</v>
      </c>
      <c r="V431" s="406"/>
      <c r="W431" s="362"/>
      <c r="X431" s="483" t="s">
        <v>3712</v>
      </c>
      <c r="Y431" s="484">
        <v>44285</v>
      </c>
      <c r="Z431" s="484">
        <v>44287</v>
      </c>
      <c r="AA431" s="484">
        <v>44347</v>
      </c>
      <c r="AB431" s="485" t="s">
        <v>2650</v>
      </c>
      <c r="AC431" s="483" t="s">
        <v>3987</v>
      </c>
      <c r="AD431" s="485" t="s">
        <v>3988</v>
      </c>
      <c r="AE431" s="486" t="s">
        <v>3989</v>
      </c>
      <c r="AF431" s="473">
        <v>11411438</v>
      </c>
      <c r="AG431" s="474">
        <f t="shared" si="7"/>
        <v>0</v>
      </c>
      <c r="AL431" s="475">
        <v>5705719</v>
      </c>
      <c r="AM431" s="306">
        <v>5705719</v>
      </c>
    </row>
    <row r="432" spans="1:39" hidden="1" x14ac:dyDescent="0.3">
      <c r="B432" s="501" t="s">
        <v>2683</v>
      </c>
      <c r="C432" s="212" t="s">
        <v>3990</v>
      </c>
      <c r="D432" s="478">
        <v>427</v>
      </c>
      <c r="E432" s="478">
        <v>20211300015873</v>
      </c>
      <c r="F432" s="479">
        <v>44274</v>
      </c>
      <c r="G432" s="478" t="s">
        <v>2647</v>
      </c>
      <c r="H432" s="212" t="s">
        <v>2648</v>
      </c>
      <c r="I432" s="212" t="s">
        <v>210</v>
      </c>
      <c r="J432" s="475">
        <v>12874444</v>
      </c>
      <c r="K432" s="212" t="s">
        <v>138</v>
      </c>
      <c r="L432" s="212" t="s">
        <v>139</v>
      </c>
      <c r="M432" s="212" t="s">
        <v>44</v>
      </c>
      <c r="N432" s="212" t="s">
        <v>45</v>
      </c>
      <c r="O432" s="212" t="s">
        <v>142</v>
      </c>
      <c r="P432" s="212" t="s">
        <v>43</v>
      </c>
      <c r="R432" s="486">
        <v>464</v>
      </c>
      <c r="S432" s="490">
        <v>44274</v>
      </c>
      <c r="T432" s="486" t="s">
        <v>3991</v>
      </c>
      <c r="U432" s="475">
        <v>12874444</v>
      </c>
      <c r="V432" s="406"/>
      <c r="W432" s="362"/>
      <c r="X432" s="483" t="s">
        <v>2927</v>
      </c>
      <c r="Y432" s="484">
        <v>44285</v>
      </c>
      <c r="Z432" s="484">
        <v>44286</v>
      </c>
      <c r="AA432" s="484">
        <v>44340</v>
      </c>
      <c r="AB432" s="485" t="s">
        <v>2650</v>
      </c>
      <c r="AC432" s="483" t="s">
        <v>3992</v>
      </c>
      <c r="AD432" s="485" t="s">
        <v>3993</v>
      </c>
      <c r="AE432" s="486" t="s">
        <v>3994</v>
      </c>
      <c r="AF432" s="473">
        <v>12874444</v>
      </c>
      <c r="AG432" s="474">
        <f t="shared" si="7"/>
        <v>0</v>
      </c>
      <c r="AL432" s="475">
        <v>7022424</v>
      </c>
      <c r="AM432" s="306">
        <v>5617939</v>
      </c>
    </row>
    <row r="433" spans="1:39" hidden="1" x14ac:dyDescent="0.3">
      <c r="B433" s="501" t="s">
        <v>2683</v>
      </c>
      <c r="C433" s="212" t="s">
        <v>3995</v>
      </c>
      <c r="D433" s="478">
        <v>428</v>
      </c>
      <c r="E433" s="478">
        <v>20211300015863</v>
      </c>
      <c r="F433" s="479">
        <v>44274</v>
      </c>
      <c r="G433" s="478" t="s">
        <v>2647</v>
      </c>
      <c r="H433" s="212" t="s">
        <v>2648</v>
      </c>
      <c r="I433" s="212" t="s">
        <v>210</v>
      </c>
      <c r="J433" s="475">
        <v>11411438</v>
      </c>
      <c r="K433" s="212" t="s">
        <v>138</v>
      </c>
      <c r="L433" s="212" t="s">
        <v>139</v>
      </c>
      <c r="M433" s="212" t="s">
        <v>44</v>
      </c>
      <c r="N433" s="212" t="s">
        <v>45</v>
      </c>
      <c r="O433" s="212" t="s">
        <v>142</v>
      </c>
      <c r="P433" s="212" t="s">
        <v>43</v>
      </c>
      <c r="R433" s="486">
        <v>463</v>
      </c>
      <c r="S433" s="490">
        <v>44274</v>
      </c>
      <c r="T433" s="486" t="s">
        <v>3996</v>
      </c>
      <c r="U433" s="475">
        <v>11411438</v>
      </c>
      <c r="V433" s="406"/>
      <c r="W433" s="362"/>
      <c r="X433" s="483" t="s">
        <v>3914</v>
      </c>
      <c r="Y433" s="484">
        <v>44285</v>
      </c>
      <c r="Z433" s="484">
        <v>44287</v>
      </c>
      <c r="AA433" s="484">
        <v>44347</v>
      </c>
      <c r="AB433" s="485" t="s">
        <v>2650</v>
      </c>
      <c r="AC433" s="483" t="s">
        <v>3997</v>
      </c>
      <c r="AD433" s="485" t="s">
        <v>3998</v>
      </c>
      <c r="AE433" s="486" t="s">
        <v>3999</v>
      </c>
      <c r="AF433" s="473">
        <v>11411438</v>
      </c>
      <c r="AG433" s="474">
        <f t="shared" si="7"/>
        <v>0</v>
      </c>
      <c r="AL433" s="475">
        <v>5705719</v>
      </c>
      <c r="AM433" s="306">
        <v>5705719</v>
      </c>
    </row>
    <row r="434" spans="1:39" hidden="1" x14ac:dyDescent="0.3">
      <c r="A434" s="476" t="s">
        <v>2410</v>
      </c>
      <c r="B434" s="477">
        <v>65413872</v>
      </c>
      <c r="C434" s="212" t="s">
        <v>2646</v>
      </c>
      <c r="D434" s="478">
        <v>429</v>
      </c>
      <c r="E434" s="478">
        <v>20217000015983</v>
      </c>
      <c r="F434" s="479">
        <v>44274</v>
      </c>
      <c r="G434" s="478" t="s">
        <v>2647</v>
      </c>
      <c r="H434" s="212" t="s">
        <v>2648</v>
      </c>
      <c r="I434" s="212" t="s">
        <v>164</v>
      </c>
      <c r="J434" s="475">
        <v>62400000</v>
      </c>
      <c r="K434" s="212" t="s">
        <v>138</v>
      </c>
      <c r="L434" s="212" t="s">
        <v>139</v>
      </c>
      <c r="M434" s="212" t="s">
        <v>44</v>
      </c>
      <c r="N434" s="212" t="s">
        <v>45</v>
      </c>
      <c r="O434" s="212" t="s">
        <v>142</v>
      </c>
      <c r="P434" s="212" t="s">
        <v>43</v>
      </c>
      <c r="R434" s="486">
        <v>469</v>
      </c>
      <c r="S434" s="490">
        <v>44274</v>
      </c>
      <c r="T434" s="486" t="s">
        <v>4000</v>
      </c>
      <c r="U434" s="475">
        <v>62400000</v>
      </c>
      <c r="V434" s="406"/>
      <c r="W434" s="362"/>
      <c r="X434" s="483" t="s">
        <v>4001</v>
      </c>
      <c r="Y434" s="484">
        <v>44299</v>
      </c>
      <c r="Z434" s="484">
        <v>44299</v>
      </c>
      <c r="AA434" s="484">
        <v>44543</v>
      </c>
      <c r="AB434" s="485" t="s">
        <v>2650</v>
      </c>
      <c r="AC434" s="483" t="s">
        <v>3856</v>
      </c>
      <c r="AD434" s="485" t="s">
        <v>4002</v>
      </c>
      <c r="AE434" s="486" t="s">
        <v>2705</v>
      </c>
      <c r="AF434" s="473">
        <v>62400000</v>
      </c>
      <c r="AG434" s="474">
        <f t="shared" si="7"/>
        <v>0</v>
      </c>
      <c r="AL434" s="475">
        <v>4160000</v>
      </c>
      <c r="AM434" s="306">
        <v>7800000</v>
      </c>
    </row>
    <row r="435" spans="1:39" hidden="1" x14ac:dyDescent="0.3">
      <c r="A435" s="476" t="s">
        <v>2411</v>
      </c>
      <c r="B435" s="477">
        <v>65413872</v>
      </c>
      <c r="C435" s="212" t="s">
        <v>2646</v>
      </c>
      <c r="D435" s="478">
        <v>430</v>
      </c>
      <c r="E435" s="478">
        <v>20217000015993</v>
      </c>
      <c r="F435" s="479">
        <v>44274</v>
      </c>
      <c r="G435" s="478" t="s">
        <v>2647</v>
      </c>
      <c r="H435" s="212" t="s">
        <v>2648</v>
      </c>
      <c r="I435" s="212" t="s">
        <v>164</v>
      </c>
      <c r="J435" s="475">
        <v>54600000</v>
      </c>
      <c r="K435" s="212" t="s">
        <v>138</v>
      </c>
      <c r="L435" s="212" t="s">
        <v>139</v>
      </c>
      <c r="M435" s="212" t="s">
        <v>44</v>
      </c>
      <c r="N435" s="212" t="s">
        <v>45</v>
      </c>
      <c r="O435" s="212" t="s">
        <v>142</v>
      </c>
      <c r="P435" s="212" t="s">
        <v>43</v>
      </c>
      <c r="R435" s="486">
        <v>470</v>
      </c>
      <c r="S435" s="490">
        <v>44274</v>
      </c>
      <c r="T435" s="486" t="s">
        <v>4003</v>
      </c>
      <c r="U435" s="475">
        <v>54600000</v>
      </c>
      <c r="V435" s="406"/>
      <c r="W435" s="362"/>
      <c r="X435" s="211" t="s">
        <v>4004</v>
      </c>
      <c r="Y435" s="472">
        <v>44300</v>
      </c>
      <c r="Z435" s="472">
        <v>44300</v>
      </c>
      <c r="AA435" s="472">
        <v>44514</v>
      </c>
      <c r="AB435" s="2" t="s">
        <v>2650</v>
      </c>
      <c r="AC435" s="211" t="s">
        <v>4005</v>
      </c>
      <c r="AD435" s="2" t="s">
        <v>4006</v>
      </c>
      <c r="AE435" s="212" t="s">
        <v>2811</v>
      </c>
      <c r="AF435" s="473">
        <v>54600000</v>
      </c>
      <c r="AG435" s="474">
        <f t="shared" si="7"/>
        <v>0</v>
      </c>
      <c r="AL435" s="475">
        <v>4160000</v>
      </c>
      <c r="AM435" s="306">
        <v>7800000</v>
      </c>
    </row>
    <row r="436" spans="1:39" hidden="1" x14ac:dyDescent="0.3">
      <c r="A436" s="476" t="s">
        <v>2298</v>
      </c>
      <c r="B436" s="477">
        <v>27500000</v>
      </c>
      <c r="C436" s="212" t="s">
        <v>2646</v>
      </c>
      <c r="D436" s="478">
        <v>431</v>
      </c>
      <c r="E436" s="478">
        <v>20211100014113</v>
      </c>
      <c r="F436" s="310">
        <v>44265</v>
      </c>
      <c r="G436" s="309" t="s">
        <v>2647</v>
      </c>
      <c r="H436" s="210" t="s">
        <v>2648</v>
      </c>
      <c r="I436" s="210" t="s">
        <v>206</v>
      </c>
      <c r="J436" s="407">
        <v>27500000</v>
      </c>
      <c r="K436" s="210" t="s">
        <v>138</v>
      </c>
      <c r="L436" s="210" t="s">
        <v>139</v>
      </c>
      <c r="M436" s="210" t="s">
        <v>44</v>
      </c>
      <c r="N436" s="210" t="s">
        <v>45</v>
      </c>
      <c r="O436" s="210" t="s">
        <v>142</v>
      </c>
      <c r="P436" s="210" t="s">
        <v>43</v>
      </c>
      <c r="Q436" s="210"/>
      <c r="R436" s="212">
        <v>405</v>
      </c>
      <c r="S436" s="490">
        <v>44266</v>
      </c>
      <c r="T436" s="486" t="s">
        <v>4007</v>
      </c>
      <c r="U436" s="475">
        <v>27500000</v>
      </c>
      <c r="V436" s="406"/>
      <c r="W436" s="362"/>
      <c r="X436" s="483" t="s">
        <v>3609</v>
      </c>
      <c r="Y436" s="484">
        <v>44281</v>
      </c>
      <c r="Z436" s="484">
        <v>44281</v>
      </c>
      <c r="AA436" s="484">
        <v>44434</v>
      </c>
      <c r="AB436" s="485" t="s">
        <v>2650</v>
      </c>
      <c r="AC436" s="483" t="s">
        <v>4008</v>
      </c>
      <c r="AD436" s="485" t="s">
        <v>4009</v>
      </c>
      <c r="AE436" s="486" t="s">
        <v>4010</v>
      </c>
      <c r="AF436" s="473">
        <v>27500000</v>
      </c>
      <c r="AG436" s="474">
        <f t="shared" si="7"/>
        <v>0</v>
      </c>
      <c r="AL436" s="475">
        <v>5866666</v>
      </c>
      <c r="AM436" s="306">
        <v>5500000</v>
      </c>
    </row>
    <row r="437" spans="1:39" hidden="1" x14ac:dyDescent="0.3">
      <c r="A437" s="476" t="s">
        <v>1777</v>
      </c>
      <c r="B437" s="477">
        <v>59500000</v>
      </c>
      <c r="C437" s="212" t="s">
        <v>2646</v>
      </c>
      <c r="D437" s="478">
        <v>432</v>
      </c>
      <c r="E437" s="478">
        <v>20211400015033</v>
      </c>
      <c r="F437" s="479">
        <v>44274</v>
      </c>
      <c r="G437" s="478" t="s">
        <v>2647</v>
      </c>
      <c r="H437" s="212" t="s">
        <v>2648</v>
      </c>
      <c r="I437" s="212" t="s">
        <v>184</v>
      </c>
      <c r="J437" s="475">
        <v>59500000</v>
      </c>
      <c r="K437" s="212" t="s">
        <v>138</v>
      </c>
      <c r="L437" s="212" t="s">
        <v>2652</v>
      </c>
      <c r="M437" s="212" t="s">
        <v>44</v>
      </c>
      <c r="N437" s="212" t="s">
        <v>45</v>
      </c>
      <c r="O437" s="212" t="s">
        <v>142</v>
      </c>
      <c r="P437" s="212" t="s">
        <v>43</v>
      </c>
      <c r="R437" s="486">
        <v>467</v>
      </c>
      <c r="S437" s="490">
        <v>44274</v>
      </c>
      <c r="T437" s="486" t="s">
        <v>4011</v>
      </c>
      <c r="U437" s="475">
        <v>59500000</v>
      </c>
      <c r="V437" s="406"/>
      <c r="W437" s="362"/>
      <c r="X437" s="483" t="s">
        <v>4012</v>
      </c>
      <c r="Y437" s="484">
        <v>44299</v>
      </c>
      <c r="Z437" s="484">
        <v>44299</v>
      </c>
      <c r="AA437" s="484">
        <v>44513</v>
      </c>
      <c r="AB437" s="485" t="s">
        <v>2650</v>
      </c>
      <c r="AC437" s="483" t="s">
        <v>3931</v>
      </c>
      <c r="AD437" s="485" t="s">
        <v>4013</v>
      </c>
      <c r="AE437" s="486" t="s">
        <v>4014</v>
      </c>
      <c r="AF437" s="473">
        <v>59500000</v>
      </c>
      <c r="AG437" s="474">
        <f t="shared" si="7"/>
        <v>0</v>
      </c>
      <c r="AL437" s="475">
        <v>5100000</v>
      </c>
      <c r="AM437" s="306">
        <v>8500000</v>
      </c>
    </row>
    <row r="438" spans="1:39" hidden="1" x14ac:dyDescent="0.3">
      <c r="A438" s="476" t="s">
        <v>1772</v>
      </c>
      <c r="B438" s="477">
        <v>59500000</v>
      </c>
      <c r="C438" s="212" t="s">
        <v>2646</v>
      </c>
      <c r="D438" s="478">
        <v>433</v>
      </c>
      <c r="E438" s="478">
        <v>20211400015053</v>
      </c>
      <c r="F438" s="479">
        <v>44274</v>
      </c>
      <c r="G438" s="478" t="s">
        <v>2647</v>
      </c>
      <c r="H438" s="212" t="s">
        <v>2648</v>
      </c>
      <c r="I438" s="212" t="s">
        <v>184</v>
      </c>
      <c r="J438" s="475">
        <v>59500000</v>
      </c>
      <c r="K438" s="212" t="s">
        <v>138</v>
      </c>
      <c r="L438" s="212" t="s">
        <v>2652</v>
      </c>
      <c r="M438" s="212" t="s">
        <v>44</v>
      </c>
      <c r="N438" s="212" t="s">
        <v>45</v>
      </c>
      <c r="O438" s="212" t="s">
        <v>142</v>
      </c>
      <c r="P438" s="212" t="s">
        <v>43</v>
      </c>
      <c r="R438" s="486">
        <v>468</v>
      </c>
      <c r="S438" s="490">
        <v>44274</v>
      </c>
      <c r="T438" s="486" t="s">
        <v>4015</v>
      </c>
      <c r="U438" s="475">
        <v>59500000</v>
      </c>
      <c r="V438" s="406"/>
      <c r="W438" s="362"/>
      <c r="X438" s="483" t="s">
        <v>4016</v>
      </c>
      <c r="Y438" s="484">
        <v>44286</v>
      </c>
      <c r="Z438" s="484">
        <v>44286</v>
      </c>
      <c r="AA438" s="484">
        <v>44500</v>
      </c>
      <c r="AB438" s="485" t="s">
        <v>2650</v>
      </c>
      <c r="AC438" s="483" t="s">
        <v>4017</v>
      </c>
      <c r="AD438" s="485" t="s">
        <v>4018</v>
      </c>
      <c r="AE438" s="486" t="s">
        <v>4019</v>
      </c>
      <c r="AF438" s="473">
        <v>59500000</v>
      </c>
      <c r="AG438" s="474">
        <f t="shared" si="7"/>
        <v>0</v>
      </c>
      <c r="AL438" s="475">
        <v>8500000</v>
      </c>
      <c r="AM438" s="306">
        <v>8500000</v>
      </c>
    </row>
    <row r="439" spans="1:39" hidden="1" x14ac:dyDescent="0.3">
      <c r="A439" s="476" t="s">
        <v>2469</v>
      </c>
      <c r="B439" s="477">
        <v>44972037</v>
      </c>
      <c r="C439" s="212" t="s">
        <v>2646</v>
      </c>
      <c r="D439" s="478">
        <v>434</v>
      </c>
      <c r="E439" s="478">
        <v>20216000016103</v>
      </c>
      <c r="F439" s="479">
        <v>44274</v>
      </c>
      <c r="G439" s="478" t="s">
        <v>2647</v>
      </c>
      <c r="H439" s="212" t="s">
        <v>2648</v>
      </c>
      <c r="I439" s="212" t="s">
        <v>214</v>
      </c>
      <c r="J439" s="475">
        <v>44972037</v>
      </c>
      <c r="K439" s="212" t="s">
        <v>138</v>
      </c>
      <c r="L439" s="212" t="s">
        <v>139</v>
      </c>
      <c r="M439" s="212" t="s">
        <v>44</v>
      </c>
      <c r="N439" s="212" t="s">
        <v>45</v>
      </c>
      <c r="O439" s="212" t="s">
        <v>142</v>
      </c>
      <c r="P439" s="212" t="s">
        <v>43</v>
      </c>
      <c r="R439" s="486">
        <v>471</v>
      </c>
      <c r="S439" s="490">
        <v>44274</v>
      </c>
      <c r="T439" s="486" t="s">
        <v>4020</v>
      </c>
      <c r="U439" s="475">
        <v>44972037</v>
      </c>
      <c r="V439" s="406"/>
      <c r="W439" s="362"/>
      <c r="X439" s="483" t="s">
        <v>4021</v>
      </c>
      <c r="Y439" s="484">
        <v>44285</v>
      </c>
      <c r="Z439" s="484">
        <v>44285</v>
      </c>
      <c r="AA439" s="484">
        <v>44560</v>
      </c>
      <c r="AB439" s="485" t="s">
        <v>2650</v>
      </c>
      <c r="AC439" s="483" t="s">
        <v>4022</v>
      </c>
      <c r="AD439" s="485" t="s">
        <v>4023</v>
      </c>
      <c r="AE439" s="486" t="s">
        <v>4024</v>
      </c>
      <c r="AF439" s="473">
        <v>44972037</v>
      </c>
      <c r="AG439" s="474">
        <f t="shared" si="7"/>
        <v>0</v>
      </c>
      <c r="AL439" s="475">
        <v>4996893</v>
      </c>
      <c r="AM439" s="306">
        <v>4996893</v>
      </c>
    </row>
    <row r="440" spans="1:39" hidden="1" x14ac:dyDescent="0.3">
      <c r="A440" s="476" t="s">
        <v>1985</v>
      </c>
      <c r="B440" s="477">
        <v>28618569</v>
      </c>
      <c r="C440" s="212" t="s">
        <v>2646</v>
      </c>
      <c r="D440" s="478">
        <v>435</v>
      </c>
      <c r="E440" s="478">
        <v>20217000016153</v>
      </c>
      <c r="F440" s="479">
        <v>44274</v>
      </c>
      <c r="G440" s="478" t="s">
        <v>2647</v>
      </c>
      <c r="H440" s="212" t="s">
        <v>2648</v>
      </c>
      <c r="I440" s="212" t="s">
        <v>164</v>
      </c>
      <c r="J440" s="475">
        <v>19079046</v>
      </c>
      <c r="K440" s="212" t="s">
        <v>138</v>
      </c>
      <c r="L440" s="212" t="s">
        <v>139</v>
      </c>
      <c r="M440" s="212" t="s">
        <v>44</v>
      </c>
      <c r="N440" s="212" t="s">
        <v>45</v>
      </c>
      <c r="O440" s="212" t="s">
        <v>142</v>
      </c>
      <c r="P440" s="212" t="s">
        <v>43</v>
      </c>
      <c r="R440" s="486">
        <v>472</v>
      </c>
      <c r="S440" s="490">
        <v>44274</v>
      </c>
      <c r="T440" s="486" t="s">
        <v>4025</v>
      </c>
      <c r="U440" s="475">
        <v>19079046</v>
      </c>
      <c r="V440" s="406"/>
      <c r="W440" s="362"/>
      <c r="X440" s="483" t="s">
        <v>4026</v>
      </c>
      <c r="Y440" s="484">
        <v>44298</v>
      </c>
      <c r="Z440" s="484">
        <v>44298</v>
      </c>
      <c r="AA440" s="484">
        <v>44481</v>
      </c>
      <c r="AB440" s="485" t="s">
        <v>2650</v>
      </c>
      <c r="AC440" s="483" t="s">
        <v>4027</v>
      </c>
      <c r="AD440" s="485" t="s">
        <v>4028</v>
      </c>
      <c r="AE440" s="486" t="s">
        <v>4029</v>
      </c>
      <c r="AF440" s="473">
        <v>19079046</v>
      </c>
      <c r="AG440" s="474">
        <f t="shared" si="7"/>
        <v>0</v>
      </c>
      <c r="AL440" s="475">
        <v>2013899</v>
      </c>
      <c r="AM440" s="306">
        <v>3179841</v>
      </c>
    </row>
    <row r="441" spans="1:39" hidden="1" x14ac:dyDescent="0.3">
      <c r="A441" s="476" t="s">
        <v>2343</v>
      </c>
      <c r="B441" s="477">
        <v>64800000</v>
      </c>
      <c r="C441" s="212" t="s">
        <v>2646</v>
      </c>
      <c r="D441" s="478">
        <v>436</v>
      </c>
      <c r="E441" s="478">
        <v>20216000016203</v>
      </c>
      <c r="F441" s="479">
        <v>44278</v>
      </c>
      <c r="G441" s="478" t="s">
        <v>2647</v>
      </c>
      <c r="H441" s="212" t="s">
        <v>2648</v>
      </c>
      <c r="I441" s="212" t="s">
        <v>214</v>
      </c>
      <c r="J441" s="475">
        <v>64000000</v>
      </c>
      <c r="K441" s="212" t="s">
        <v>138</v>
      </c>
      <c r="L441" s="212" t="s">
        <v>139</v>
      </c>
      <c r="M441" s="212" t="s">
        <v>44</v>
      </c>
      <c r="N441" s="212" t="s">
        <v>45</v>
      </c>
      <c r="O441" s="212" t="s">
        <v>142</v>
      </c>
      <c r="P441" s="212" t="s">
        <v>43</v>
      </c>
      <c r="R441" s="486">
        <v>476</v>
      </c>
      <c r="S441" s="490">
        <v>44278</v>
      </c>
      <c r="T441" s="486" t="s">
        <v>4030</v>
      </c>
      <c r="U441" s="475">
        <v>64000000</v>
      </c>
      <c r="V441" s="406"/>
      <c r="W441" s="362"/>
      <c r="X441" s="483"/>
      <c r="Y441" s="484"/>
      <c r="Z441" s="484"/>
      <c r="AA441" s="484"/>
      <c r="AB441" s="486"/>
      <c r="AC441" s="483"/>
      <c r="AD441" s="486"/>
      <c r="AE441" s="486"/>
      <c r="AF441" s="496"/>
      <c r="AG441" s="474"/>
      <c r="AM441" s="212"/>
    </row>
    <row r="442" spans="1:39" hidden="1" x14ac:dyDescent="0.3">
      <c r="A442" s="476" t="s">
        <v>4031</v>
      </c>
      <c r="B442" s="477">
        <v>45000000</v>
      </c>
      <c r="C442" s="212" t="s">
        <v>2646</v>
      </c>
      <c r="D442" s="478">
        <v>437</v>
      </c>
      <c r="E442" s="478">
        <v>20216000016213</v>
      </c>
      <c r="F442" s="479">
        <v>44278</v>
      </c>
      <c r="G442" s="478" t="s">
        <v>2647</v>
      </c>
      <c r="H442" s="212" t="s">
        <v>2648</v>
      </c>
      <c r="I442" s="212" t="s">
        <v>214</v>
      </c>
      <c r="J442" s="475">
        <v>45000000</v>
      </c>
      <c r="K442" s="212" t="s">
        <v>138</v>
      </c>
      <c r="L442" s="212" t="s">
        <v>139</v>
      </c>
      <c r="M442" s="212" t="s">
        <v>44</v>
      </c>
      <c r="N442" s="212" t="s">
        <v>45</v>
      </c>
      <c r="O442" s="212" t="s">
        <v>142</v>
      </c>
      <c r="P442" s="212" t="s">
        <v>43</v>
      </c>
      <c r="R442" s="486">
        <v>477</v>
      </c>
      <c r="S442" s="490">
        <v>44278</v>
      </c>
      <c r="T442" s="486" t="s">
        <v>4032</v>
      </c>
      <c r="U442" s="475">
        <v>45000000</v>
      </c>
      <c r="V442" s="406"/>
      <c r="W442" s="362"/>
      <c r="AG442" s="474">
        <f t="shared" si="7"/>
        <v>45000000</v>
      </c>
      <c r="AM442" s="212"/>
    </row>
    <row r="443" spans="1:39" hidden="1" x14ac:dyDescent="0.3">
      <c r="A443" s="476" t="s">
        <v>2065</v>
      </c>
      <c r="B443" s="477">
        <v>24530202</v>
      </c>
      <c r="C443" s="212" t="s">
        <v>2646</v>
      </c>
      <c r="D443" s="478">
        <v>438</v>
      </c>
      <c r="E443" s="478">
        <v>20217000015823</v>
      </c>
      <c r="F443" s="479">
        <v>44278</v>
      </c>
      <c r="G443" s="478" t="s">
        <v>2647</v>
      </c>
      <c r="H443" s="212" t="s">
        <v>2648</v>
      </c>
      <c r="I443" s="212" t="s">
        <v>164</v>
      </c>
      <c r="J443" s="475">
        <v>16400000</v>
      </c>
      <c r="K443" s="212" t="s">
        <v>138</v>
      </c>
      <c r="L443" s="212" t="s">
        <v>139</v>
      </c>
      <c r="M443" s="212" t="s">
        <v>44</v>
      </c>
      <c r="N443" s="212" t="s">
        <v>45</v>
      </c>
      <c r="O443" s="212" t="s">
        <v>142</v>
      </c>
      <c r="P443" s="212" t="s">
        <v>43</v>
      </c>
      <c r="R443" s="486">
        <v>474</v>
      </c>
      <c r="S443" s="490">
        <v>44278</v>
      </c>
      <c r="T443" s="486" t="s">
        <v>4033</v>
      </c>
      <c r="U443" s="475">
        <v>16400000</v>
      </c>
      <c r="V443" s="406"/>
      <c r="W443" s="362"/>
      <c r="X443" s="483" t="s">
        <v>4034</v>
      </c>
      <c r="Y443" s="484">
        <v>44298</v>
      </c>
      <c r="Z443" s="484">
        <v>44298</v>
      </c>
      <c r="AA443" s="484">
        <v>44481</v>
      </c>
      <c r="AB443" s="485" t="s">
        <v>2650</v>
      </c>
      <c r="AC443" s="483" t="s">
        <v>4035</v>
      </c>
      <c r="AD443" s="485" t="s">
        <v>4036</v>
      </c>
      <c r="AE443" s="486" t="s">
        <v>4037</v>
      </c>
      <c r="AF443" s="473">
        <v>16353468</v>
      </c>
      <c r="AG443" s="474">
        <f t="shared" si="7"/>
        <v>46532</v>
      </c>
      <c r="AL443" s="475">
        <v>1726199</v>
      </c>
      <c r="AM443" s="306">
        <v>2725578</v>
      </c>
    </row>
    <row r="444" spans="1:39" s="312" customFormat="1" hidden="1" x14ac:dyDescent="0.3">
      <c r="A444" s="361" t="s">
        <v>4038</v>
      </c>
      <c r="B444" s="417">
        <v>54000000</v>
      </c>
      <c r="C444" s="312" t="s">
        <v>2762</v>
      </c>
      <c r="D444" s="325">
        <v>439</v>
      </c>
      <c r="E444" s="325">
        <v>20216000016193</v>
      </c>
      <c r="F444" s="315">
        <v>44278</v>
      </c>
      <c r="G444" s="325" t="s">
        <v>2647</v>
      </c>
      <c r="H444" s="312" t="s">
        <v>2648</v>
      </c>
      <c r="I444" s="312" t="s">
        <v>214</v>
      </c>
      <c r="J444" s="405">
        <v>54000000</v>
      </c>
      <c r="K444" s="312" t="s">
        <v>138</v>
      </c>
      <c r="L444" s="312" t="s">
        <v>139</v>
      </c>
      <c r="M444" s="312" t="s">
        <v>44</v>
      </c>
      <c r="N444" s="312" t="s">
        <v>45</v>
      </c>
      <c r="O444" s="312" t="s">
        <v>142</v>
      </c>
      <c r="P444" s="312" t="s">
        <v>43</v>
      </c>
      <c r="R444" s="360">
        <v>475</v>
      </c>
      <c r="S444" s="363">
        <v>44278</v>
      </c>
      <c r="T444" s="360" t="s">
        <v>4039</v>
      </c>
      <c r="U444" s="405">
        <f>54000000-54000000</f>
        <v>0</v>
      </c>
      <c r="V444" s="406">
        <f>54000000</f>
        <v>54000000</v>
      </c>
      <c r="W444" s="362" t="s">
        <v>1509</v>
      </c>
      <c r="X444" s="314"/>
      <c r="Y444" s="358"/>
      <c r="Z444" s="358"/>
      <c r="AA444" s="358"/>
      <c r="AB444" s="317"/>
      <c r="AC444" s="316"/>
      <c r="AD444" s="317"/>
      <c r="AF444" s="410"/>
      <c r="AG444" s="318">
        <f t="shared" si="7"/>
        <v>0</v>
      </c>
      <c r="AH444" s="405"/>
      <c r="AI444" s="405"/>
      <c r="AJ444" s="405"/>
      <c r="AK444" s="405"/>
      <c r="AL444" s="405"/>
      <c r="AM444" s="212"/>
    </row>
    <row r="445" spans="1:39" hidden="1" x14ac:dyDescent="0.3">
      <c r="A445" s="476" t="s">
        <v>1746</v>
      </c>
      <c r="B445" s="477">
        <v>161928000</v>
      </c>
      <c r="C445" s="212" t="s">
        <v>1746</v>
      </c>
      <c r="D445" s="478">
        <v>440</v>
      </c>
      <c r="E445" s="478">
        <v>20215000016333</v>
      </c>
      <c r="F445" s="479">
        <v>44279</v>
      </c>
      <c r="G445" s="478" t="s">
        <v>2640</v>
      </c>
      <c r="H445" s="212" t="s">
        <v>2641</v>
      </c>
      <c r="I445" s="212" t="s">
        <v>228</v>
      </c>
      <c r="J445" s="480">
        <v>161928000</v>
      </c>
      <c r="K445" s="212" t="s">
        <v>223</v>
      </c>
      <c r="L445" s="212" t="s">
        <v>224</v>
      </c>
      <c r="M445" s="212" t="s">
        <v>44</v>
      </c>
      <c r="N445" s="212" t="s">
        <v>45</v>
      </c>
      <c r="O445" s="212" t="s">
        <v>63</v>
      </c>
      <c r="P445" s="212" t="s">
        <v>674</v>
      </c>
      <c r="R445" s="486">
        <v>479</v>
      </c>
      <c r="S445" s="490">
        <v>44279</v>
      </c>
      <c r="T445" s="486" t="s">
        <v>4040</v>
      </c>
      <c r="U445" s="475">
        <v>161928000</v>
      </c>
      <c r="V445" s="406"/>
      <c r="W445" s="362"/>
      <c r="X445" s="483" t="s">
        <v>4041</v>
      </c>
      <c r="Y445" s="484">
        <v>44302</v>
      </c>
      <c r="Z445" s="484">
        <v>44302</v>
      </c>
      <c r="AA445" s="484">
        <v>44561</v>
      </c>
      <c r="AB445" s="485" t="s">
        <v>4042</v>
      </c>
      <c r="AC445" s="483" t="s">
        <v>3866</v>
      </c>
      <c r="AD445" s="485" t="s">
        <v>4043</v>
      </c>
      <c r="AE445" s="486" t="s">
        <v>4044</v>
      </c>
      <c r="AF445" s="473">
        <v>161928000</v>
      </c>
      <c r="AG445" s="474">
        <f t="shared" si="7"/>
        <v>0</v>
      </c>
      <c r="AL445" s="475">
        <v>13494000</v>
      </c>
      <c r="AM445" s="212"/>
    </row>
    <row r="446" spans="1:39" hidden="1" x14ac:dyDescent="0.3">
      <c r="A446" s="476" t="s">
        <v>2548</v>
      </c>
      <c r="B446" s="477">
        <v>48000000</v>
      </c>
      <c r="C446" s="212" t="s">
        <v>2646</v>
      </c>
      <c r="D446" s="478">
        <v>441</v>
      </c>
      <c r="E446" s="478">
        <v>20213000016803</v>
      </c>
      <c r="F446" s="479">
        <v>44279</v>
      </c>
      <c r="G446" s="478" t="s">
        <v>2640</v>
      </c>
      <c r="H446" s="212" t="s">
        <v>2641</v>
      </c>
      <c r="I446" s="212" t="s">
        <v>432</v>
      </c>
      <c r="J446" s="475">
        <v>45000000</v>
      </c>
      <c r="K446" s="212" t="s">
        <v>342</v>
      </c>
      <c r="L446" s="212" t="s">
        <v>351</v>
      </c>
      <c r="M446" s="212" t="s">
        <v>44</v>
      </c>
      <c r="N446" s="212" t="s">
        <v>45</v>
      </c>
      <c r="O446" s="212" t="s">
        <v>63</v>
      </c>
      <c r="P446" s="212" t="s">
        <v>674</v>
      </c>
      <c r="R446" s="486">
        <v>480</v>
      </c>
      <c r="S446" s="490">
        <v>44279</v>
      </c>
      <c r="T446" s="486" t="s">
        <v>4045</v>
      </c>
      <c r="U446" s="475">
        <v>45000000</v>
      </c>
      <c r="V446" s="406"/>
      <c r="W446" s="362"/>
      <c r="X446" s="483" t="s">
        <v>4046</v>
      </c>
      <c r="Y446" s="484">
        <v>44298</v>
      </c>
      <c r="Z446" s="484">
        <v>44298</v>
      </c>
      <c r="AA446" s="484">
        <v>44451</v>
      </c>
      <c r="AB446" s="485" t="s">
        <v>2650</v>
      </c>
      <c r="AC446" s="483" t="s">
        <v>3763</v>
      </c>
      <c r="AD446" s="485" t="s">
        <v>4047</v>
      </c>
      <c r="AE446" s="486" t="s">
        <v>4048</v>
      </c>
      <c r="AF446" s="473">
        <v>45000000</v>
      </c>
      <c r="AG446" s="474">
        <f t="shared" si="7"/>
        <v>0</v>
      </c>
      <c r="AL446" s="475">
        <v>5100000</v>
      </c>
      <c r="AM446" s="306">
        <v>9000000</v>
      </c>
    </row>
    <row r="447" spans="1:39" hidden="1" x14ac:dyDescent="0.3">
      <c r="A447" s="476" t="s">
        <v>2467</v>
      </c>
      <c r="B447" s="477">
        <v>90000000</v>
      </c>
      <c r="C447" s="212" t="s">
        <v>2646</v>
      </c>
      <c r="D447" s="478">
        <v>442</v>
      </c>
      <c r="E447" s="478">
        <v>20213000016813</v>
      </c>
      <c r="F447" s="479">
        <v>44279</v>
      </c>
      <c r="G447" s="478" t="s">
        <v>2640</v>
      </c>
      <c r="H447" s="212" t="s">
        <v>2641</v>
      </c>
      <c r="I447" s="212" t="s">
        <v>432</v>
      </c>
      <c r="J447" s="475">
        <v>76200000</v>
      </c>
      <c r="K447" s="212" t="s">
        <v>342</v>
      </c>
      <c r="L447" s="212" t="s">
        <v>351</v>
      </c>
      <c r="M447" s="212" t="s">
        <v>44</v>
      </c>
      <c r="N447" s="212" t="s">
        <v>45</v>
      </c>
      <c r="O447" s="212" t="s">
        <v>63</v>
      </c>
      <c r="P447" s="212" t="s">
        <v>674</v>
      </c>
      <c r="R447" s="486">
        <v>481</v>
      </c>
      <c r="S447" s="490">
        <v>44279</v>
      </c>
      <c r="T447" s="486" t="s">
        <v>4049</v>
      </c>
      <c r="U447" s="475">
        <v>76200000</v>
      </c>
      <c r="V447" s="406"/>
      <c r="W447" s="362"/>
      <c r="X447" s="483" t="s">
        <v>4050</v>
      </c>
      <c r="Y447" s="484">
        <v>44302</v>
      </c>
      <c r="Z447" s="484">
        <v>44302</v>
      </c>
      <c r="AA447" s="484">
        <v>44485</v>
      </c>
      <c r="AB447" s="485" t="s">
        <v>2650</v>
      </c>
      <c r="AC447" s="483" t="s">
        <v>4021</v>
      </c>
      <c r="AD447" s="485" t="s">
        <v>4051</v>
      </c>
      <c r="AE447" s="486" t="s">
        <v>4052</v>
      </c>
      <c r="AF447" s="473">
        <v>76200000</v>
      </c>
      <c r="AG447" s="474">
        <f t="shared" si="7"/>
        <v>0</v>
      </c>
      <c r="AL447" s="475">
        <v>5080000</v>
      </c>
      <c r="AM447" s="306">
        <v>12700000</v>
      </c>
    </row>
    <row r="448" spans="1:39" hidden="1" x14ac:dyDescent="0.3">
      <c r="A448" s="476" t="s">
        <v>1971</v>
      </c>
      <c r="B448" s="477">
        <v>89035548</v>
      </c>
      <c r="C448" s="212" t="s">
        <v>2646</v>
      </c>
      <c r="D448" s="478">
        <v>443</v>
      </c>
      <c r="E448" s="478">
        <v>20217000016993</v>
      </c>
      <c r="F448" s="479">
        <v>44279</v>
      </c>
      <c r="G448" s="478" t="s">
        <v>2647</v>
      </c>
      <c r="H448" s="212" t="s">
        <v>2648</v>
      </c>
      <c r="I448" s="212" t="s">
        <v>164</v>
      </c>
      <c r="J448" s="475">
        <v>77400000</v>
      </c>
      <c r="K448" s="212" t="s">
        <v>138</v>
      </c>
      <c r="L448" s="212" t="s">
        <v>139</v>
      </c>
      <c r="M448" s="212" t="s">
        <v>44</v>
      </c>
      <c r="N448" s="212" t="s">
        <v>45</v>
      </c>
      <c r="O448" s="212" t="s">
        <v>142</v>
      </c>
      <c r="P448" s="212" t="s">
        <v>43</v>
      </c>
      <c r="R448" s="486">
        <v>482</v>
      </c>
      <c r="S448" s="490">
        <v>44279</v>
      </c>
      <c r="T448" s="486" t="s">
        <v>4053</v>
      </c>
      <c r="U448" s="475">
        <v>77400000</v>
      </c>
      <c r="V448" s="406"/>
      <c r="W448" s="362"/>
      <c r="X448" s="483" t="s">
        <v>3644</v>
      </c>
      <c r="Y448" s="484">
        <v>44285</v>
      </c>
      <c r="Z448" s="484">
        <v>44285</v>
      </c>
      <c r="AA448" s="484">
        <v>44560</v>
      </c>
      <c r="AB448" s="485" t="s">
        <v>2650</v>
      </c>
      <c r="AC448" s="483" t="s">
        <v>4054</v>
      </c>
      <c r="AD448" s="485" t="s">
        <v>4055</v>
      </c>
      <c r="AE448" s="486" t="s">
        <v>4056</v>
      </c>
      <c r="AF448" s="473">
        <v>77400000</v>
      </c>
      <c r="AG448" s="474">
        <f t="shared" si="7"/>
        <v>0</v>
      </c>
      <c r="AL448" s="475">
        <v>8886667</v>
      </c>
      <c r="AM448" s="306">
        <v>8600000</v>
      </c>
    </row>
    <row r="449" spans="1:39" hidden="1" x14ac:dyDescent="0.3">
      <c r="A449" s="476" t="s">
        <v>2379</v>
      </c>
      <c r="B449" s="477">
        <v>65413872</v>
      </c>
      <c r="C449" s="212" t="s">
        <v>2646</v>
      </c>
      <c r="D449" s="478">
        <v>444</v>
      </c>
      <c r="E449" s="478">
        <v>20217000014913</v>
      </c>
      <c r="F449" s="479">
        <v>44279</v>
      </c>
      <c r="G449" s="478" t="s">
        <v>2647</v>
      </c>
      <c r="H449" s="212" t="s">
        <v>2648</v>
      </c>
      <c r="I449" s="212" t="s">
        <v>164</v>
      </c>
      <c r="J449" s="475">
        <v>43609248</v>
      </c>
      <c r="K449" s="212" t="s">
        <v>138</v>
      </c>
      <c r="L449" s="212" t="s">
        <v>139</v>
      </c>
      <c r="M449" s="212" t="s">
        <v>44</v>
      </c>
      <c r="N449" s="212" t="s">
        <v>45</v>
      </c>
      <c r="O449" s="212" t="s">
        <v>142</v>
      </c>
      <c r="P449" s="212" t="s">
        <v>43</v>
      </c>
      <c r="R449" s="486">
        <v>478</v>
      </c>
      <c r="S449" s="490">
        <v>44279</v>
      </c>
      <c r="T449" s="486" t="s">
        <v>4057</v>
      </c>
      <c r="U449" s="475">
        <v>43609248</v>
      </c>
      <c r="V449" s="406"/>
      <c r="W449" s="362"/>
      <c r="X449" s="483" t="s">
        <v>4058</v>
      </c>
      <c r="Y449" s="484">
        <v>44295</v>
      </c>
      <c r="Z449" s="484">
        <v>44295</v>
      </c>
      <c r="AA449" s="484">
        <v>44478</v>
      </c>
      <c r="AB449" s="485" t="s">
        <v>2650</v>
      </c>
      <c r="AC449" s="483" t="s">
        <v>3715</v>
      </c>
      <c r="AD449" s="485" t="s">
        <v>4059</v>
      </c>
      <c r="AE449" s="486" t="s">
        <v>2651</v>
      </c>
      <c r="AF449" s="473">
        <v>43609248</v>
      </c>
      <c r="AG449" s="474">
        <f t="shared" si="7"/>
        <v>0</v>
      </c>
      <c r="AL449" s="475">
        <v>4603198</v>
      </c>
      <c r="AM449" s="306">
        <v>7268208</v>
      </c>
    </row>
    <row r="450" spans="1:39" hidden="1" x14ac:dyDescent="0.3">
      <c r="B450" s="501" t="s">
        <v>2683</v>
      </c>
      <c r="C450" s="212" t="s">
        <v>4060</v>
      </c>
      <c r="D450" s="478">
        <v>445</v>
      </c>
      <c r="E450" s="478">
        <v>20211300017063</v>
      </c>
      <c r="F450" s="479">
        <v>44281</v>
      </c>
      <c r="G450" s="478" t="s">
        <v>2647</v>
      </c>
      <c r="H450" s="212" t="s">
        <v>2648</v>
      </c>
      <c r="I450" s="212" t="s">
        <v>210</v>
      </c>
      <c r="J450" s="475">
        <v>8558579</v>
      </c>
      <c r="K450" s="212" t="s">
        <v>138</v>
      </c>
      <c r="L450" s="212" t="s">
        <v>139</v>
      </c>
      <c r="M450" s="212" t="s">
        <v>44</v>
      </c>
      <c r="N450" s="212" t="s">
        <v>45</v>
      </c>
      <c r="O450" s="212" t="s">
        <v>142</v>
      </c>
      <c r="P450" s="212" t="s">
        <v>43</v>
      </c>
      <c r="R450" s="486">
        <v>486</v>
      </c>
      <c r="S450" s="490">
        <v>44281</v>
      </c>
      <c r="T450" s="486" t="s">
        <v>4061</v>
      </c>
      <c r="U450" s="475">
        <v>8558579</v>
      </c>
      <c r="V450" s="406"/>
      <c r="W450" s="362"/>
      <c r="X450" s="483" t="s">
        <v>3944</v>
      </c>
      <c r="Y450" s="484">
        <v>44285</v>
      </c>
      <c r="Z450" s="484">
        <v>44285</v>
      </c>
      <c r="AA450" s="484">
        <v>44330</v>
      </c>
      <c r="AB450" s="485" t="s">
        <v>2650</v>
      </c>
      <c r="AC450" s="483" t="s">
        <v>4062</v>
      </c>
      <c r="AD450" s="485" t="s">
        <v>4063</v>
      </c>
      <c r="AE450" s="486" t="s">
        <v>4064</v>
      </c>
      <c r="AF450" s="473">
        <v>8558579</v>
      </c>
      <c r="AG450" s="474">
        <f t="shared" si="7"/>
        <v>0</v>
      </c>
      <c r="AK450" s="475">
        <v>190190</v>
      </c>
      <c r="AL450" s="475">
        <v>5705719</v>
      </c>
      <c r="AM450" s="306">
        <v>2662670</v>
      </c>
    </row>
    <row r="451" spans="1:39" hidden="1" x14ac:dyDescent="0.3">
      <c r="B451" s="501" t="s">
        <v>2683</v>
      </c>
      <c r="C451" s="212" t="s">
        <v>4065</v>
      </c>
      <c r="D451" s="478">
        <v>446</v>
      </c>
      <c r="E451" s="478">
        <v>20217000017323</v>
      </c>
      <c r="F451" s="479">
        <v>44281</v>
      </c>
      <c r="G451" s="478" t="s">
        <v>2647</v>
      </c>
      <c r="H451" s="212" t="s">
        <v>2648</v>
      </c>
      <c r="I451" s="212" t="s">
        <v>164</v>
      </c>
      <c r="J451" s="475">
        <v>19750567</v>
      </c>
      <c r="K451" s="212" t="s">
        <v>138</v>
      </c>
      <c r="L451" s="212" t="s">
        <v>139</v>
      </c>
      <c r="M451" s="212" t="s">
        <v>44</v>
      </c>
      <c r="N451" s="212" t="s">
        <v>45</v>
      </c>
      <c r="O451" s="212" t="s">
        <v>142</v>
      </c>
      <c r="P451" s="212" t="s">
        <v>43</v>
      </c>
      <c r="R451" s="486">
        <v>484</v>
      </c>
      <c r="S451" s="490">
        <v>44281</v>
      </c>
      <c r="T451" s="486" t="s">
        <v>4066</v>
      </c>
      <c r="U451" s="475">
        <v>19750567</v>
      </c>
      <c r="V451" s="406"/>
      <c r="W451" s="362"/>
      <c r="X451" s="483" t="s">
        <v>3773</v>
      </c>
      <c r="Y451" s="484">
        <v>44281</v>
      </c>
      <c r="Z451" s="484">
        <v>44283</v>
      </c>
      <c r="AA451" s="484">
        <v>44358</v>
      </c>
      <c r="AB451" s="485" t="s">
        <v>2650</v>
      </c>
      <c r="AC451" s="483" t="s">
        <v>4067</v>
      </c>
      <c r="AD451" s="485" t="s">
        <v>4068</v>
      </c>
      <c r="AE451" s="486" t="s">
        <v>4069</v>
      </c>
      <c r="AF451" s="473">
        <v>19750567</v>
      </c>
      <c r="AG451" s="474">
        <f t="shared" si="7"/>
        <v>0</v>
      </c>
      <c r="AK451" s="475">
        <v>7900227</v>
      </c>
      <c r="AL451" s="475">
        <v>7900227</v>
      </c>
      <c r="AM451" s="212"/>
    </row>
    <row r="452" spans="1:39" s="312" customFormat="1" hidden="1" x14ac:dyDescent="0.3">
      <c r="A452" s="361" t="s">
        <v>4070</v>
      </c>
      <c r="B452" s="417">
        <v>63000000</v>
      </c>
      <c r="C452" s="312" t="s">
        <v>2762</v>
      </c>
      <c r="D452" s="325">
        <v>447</v>
      </c>
      <c r="E452" s="325">
        <v>20217000017333</v>
      </c>
      <c r="F452" s="315">
        <v>44281</v>
      </c>
      <c r="G452" s="325" t="s">
        <v>2647</v>
      </c>
      <c r="H452" s="312" t="s">
        <v>2648</v>
      </c>
      <c r="I452" s="312" t="s">
        <v>164</v>
      </c>
      <c r="J452" s="405">
        <v>49100000</v>
      </c>
      <c r="K452" s="312" t="s">
        <v>138</v>
      </c>
      <c r="L452" s="312" t="s">
        <v>139</v>
      </c>
      <c r="M452" s="312" t="s">
        <v>44</v>
      </c>
      <c r="N452" s="312" t="s">
        <v>45</v>
      </c>
      <c r="O452" s="312" t="s">
        <v>142</v>
      </c>
      <c r="P452" s="312" t="s">
        <v>43</v>
      </c>
      <c r="R452" s="360">
        <v>487</v>
      </c>
      <c r="S452" s="363">
        <v>44281</v>
      </c>
      <c r="T452" s="360" t="s">
        <v>4071</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3">
      <c r="A453" s="476" t="s">
        <v>2004</v>
      </c>
      <c r="B453" s="477">
        <v>39975144</v>
      </c>
      <c r="C453" s="212" t="s">
        <v>2646</v>
      </c>
      <c r="D453" s="478">
        <v>448</v>
      </c>
      <c r="E453" s="478">
        <v>20217000017363</v>
      </c>
      <c r="F453" s="479">
        <v>44281</v>
      </c>
      <c r="G453" s="478" t="s">
        <v>2647</v>
      </c>
      <c r="H453" s="212" t="s">
        <v>2648</v>
      </c>
      <c r="I453" s="212" t="s">
        <v>164</v>
      </c>
      <c r="J453" s="475">
        <v>19079046</v>
      </c>
      <c r="K453" s="212" t="s">
        <v>138</v>
      </c>
      <c r="L453" s="212" t="s">
        <v>139</v>
      </c>
      <c r="M453" s="212" t="s">
        <v>44</v>
      </c>
      <c r="N453" s="212" t="s">
        <v>45</v>
      </c>
      <c r="O453" s="212" t="s">
        <v>142</v>
      </c>
      <c r="P453" s="212" t="s">
        <v>43</v>
      </c>
      <c r="R453" s="486">
        <v>488</v>
      </c>
      <c r="S453" s="490">
        <v>44281</v>
      </c>
      <c r="T453" s="486" t="s">
        <v>4072</v>
      </c>
      <c r="U453" s="475">
        <v>19079046</v>
      </c>
      <c r="V453" s="480"/>
      <c r="W453" s="520"/>
      <c r="AG453" s="474">
        <f t="shared" si="7"/>
        <v>19079046</v>
      </c>
      <c r="AM453" s="212"/>
    </row>
    <row r="454" spans="1:39" s="312" customFormat="1" hidden="1" x14ac:dyDescent="0.3">
      <c r="A454" s="361" t="s">
        <v>4073</v>
      </c>
      <c r="B454" s="417">
        <v>55000000</v>
      </c>
      <c r="C454" s="312" t="s">
        <v>2762</v>
      </c>
      <c r="D454" s="325">
        <v>449</v>
      </c>
      <c r="E454" s="325">
        <v>20215000012883</v>
      </c>
      <c r="F454" s="315">
        <v>44281</v>
      </c>
      <c r="G454" s="325" t="s">
        <v>2640</v>
      </c>
      <c r="H454" s="312" t="s">
        <v>2641</v>
      </c>
      <c r="I454" s="312" t="s">
        <v>228</v>
      </c>
      <c r="J454" s="405">
        <v>55000000</v>
      </c>
      <c r="K454" s="312" t="s">
        <v>223</v>
      </c>
      <c r="L454" s="312" t="s">
        <v>257</v>
      </c>
      <c r="M454" s="312" t="s">
        <v>44</v>
      </c>
      <c r="N454" s="312" t="s">
        <v>45</v>
      </c>
      <c r="O454" s="312" t="s">
        <v>63</v>
      </c>
      <c r="P454" s="312" t="s">
        <v>674</v>
      </c>
      <c r="R454" s="360">
        <v>485</v>
      </c>
      <c r="S454" s="363">
        <v>44281</v>
      </c>
      <c r="T454" s="360" t="s">
        <v>4074</v>
      </c>
      <c r="U454" s="405">
        <f>55000000-55000000</f>
        <v>0</v>
      </c>
      <c r="V454" s="406">
        <v>55000000</v>
      </c>
      <c r="W454" s="362" t="s">
        <v>1509</v>
      </c>
      <c r="X454" s="314"/>
      <c r="Y454" s="358"/>
      <c r="Z454" s="358"/>
      <c r="AA454" s="358"/>
      <c r="AB454" s="317"/>
      <c r="AC454" s="316"/>
      <c r="AD454" s="317"/>
      <c r="AF454" s="410"/>
      <c r="AG454" s="318">
        <f t="shared" si="7"/>
        <v>0</v>
      </c>
      <c r="AH454" s="405"/>
      <c r="AI454" s="405"/>
      <c r="AJ454" s="405"/>
      <c r="AK454" s="405"/>
      <c r="AL454" s="405"/>
      <c r="AM454" s="212"/>
    </row>
    <row r="455" spans="1:39" hidden="1" x14ac:dyDescent="0.3">
      <c r="A455" s="476" t="s">
        <v>2433</v>
      </c>
      <c r="B455" s="477">
        <v>42400000</v>
      </c>
      <c r="C455" s="212" t="s">
        <v>2646</v>
      </c>
      <c r="D455" s="478">
        <v>450</v>
      </c>
      <c r="E455" s="478">
        <v>20215000017553</v>
      </c>
      <c r="F455" s="479">
        <v>44281</v>
      </c>
      <c r="G455" s="478" t="s">
        <v>2640</v>
      </c>
      <c r="H455" s="212" t="s">
        <v>2641</v>
      </c>
      <c r="I455" s="212" t="s">
        <v>228</v>
      </c>
      <c r="J455" s="475">
        <v>34000000</v>
      </c>
      <c r="K455" s="212" t="s">
        <v>223</v>
      </c>
      <c r="L455" s="212" t="s">
        <v>2758</v>
      </c>
      <c r="M455" s="212" t="s">
        <v>44</v>
      </c>
      <c r="N455" s="212" t="s">
        <v>45</v>
      </c>
      <c r="O455" s="212" t="s">
        <v>63</v>
      </c>
      <c r="P455" s="212" t="s">
        <v>674</v>
      </c>
      <c r="R455" s="486">
        <v>491</v>
      </c>
      <c r="S455" s="490">
        <v>44281</v>
      </c>
      <c r="T455" s="486" t="s">
        <v>4075</v>
      </c>
      <c r="U455" s="475">
        <v>34000000</v>
      </c>
      <c r="V455" s="406"/>
      <c r="W455" s="362"/>
      <c r="X455" s="211" t="s">
        <v>4076</v>
      </c>
      <c r="Y455" s="472">
        <v>44300</v>
      </c>
      <c r="Z455" s="472">
        <v>44300</v>
      </c>
      <c r="AA455" s="472">
        <v>44561</v>
      </c>
      <c r="AB455" s="2" t="s">
        <v>2650</v>
      </c>
      <c r="AC455" s="211" t="s">
        <v>3961</v>
      </c>
      <c r="AD455" s="2" t="s">
        <v>4077</v>
      </c>
      <c r="AE455" s="212" t="s">
        <v>4078</v>
      </c>
      <c r="AF455" s="473">
        <v>34000000</v>
      </c>
      <c r="AG455" s="474">
        <f t="shared" si="7"/>
        <v>0</v>
      </c>
      <c r="AL455" s="475">
        <v>2266667</v>
      </c>
      <c r="AM455" s="306">
        <v>4000000</v>
      </c>
    </row>
    <row r="456" spans="1:39" hidden="1" x14ac:dyDescent="0.3">
      <c r="A456" s="476" t="s">
        <v>1830</v>
      </c>
      <c r="B456" s="477">
        <v>64000000</v>
      </c>
      <c r="C456" s="212" t="s">
        <v>2646</v>
      </c>
      <c r="D456" s="478">
        <v>451</v>
      </c>
      <c r="E456" s="478">
        <v>20213000017453</v>
      </c>
      <c r="F456" s="479">
        <v>44281</v>
      </c>
      <c r="G456" s="478" t="s">
        <v>2640</v>
      </c>
      <c r="H456" s="212" t="s">
        <v>2641</v>
      </c>
      <c r="I456" s="212" t="s">
        <v>432</v>
      </c>
      <c r="J456" s="475">
        <v>64000000</v>
      </c>
      <c r="K456" s="212" t="s">
        <v>342</v>
      </c>
      <c r="L456" s="212" t="s">
        <v>351</v>
      </c>
      <c r="M456" s="212" t="s">
        <v>44</v>
      </c>
      <c r="N456" s="212" t="s">
        <v>45</v>
      </c>
      <c r="O456" s="212" t="s">
        <v>63</v>
      </c>
      <c r="P456" s="212" t="s">
        <v>674</v>
      </c>
      <c r="R456" s="486">
        <v>490</v>
      </c>
      <c r="S456" s="490">
        <v>44281</v>
      </c>
      <c r="T456" s="486" t="s">
        <v>4079</v>
      </c>
      <c r="U456" s="475">
        <v>64000000</v>
      </c>
      <c r="V456" s="406"/>
      <c r="W456" s="362"/>
      <c r="X456" s="483" t="s">
        <v>4080</v>
      </c>
      <c r="Y456" s="484">
        <v>44295</v>
      </c>
      <c r="Z456" s="484">
        <v>44295</v>
      </c>
      <c r="AA456" s="484">
        <v>44538</v>
      </c>
      <c r="AB456" s="485" t="s">
        <v>2650</v>
      </c>
      <c r="AC456" s="483" t="s">
        <v>3814</v>
      </c>
      <c r="AD456" s="485" t="s">
        <v>4081</v>
      </c>
      <c r="AE456" s="486" t="s">
        <v>4082</v>
      </c>
      <c r="AF456" s="473">
        <v>64000000</v>
      </c>
      <c r="AG456" s="474">
        <f t="shared" si="7"/>
        <v>0</v>
      </c>
      <c r="AL456" s="475">
        <v>5066667</v>
      </c>
      <c r="AM456" s="306">
        <v>8000000</v>
      </c>
    </row>
    <row r="457" spans="1:39" hidden="1" x14ac:dyDescent="0.3">
      <c r="B457" s="477" t="s">
        <v>2683</v>
      </c>
      <c r="C457" s="212" t="s">
        <v>4083</v>
      </c>
      <c r="D457" s="478">
        <v>452</v>
      </c>
      <c r="E457" s="478">
        <v>20211300017443</v>
      </c>
      <c r="F457" s="479">
        <v>44281</v>
      </c>
      <c r="G457" s="478" t="s">
        <v>2647</v>
      </c>
      <c r="H457" s="212" t="s">
        <v>2648</v>
      </c>
      <c r="I457" s="212" t="s">
        <v>210</v>
      </c>
      <c r="J457" s="475">
        <v>5266812</v>
      </c>
      <c r="K457" s="212" t="s">
        <v>138</v>
      </c>
      <c r="L457" s="212" t="s">
        <v>139</v>
      </c>
      <c r="M457" s="212" t="s">
        <v>44</v>
      </c>
      <c r="N457" s="212" t="s">
        <v>45</v>
      </c>
      <c r="O457" s="212" t="s">
        <v>142</v>
      </c>
      <c r="P457" s="212" t="s">
        <v>43</v>
      </c>
      <c r="R457" s="486">
        <v>489</v>
      </c>
      <c r="S457" s="490">
        <v>44281</v>
      </c>
      <c r="T457" s="486" t="s">
        <v>4084</v>
      </c>
      <c r="U457" s="475">
        <v>5266812</v>
      </c>
      <c r="V457" s="406"/>
      <c r="W457" s="362"/>
      <c r="X457" s="483" t="s">
        <v>3625</v>
      </c>
      <c r="Y457" s="484">
        <v>44285</v>
      </c>
      <c r="Z457" s="484">
        <v>44285</v>
      </c>
      <c r="AA457" s="484">
        <v>44330</v>
      </c>
      <c r="AB457" s="485" t="s">
        <v>2650</v>
      </c>
      <c r="AC457" s="483" t="s">
        <v>4085</v>
      </c>
      <c r="AD457" s="485" t="s">
        <v>4086</v>
      </c>
      <c r="AE457" s="486" t="s">
        <v>4087</v>
      </c>
      <c r="AF457" s="473">
        <v>5266812</v>
      </c>
      <c r="AG457" s="474">
        <f t="shared" si="7"/>
        <v>0</v>
      </c>
      <c r="AK457" s="475">
        <v>3511208</v>
      </c>
      <c r="AL457" s="475">
        <v>117040</v>
      </c>
      <c r="AM457" s="306">
        <v>1638564</v>
      </c>
    </row>
    <row r="458" spans="1:39" hidden="1" x14ac:dyDescent="0.3">
      <c r="A458" s="476" t="s">
        <v>2409</v>
      </c>
      <c r="B458" s="477">
        <v>65413872</v>
      </c>
      <c r="C458" s="212" t="s">
        <v>2646</v>
      </c>
      <c r="D458" s="478">
        <v>453</v>
      </c>
      <c r="E458" s="478">
        <v>20217000017583</v>
      </c>
      <c r="F458" s="479">
        <v>44281</v>
      </c>
      <c r="G458" s="478" t="s">
        <v>2647</v>
      </c>
      <c r="H458" s="212" t="s">
        <v>2648</v>
      </c>
      <c r="I458" s="212" t="s">
        <v>164</v>
      </c>
      <c r="J458" s="475">
        <v>52500000</v>
      </c>
      <c r="K458" s="212" t="s">
        <v>138</v>
      </c>
      <c r="L458" s="212" t="s">
        <v>139</v>
      </c>
      <c r="M458" s="212" t="s">
        <v>44</v>
      </c>
      <c r="N458" s="212" t="s">
        <v>45</v>
      </c>
      <c r="O458" s="212" t="s">
        <v>142</v>
      </c>
      <c r="P458" s="212" t="s">
        <v>43</v>
      </c>
      <c r="R458" s="486">
        <v>492</v>
      </c>
      <c r="S458" s="490">
        <v>44281</v>
      </c>
      <c r="T458" s="486" t="s">
        <v>4088</v>
      </c>
      <c r="U458" s="475">
        <v>52500000</v>
      </c>
      <c r="V458" s="406"/>
      <c r="W458" s="362"/>
      <c r="X458" s="483" t="s">
        <v>4089</v>
      </c>
      <c r="Y458" s="484">
        <v>44302</v>
      </c>
      <c r="Z458" s="484">
        <v>44302</v>
      </c>
      <c r="AA458" s="484">
        <v>44516</v>
      </c>
      <c r="AB458" s="485" t="s">
        <v>2650</v>
      </c>
      <c r="AC458" s="483" t="s">
        <v>3829</v>
      </c>
      <c r="AD458" s="485" t="s">
        <v>4090</v>
      </c>
      <c r="AE458" s="486" t="s">
        <v>2813</v>
      </c>
      <c r="AF458" s="473">
        <v>52500000</v>
      </c>
      <c r="AG458" s="474">
        <f t="shared" si="7"/>
        <v>0</v>
      </c>
      <c r="AL458" s="475">
        <v>4000000</v>
      </c>
      <c r="AM458" s="306">
        <v>7500000</v>
      </c>
    </row>
    <row r="459" spans="1:39" hidden="1" x14ac:dyDescent="0.3">
      <c r="A459" s="476" t="s">
        <v>2070</v>
      </c>
      <c r="B459" s="477">
        <v>27800895</v>
      </c>
      <c r="C459" s="212" t="s">
        <v>2646</v>
      </c>
      <c r="D459" s="478">
        <v>454</v>
      </c>
      <c r="E459" s="478">
        <v>20217000017593</v>
      </c>
      <c r="F459" s="479">
        <v>44281</v>
      </c>
      <c r="G459" s="478" t="s">
        <v>2647</v>
      </c>
      <c r="H459" s="212" t="s">
        <v>2648</v>
      </c>
      <c r="I459" s="212" t="s">
        <v>164</v>
      </c>
      <c r="J459" s="475">
        <v>16353468</v>
      </c>
      <c r="K459" s="212" t="s">
        <v>138</v>
      </c>
      <c r="L459" s="212" t="s">
        <v>139</v>
      </c>
      <c r="M459" s="212" t="s">
        <v>44</v>
      </c>
      <c r="N459" s="212" t="s">
        <v>45</v>
      </c>
      <c r="O459" s="212" t="s">
        <v>142</v>
      </c>
      <c r="P459" s="212" t="s">
        <v>43</v>
      </c>
      <c r="R459" s="486">
        <v>493</v>
      </c>
      <c r="S459" s="490">
        <v>44281</v>
      </c>
      <c r="T459" s="486" t="s">
        <v>4091</v>
      </c>
      <c r="U459" s="475">
        <v>16353468</v>
      </c>
      <c r="V459" s="406"/>
      <c r="W459" s="362"/>
      <c r="X459" s="483" t="s">
        <v>4092</v>
      </c>
      <c r="Y459" s="484">
        <v>44302</v>
      </c>
      <c r="Z459" s="484">
        <v>44302</v>
      </c>
      <c r="AA459" s="484">
        <v>44485</v>
      </c>
      <c r="AB459" s="485" t="s">
        <v>2650</v>
      </c>
      <c r="AC459" s="483" t="s">
        <v>3804</v>
      </c>
      <c r="AD459" s="485" t="s">
        <v>4093</v>
      </c>
      <c r="AE459" s="486" t="s">
        <v>4094</v>
      </c>
      <c r="AF459" s="473">
        <v>16353468</v>
      </c>
      <c r="AG459" s="474">
        <f t="shared" si="7"/>
        <v>0</v>
      </c>
      <c r="AM459" s="306">
        <v>4088367</v>
      </c>
    </row>
    <row r="460" spans="1:39" s="312" customFormat="1" hidden="1" x14ac:dyDescent="0.3">
      <c r="A460" s="361" t="s">
        <v>2455</v>
      </c>
      <c r="B460" s="417">
        <v>44958672</v>
      </c>
      <c r="C460" s="312" t="s">
        <v>2762</v>
      </c>
      <c r="D460" s="325">
        <v>455</v>
      </c>
      <c r="E460" s="325">
        <v>20217000017633</v>
      </c>
      <c r="F460" s="315">
        <v>44281</v>
      </c>
      <c r="G460" s="325" t="s">
        <v>2647</v>
      </c>
      <c r="H460" s="312" t="s">
        <v>2648</v>
      </c>
      <c r="I460" s="312" t="s">
        <v>164</v>
      </c>
      <c r="J460" s="405">
        <v>24530300</v>
      </c>
      <c r="K460" s="312" t="s">
        <v>138</v>
      </c>
      <c r="L460" s="312" t="s">
        <v>139</v>
      </c>
      <c r="M460" s="312" t="s">
        <v>44</v>
      </c>
      <c r="N460" s="312" t="s">
        <v>45</v>
      </c>
      <c r="O460" s="312" t="s">
        <v>142</v>
      </c>
      <c r="P460" s="312" t="s">
        <v>43</v>
      </c>
      <c r="R460" s="360">
        <v>494</v>
      </c>
      <c r="S460" s="363">
        <v>44281</v>
      </c>
      <c r="T460" s="360" t="s">
        <v>4095</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3">
      <c r="A461" s="476" t="s">
        <v>2413</v>
      </c>
      <c r="B461" s="477">
        <v>65413872</v>
      </c>
      <c r="C461" s="212" t="s">
        <v>2646</v>
      </c>
      <c r="D461" s="478">
        <v>456</v>
      </c>
      <c r="E461" s="478">
        <v>20217000017663</v>
      </c>
      <c r="F461" s="479">
        <v>44281</v>
      </c>
      <c r="G461" s="478" t="s">
        <v>2647</v>
      </c>
      <c r="H461" s="212" t="s">
        <v>2648</v>
      </c>
      <c r="I461" s="212" t="s">
        <v>164</v>
      </c>
      <c r="J461" s="475">
        <v>43609248</v>
      </c>
      <c r="K461" s="212" t="s">
        <v>138</v>
      </c>
      <c r="L461" s="212" t="s">
        <v>139</v>
      </c>
      <c r="M461" s="212" t="s">
        <v>44</v>
      </c>
      <c r="N461" s="212" t="s">
        <v>45</v>
      </c>
      <c r="O461" s="212" t="s">
        <v>142</v>
      </c>
      <c r="P461" s="212" t="s">
        <v>43</v>
      </c>
      <c r="R461" s="486">
        <v>495</v>
      </c>
      <c r="S461" s="490">
        <v>44281</v>
      </c>
      <c r="T461" s="486" t="s">
        <v>4096</v>
      </c>
      <c r="U461" s="475">
        <v>43609248</v>
      </c>
      <c r="V461" s="406"/>
      <c r="W461" s="362"/>
      <c r="X461" s="483" t="s">
        <v>4097</v>
      </c>
      <c r="Y461" s="484">
        <v>44299</v>
      </c>
      <c r="Z461" s="484">
        <v>44299</v>
      </c>
      <c r="AA461" s="484">
        <v>44482</v>
      </c>
      <c r="AB461" s="485" t="s">
        <v>2650</v>
      </c>
      <c r="AC461" s="483" t="s">
        <v>3918</v>
      </c>
      <c r="AD461" s="485" t="s">
        <v>4098</v>
      </c>
      <c r="AE461" s="486" t="s">
        <v>2701</v>
      </c>
      <c r="AF461" s="473">
        <v>43609248</v>
      </c>
      <c r="AG461" s="474">
        <f t="shared" si="7"/>
        <v>0</v>
      </c>
      <c r="AL461" s="475">
        <v>4360925</v>
      </c>
      <c r="AM461" s="306">
        <v>7268208</v>
      </c>
    </row>
    <row r="462" spans="1:39" hidden="1" x14ac:dyDescent="0.3">
      <c r="A462" s="476" t="s">
        <v>2067</v>
      </c>
      <c r="B462" s="477">
        <v>73590606</v>
      </c>
      <c r="C462" s="212" t="s">
        <v>2646</v>
      </c>
      <c r="D462" s="478">
        <v>457</v>
      </c>
      <c r="E462" s="478">
        <v>20217000017723</v>
      </c>
      <c r="F462" s="479">
        <v>44281</v>
      </c>
      <c r="G462" s="478" t="s">
        <v>2647</v>
      </c>
      <c r="H462" s="212" t="s">
        <v>2648</v>
      </c>
      <c r="I462" s="212" t="s">
        <v>164</v>
      </c>
      <c r="J462" s="475">
        <v>65413872</v>
      </c>
      <c r="K462" s="212" t="s">
        <v>138</v>
      </c>
      <c r="L462" s="212" t="s">
        <v>139</v>
      </c>
      <c r="M462" s="212" t="s">
        <v>44</v>
      </c>
      <c r="N462" s="212" t="s">
        <v>45</v>
      </c>
      <c r="O462" s="212" t="s">
        <v>142</v>
      </c>
      <c r="P462" s="212" t="s">
        <v>43</v>
      </c>
      <c r="R462" s="486">
        <v>497</v>
      </c>
      <c r="S462" s="490">
        <v>44281</v>
      </c>
      <c r="T462" s="486" t="s">
        <v>4099</v>
      </c>
      <c r="U462" s="475">
        <v>65413872</v>
      </c>
      <c r="V462" s="406"/>
      <c r="W462" s="362"/>
      <c r="X462" s="211" t="s">
        <v>4100</v>
      </c>
      <c r="Y462" s="472">
        <v>44301</v>
      </c>
      <c r="Z462" s="472">
        <v>44301</v>
      </c>
      <c r="AA462" s="472">
        <v>44545</v>
      </c>
      <c r="AB462" s="2" t="s">
        <v>2650</v>
      </c>
      <c r="AC462" s="211" t="s">
        <v>3519</v>
      </c>
      <c r="AD462" s="2" t="s">
        <v>4101</v>
      </c>
      <c r="AE462" s="212" t="s">
        <v>4102</v>
      </c>
      <c r="AF462" s="473">
        <v>65413872</v>
      </c>
      <c r="AG462" s="474">
        <f t="shared" si="7"/>
        <v>0</v>
      </c>
      <c r="AL462" s="475">
        <v>4360925</v>
      </c>
      <c r="AM462" s="306">
        <v>8176734</v>
      </c>
    </row>
    <row r="463" spans="1:39" hidden="1" x14ac:dyDescent="0.3">
      <c r="A463" s="476" t="s">
        <v>4103</v>
      </c>
      <c r="B463" s="477">
        <v>44000000</v>
      </c>
      <c r="C463" s="212" t="s">
        <v>2646</v>
      </c>
      <c r="D463" s="478">
        <v>458</v>
      </c>
      <c r="E463" s="478">
        <v>20211200017713</v>
      </c>
      <c r="F463" s="479">
        <v>44281</v>
      </c>
      <c r="G463" s="309" t="s">
        <v>2647</v>
      </c>
      <c r="H463" s="210" t="s">
        <v>2648</v>
      </c>
      <c r="I463" s="212" t="s">
        <v>143</v>
      </c>
      <c r="J463" s="407">
        <v>27500000</v>
      </c>
      <c r="K463" s="210" t="s">
        <v>138</v>
      </c>
      <c r="L463" s="210" t="s">
        <v>139</v>
      </c>
      <c r="M463" s="210" t="s">
        <v>44</v>
      </c>
      <c r="N463" s="210" t="s">
        <v>45</v>
      </c>
      <c r="O463" s="210" t="s">
        <v>142</v>
      </c>
      <c r="P463" s="210" t="s">
        <v>43</v>
      </c>
      <c r="R463" s="486">
        <v>496</v>
      </c>
      <c r="S463" s="490">
        <v>44281</v>
      </c>
      <c r="T463" s="486" t="s">
        <v>4104</v>
      </c>
      <c r="U463" s="475">
        <v>27500000</v>
      </c>
      <c r="V463" s="406"/>
      <c r="W463" s="362"/>
      <c r="AG463" s="474">
        <f t="shared" si="7"/>
        <v>27500000</v>
      </c>
      <c r="AM463" s="212"/>
    </row>
    <row r="464" spans="1:39" hidden="1" x14ac:dyDescent="0.3">
      <c r="A464" s="476" t="s">
        <v>2068</v>
      </c>
      <c r="B464" s="477">
        <v>57000000</v>
      </c>
      <c r="C464" s="212" t="s">
        <v>2646</v>
      </c>
      <c r="D464" s="478">
        <v>459</v>
      </c>
      <c r="E464" s="478">
        <v>20217000017773</v>
      </c>
      <c r="F464" s="479">
        <v>44281</v>
      </c>
      <c r="G464" s="478" t="s">
        <v>2647</v>
      </c>
      <c r="H464" s="212" t="s">
        <v>2648</v>
      </c>
      <c r="I464" s="212" t="s">
        <v>164</v>
      </c>
      <c r="J464" s="475">
        <v>54511560</v>
      </c>
      <c r="K464" s="212" t="s">
        <v>138</v>
      </c>
      <c r="L464" s="212" t="s">
        <v>139</v>
      </c>
      <c r="M464" s="212" t="s">
        <v>44</v>
      </c>
      <c r="N464" s="212" t="s">
        <v>45</v>
      </c>
      <c r="O464" s="212" t="s">
        <v>142</v>
      </c>
      <c r="P464" s="212" t="s">
        <v>43</v>
      </c>
      <c r="R464" s="486">
        <v>499</v>
      </c>
      <c r="S464" s="490">
        <v>44281</v>
      </c>
      <c r="T464" s="486" t="s">
        <v>4105</v>
      </c>
      <c r="U464" s="475">
        <v>54511560</v>
      </c>
      <c r="V464" s="406"/>
      <c r="W464" s="362"/>
      <c r="X464" s="483" t="s">
        <v>4106</v>
      </c>
      <c r="Y464" s="484">
        <v>44298</v>
      </c>
      <c r="Z464" s="484">
        <v>44298</v>
      </c>
      <c r="AA464" s="484">
        <v>44542</v>
      </c>
      <c r="AB464" s="485" t="s">
        <v>2650</v>
      </c>
      <c r="AC464" s="483" t="s">
        <v>4107</v>
      </c>
      <c r="AD464" s="485" t="s">
        <v>4108</v>
      </c>
      <c r="AE464" s="486" t="s">
        <v>4109</v>
      </c>
      <c r="AF464" s="473">
        <v>54511560</v>
      </c>
      <c r="AG464" s="474">
        <f t="shared" si="7"/>
        <v>0</v>
      </c>
      <c r="AL464" s="475">
        <v>4088367</v>
      </c>
      <c r="AM464" s="306">
        <v>6813945</v>
      </c>
    </row>
    <row r="465" spans="1:39" hidden="1" x14ac:dyDescent="0.3">
      <c r="B465" s="477" t="s">
        <v>2683</v>
      </c>
      <c r="C465" s="212" t="s">
        <v>4110</v>
      </c>
      <c r="D465" s="478">
        <v>460</v>
      </c>
      <c r="E465" s="478">
        <v>20217000017643</v>
      </c>
      <c r="F465" s="479">
        <v>44281</v>
      </c>
      <c r="G465" s="478" t="s">
        <v>2647</v>
      </c>
      <c r="H465" s="212" t="s">
        <v>2648</v>
      </c>
      <c r="I465" s="212" t="s">
        <v>164</v>
      </c>
      <c r="J465" s="475">
        <v>9875283</v>
      </c>
      <c r="K465" s="212" t="s">
        <v>138</v>
      </c>
      <c r="L465" s="212" t="s">
        <v>139</v>
      </c>
      <c r="M465" s="212" t="s">
        <v>44</v>
      </c>
      <c r="N465" s="212" t="s">
        <v>45</v>
      </c>
      <c r="O465" s="212" t="s">
        <v>142</v>
      </c>
      <c r="P465" s="212" t="s">
        <v>43</v>
      </c>
      <c r="R465" s="486">
        <v>498</v>
      </c>
      <c r="S465" s="490">
        <v>44281</v>
      </c>
      <c r="T465" s="486" t="s">
        <v>4111</v>
      </c>
      <c r="U465" s="475">
        <v>9875283</v>
      </c>
      <c r="V465" s="406"/>
      <c r="W465" s="362"/>
      <c r="X465" s="483" t="s">
        <v>4112</v>
      </c>
      <c r="Y465" s="484">
        <v>44292</v>
      </c>
      <c r="Z465" s="484">
        <v>44292</v>
      </c>
      <c r="AA465" s="484">
        <v>44367</v>
      </c>
      <c r="AB465" s="485" t="s">
        <v>2650</v>
      </c>
      <c r="AC465" s="483" t="s">
        <v>4113</v>
      </c>
      <c r="AD465" s="485" t="s">
        <v>4114</v>
      </c>
      <c r="AE465" s="486" t="s">
        <v>4115</v>
      </c>
      <c r="AF465" s="473">
        <v>9875283</v>
      </c>
      <c r="AG465" s="474">
        <f t="shared" si="7"/>
        <v>0</v>
      </c>
      <c r="AL465" s="475">
        <v>3291760</v>
      </c>
      <c r="AM465" s="306">
        <v>3950113</v>
      </c>
    </row>
    <row r="466" spans="1:39" hidden="1" x14ac:dyDescent="0.3">
      <c r="A466" s="476" t="s">
        <v>2205</v>
      </c>
      <c r="B466" s="477">
        <v>60000000</v>
      </c>
      <c r="C466" s="212" t="s">
        <v>2646</v>
      </c>
      <c r="D466" s="478">
        <v>461</v>
      </c>
      <c r="E466" s="478">
        <v>20211200018003</v>
      </c>
      <c r="F466" s="479">
        <v>44284</v>
      </c>
      <c r="G466" s="309" t="s">
        <v>2647</v>
      </c>
      <c r="H466" s="210" t="s">
        <v>2648</v>
      </c>
      <c r="I466" s="212" t="s">
        <v>143</v>
      </c>
      <c r="J466" s="407">
        <v>60000000</v>
      </c>
      <c r="K466" s="210" t="s">
        <v>138</v>
      </c>
      <c r="L466" s="210" t="s">
        <v>139</v>
      </c>
      <c r="M466" s="210" t="s">
        <v>44</v>
      </c>
      <c r="N466" s="210" t="s">
        <v>45</v>
      </c>
      <c r="O466" s="210" t="s">
        <v>142</v>
      </c>
      <c r="P466" s="210" t="s">
        <v>43</v>
      </c>
      <c r="R466" s="500">
        <v>500</v>
      </c>
      <c r="S466" s="523">
        <v>44284</v>
      </c>
      <c r="T466" s="500" t="s">
        <v>4116</v>
      </c>
      <c r="U466" s="475">
        <v>60000000</v>
      </c>
      <c r="V466" s="406"/>
      <c r="W466" s="362"/>
      <c r="X466" s="483" t="s">
        <v>4117</v>
      </c>
      <c r="Y466" s="484">
        <v>44302</v>
      </c>
      <c r="Z466" s="484">
        <v>44302</v>
      </c>
      <c r="AA466" s="484">
        <v>44546</v>
      </c>
      <c r="AB466" s="485" t="s">
        <v>2650</v>
      </c>
      <c r="AC466" s="483" t="s">
        <v>3509</v>
      </c>
      <c r="AD466" s="485" t="s">
        <v>4118</v>
      </c>
      <c r="AE466" s="486" t="s">
        <v>2687</v>
      </c>
      <c r="AF466" s="473">
        <v>60000000</v>
      </c>
      <c r="AG466" s="474">
        <f t="shared" si="7"/>
        <v>0</v>
      </c>
      <c r="AM466" s="306">
        <f>3750000+7500000</f>
        <v>11250000</v>
      </c>
    </row>
    <row r="467" spans="1:39" ht="15.6" hidden="1" x14ac:dyDescent="0.3">
      <c r="C467" s="212" t="s">
        <v>4119</v>
      </c>
      <c r="D467" s="478">
        <v>462</v>
      </c>
      <c r="E467" s="478">
        <v>20214000018033</v>
      </c>
      <c r="F467" s="479">
        <v>44284</v>
      </c>
      <c r="G467" s="478" t="s">
        <v>2680</v>
      </c>
      <c r="H467" s="212" t="s">
        <v>2681</v>
      </c>
      <c r="I467" s="212" t="s">
        <v>47</v>
      </c>
      <c r="J467" s="480">
        <v>6000000</v>
      </c>
      <c r="K467" s="212" t="s">
        <v>37</v>
      </c>
      <c r="L467" s="515" t="s">
        <v>3180</v>
      </c>
      <c r="M467" s="212" t="s">
        <v>44</v>
      </c>
      <c r="N467" s="212" t="s">
        <v>45</v>
      </c>
      <c r="O467" s="212" t="s">
        <v>310</v>
      </c>
      <c r="P467" s="212" t="s">
        <v>43</v>
      </c>
      <c r="R467" s="486">
        <v>501</v>
      </c>
      <c r="S467" s="490">
        <v>44284</v>
      </c>
      <c r="T467" s="486" t="s">
        <v>4120</v>
      </c>
      <c r="U467" s="489">
        <v>6000000</v>
      </c>
      <c r="V467" s="406"/>
      <c r="W467" s="399"/>
      <c r="X467" s="483" t="s">
        <v>4121</v>
      </c>
      <c r="Y467" s="484">
        <v>44292</v>
      </c>
      <c r="Z467" s="484">
        <v>44292</v>
      </c>
      <c r="AA467" s="484">
        <v>44316</v>
      </c>
      <c r="AB467" s="485" t="s">
        <v>3106</v>
      </c>
      <c r="AC467" s="483" t="s">
        <v>4122</v>
      </c>
      <c r="AD467" s="485" t="s">
        <v>3467</v>
      </c>
      <c r="AE467" s="486" t="s">
        <v>3468</v>
      </c>
      <c r="AF467" s="473">
        <v>2129646</v>
      </c>
      <c r="AG467" s="474">
        <f t="shared" si="7"/>
        <v>3870354</v>
      </c>
      <c r="AH467" s="480"/>
      <c r="AI467" s="480"/>
      <c r="AK467" s="475">
        <v>2129646</v>
      </c>
      <c r="AM467" s="212"/>
    </row>
    <row r="468" spans="1:39" hidden="1" x14ac:dyDescent="0.3">
      <c r="B468" s="477" t="s">
        <v>2683</v>
      </c>
      <c r="C468" s="212" t="s">
        <v>4123</v>
      </c>
      <c r="D468" s="478">
        <v>463</v>
      </c>
      <c r="E468" s="478">
        <v>20211400015003</v>
      </c>
      <c r="F468" s="479">
        <v>44285</v>
      </c>
      <c r="G468" s="478" t="s">
        <v>2647</v>
      </c>
      <c r="H468" s="212" t="s">
        <v>2648</v>
      </c>
      <c r="I468" s="212" t="s">
        <v>184</v>
      </c>
      <c r="J468" s="475">
        <v>3950100</v>
      </c>
      <c r="K468" s="212" t="s">
        <v>138</v>
      </c>
      <c r="L468" s="212" t="s">
        <v>2652</v>
      </c>
      <c r="M468" s="212" t="s">
        <v>44</v>
      </c>
      <c r="N468" s="212" t="s">
        <v>45</v>
      </c>
      <c r="O468" s="212" t="s">
        <v>142</v>
      </c>
      <c r="P468" s="212" t="s">
        <v>43</v>
      </c>
      <c r="R468" s="486">
        <v>502</v>
      </c>
      <c r="S468" s="490">
        <v>44285</v>
      </c>
      <c r="T468" s="486" t="s">
        <v>4124</v>
      </c>
      <c r="U468" s="475">
        <v>3950100</v>
      </c>
      <c r="V468" s="406"/>
      <c r="W468" s="362"/>
      <c r="X468" s="483" t="s">
        <v>3949</v>
      </c>
      <c r="Y468" s="484">
        <v>44285</v>
      </c>
      <c r="Z468" s="484">
        <v>44286</v>
      </c>
      <c r="AA468" s="484">
        <v>44331</v>
      </c>
      <c r="AB468" s="485" t="s">
        <v>2650</v>
      </c>
      <c r="AC468" s="483" t="s">
        <v>4125</v>
      </c>
      <c r="AD468" s="485" t="s">
        <v>4126</v>
      </c>
      <c r="AE468" s="486" t="s">
        <v>4127</v>
      </c>
      <c r="AF468" s="473">
        <v>3950100</v>
      </c>
      <c r="AG468" s="474">
        <f t="shared" si="7"/>
        <v>0</v>
      </c>
      <c r="AL468" s="475">
        <v>2633400</v>
      </c>
      <c r="AM468" s="306">
        <v>1316700</v>
      </c>
    </row>
    <row r="469" spans="1:39" hidden="1" x14ac:dyDescent="0.3">
      <c r="A469" s="476" t="s">
        <v>2035</v>
      </c>
      <c r="B469" s="477">
        <v>33000000</v>
      </c>
      <c r="C469" s="212" t="s">
        <v>2646</v>
      </c>
      <c r="D469" s="478">
        <v>464</v>
      </c>
      <c r="E469" s="478">
        <v>20215000018313</v>
      </c>
      <c r="F469" s="479">
        <v>44285</v>
      </c>
      <c r="G469" s="478" t="s">
        <v>2640</v>
      </c>
      <c r="H469" s="212" t="s">
        <v>2641</v>
      </c>
      <c r="I469" s="212" t="s">
        <v>228</v>
      </c>
      <c r="J469" s="480">
        <v>17600000</v>
      </c>
      <c r="K469" s="212" t="s">
        <v>223</v>
      </c>
      <c r="L469" s="212" t="s">
        <v>2758</v>
      </c>
      <c r="M469" s="212" t="s">
        <v>44</v>
      </c>
      <c r="N469" s="212" t="s">
        <v>45</v>
      </c>
      <c r="O469" s="212" t="s">
        <v>63</v>
      </c>
      <c r="P469" s="212" t="s">
        <v>674</v>
      </c>
      <c r="R469" s="486">
        <v>503</v>
      </c>
      <c r="S469" s="490">
        <v>44285</v>
      </c>
      <c r="T469" s="486" t="s">
        <v>4128</v>
      </c>
      <c r="U469" s="475">
        <f>17600000-17600000</f>
        <v>0</v>
      </c>
      <c r="V469" s="406">
        <v>17600000</v>
      </c>
      <c r="W469" s="362" t="s">
        <v>1509</v>
      </c>
      <c r="AG469" s="474">
        <f t="shared" si="7"/>
        <v>0</v>
      </c>
      <c r="AM469" s="212"/>
    </row>
    <row r="470" spans="1:39" hidden="1" x14ac:dyDescent="0.3">
      <c r="A470" s="476" t="s">
        <v>2475</v>
      </c>
      <c r="B470" s="477">
        <v>32400000</v>
      </c>
      <c r="C470" s="212" t="s">
        <v>2646</v>
      </c>
      <c r="D470" s="478">
        <v>465</v>
      </c>
      <c r="E470" s="478">
        <v>20215000018333</v>
      </c>
      <c r="F470" s="479">
        <v>44285</v>
      </c>
      <c r="G470" s="478" t="s">
        <v>2640</v>
      </c>
      <c r="H470" s="212" t="s">
        <v>2641</v>
      </c>
      <c r="I470" s="212" t="s">
        <v>228</v>
      </c>
      <c r="J470" s="480">
        <v>28800000</v>
      </c>
      <c r="K470" s="212" t="s">
        <v>223</v>
      </c>
      <c r="L470" s="212" t="s">
        <v>2758</v>
      </c>
      <c r="M470" s="212" t="s">
        <v>44</v>
      </c>
      <c r="N470" s="212" t="s">
        <v>45</v>
      </c>
      <c r="O470" s="212" t="s">
        <v>63</v>
      </c>
      <c r="P470" s="212" t="s">
        <v>674</v>
      </c>
      <c r="R470" s="486">
        <v>504</v>
      </c>
      <c r="S470" s="490">
        <v>44285</v>
      </c>
      <c r="T470" s="486" t="s">
        <v>4129</v>
      </c>
      <c r="U470" s="475">
        <f>28800000-800000</f>
        <v>28000000</v>
      </c>
      <c r="V470" s="406">
        <v>800000</v>
      </c>
      <c r="W470" s="362" t="s">
        <v>1509</v>
      </c>
      <c r="X470" s="483" t="s">
        <v>4130</v>
      </c>
      <c r="Y470" s="484">
        <v>44321</v>
      </c>
      <c r="Z470" s="484">
        <v>44321</v>
      </c>
      <c r="AA470" s="484">
        <v>44534</v>
      </c>
      <c r="AB470" s="486" t="s">
        <v>2650</v>
      </c>
      <c r="AC470" s="483" t="s">
        <v>3723</v>
      </c>
      <c r="AD470" s="486" t="s">
        <v>4131</v>
      </c>
      <c r="AE470" s="486" t="s">
        <v>4132</v>
      </c>
      <c r="AF470" s="473">
        <v>28000000</v>
      </c>
      <c r="AG470" s="474">
        <f t="shared" si="7"/>
        <v>0</v>
      </c>
      <c r="AM470" s="306">
        <v>3333333</v>
      </c>
    </row>
    <row r="471" spans="1:39" hidden="1" x14ac:dyDescent="0.3">
      <c r="A471" s="476" t="s">
        <v>4133</v>
      </c>
      <c r="B471" s="477">
        <v>325067484</v>
      </c>
      <c r="C471" s="468" t="s">
        <v>4134</v>
      </c>
      <c r="D471" s="469">
        <v>466</v>
      </c>
      <c r="E471" s="469">
        <v>20215000018343</v>
      </c>
      <c r="F471" s="470">
        <v>44285</v>
      </c>
      <c r="G471" s="469" t="s">
        <v>2640</v>
      </c>
      <c r="H471" s="468" t="s">
        <v>2641</v>
      </c>
      <c r="I471" s="468" t="s">
        <v>228</v>
      </c>
      <c r="J471" s="531">
        <v>325067484</v>
      </c>
      <c r="K471" s="468" t="s">
        <v>223</v>
      </c>
      <c r="L471" s="468" t="s">
        <v>224</v>
      </c>
      <c r="M471" s="468" t="s">
        <v>44</v>
      </c>
      <c r="N471" s="468" t="s">
        <v>45</v>
      </c>
      <c r="O471" s="468" t="s">
        <v>63</v>
      </c>
      <c r="P471" s="212" t="s">
        <v>674</v>
      </c>
      <c r="Q471" s="468"/>
      <c r="R471" s="529">
        <v>505</v>
      </c>
      <c r="S471" s="528">
        <v>44285</v>
      </c>
      <c r="T471" s="529" t="s">
        <v>4135</v>
      </c>
      <c r="U471" s="471">
        <v>325067484</v>
      </c>
      <c r="V471" s="414"/>
      <c r="W471" s="379"/>
      <c r="X471" s="483" t="s">
        <v>4136</v>
      </c>
      <c r="Y471" s="484">
        <v>44316</v>
      </c>
      <c r="Z471" s="484">
        <v>44316</v>
      </c>
      <c r="AA471" s="484">
        <v>44561</v>
      </c>
      <c r="AB471" s="485" t="s">
        <v>4042</v>
      </c>
      <c r="AC471" s="483" t="s">
        <v>3359</v>
      </c>
      <c r="AD471" s="485" t="s">
        <v>4137</v>
      </c>
      <c r="AE471" s="486" t="s">
        <v>4138</v>
      </c>
      <c r="AF471" s="473">
        <v>325067484</v>
      </c>
      <c r="AG471" s="474">
        <f t="shared" si="7"/>
        <v>0</v>
      </c>
      <c r="AI471" s="471"/>
      <c r="AJ471" s="471"/>
      <c r="AK471" s="471"/>
      <c r="AL471" s="471">
        <v>27088957</v>
      </c>
      <c r="AM471" s="212"/>
    </row>
    <row r="472" spans="1:39" hidden="1" x14ac:dyDescent="0.3">
      <c r="A472" s="476" t="s">
        <v>1749</v>
      </c>
      <c r="B472" s="477">
        <v>135660000</v>
      </c>
      <c r="C472" s="212" t="s">
        <v>4139</v>
      </c>
      <c r="D472" s="478">
        <v>467</v>
      </c>
      <c r="E472" s="478">
        <v>20215000018353</v>
      </c>
      <c r="F472" s="479">
        <v>44285</v>
      </c>
      <c r="G472" s="478" t="s">
        <v>2640</v>
      </c>
      <c r="H472" s="212" t="s">
        <v>2641</v>
      </c>
      <c r="I472" s="212" t="s">
        <v>228</v>
      </c>
      <c r="J472" s="480">
        <v>135660000</v>
      </c>
      <c r="K472" s="212" t="s">
        <v>223</v>
      </c>
      <c r="L472" s="212" t="s">
        <v>224</v>
      </c>
      <c r="M472" s="212" t="s">
        <v>44</v>
      </c>
      <c r="N472" s="212" t="s">
        <v>45</v>
      </c>
      <c r="O472" s="212" t="s">
        <v>63</v>
      </c>
      <c r="P472" s="212" t="s">
        <v>674</v>
      </c>
      <c r="R472" s="486">
        <v>506</v>
      </c>
      <c r="S472" s="490">
        <v>44285</v>
      </c>
      <c r="T472" s="486" t="s">
        <v>4140</v>
      </c>
      <c r="U472" s="475">
        <v>135660000</v>
      </c>
      <c r="V472" s="406"/>
      <c r="W472" s="362"/>
      <c r="X472" s="308" t="s">
        <v>4141</v>
      </c>
      <c r="Y472" s="472">
        <v>44343</v>
      </c>
      <c r="Z472" s="484">
        <v>44343</v>
      </c>
      <c r="AA472" s="484">
        <v>44526</v>
      </c>
      <c r="AB472" s="484" t="s">
        <v>4042</v>
      </c>
      <c r="AC472" s="484" t="s">
        <v>4106</v>
      </c>
      <c r="AD472" s="532" t="s">
        <v>4142</v>
      </c>
      <c r="AE472" s="532" t="s">
        <v>4143</v>
      </c>
      <c r="AF472" s="473">
        <v>135660000</v>
      </c>
      <c r="AG472" s="474">
        <f t="shared" si="7"/>
        <v>0</v>
      </c>
      <c r="AM472" s="212"/>
    </row>
    <row r="473" spans="1:39" s="312" customFormat="1" ht="15.6" hidden="1" x14ac:dyDescent="0.3">
      <c r="A473" s="361" t="s">
        <v>4144</v>
      </c>
      <c r="B473" s="417">
        <v>59000000</v>
      </c>
      <c r="C473" s="533" t="s">
        <v>4145</v>
      </c>
      <c r="D473" s="381">
        <v>468</v>
      </c>
      <c r="E473" s="381">
        <v>20215000018393</v>
      </c>
      <c r="F473" s="382">
        <v>44285</v>
      </c>
      <c r="G473" s="381" t="s">
        <v>2640</v>
      </c>
      <c r="H473" s="364" t="s">
        <v>2641</v>
      </c>
      <c r="I473" s="364" t="s">
        <v>228</v>
      </c>
      <c r="J473" s="414">
        <v>59000000</v>
      </c>
      <c r="K473" s="364" t="s">
        <v>223</v>
      </c>
      <c r="L473" s="364" t="s">
        <v>257</v>
      </c>
      <c r="M473" s="364" t="s">
        <v>44</v>
      </c>
      <c r="N473" s="364" t="s">
        <v>45</v>
      </c>
      <c r="O473" s="364" t="s">
        <v>46</v>
      </c>
      <c r="P473" s="364" t="s">
        <v>674</v>
      </c>
      <c r="Q473" s="364"/>
      <c r="R473" s="384">
        <v>507</v>
      </c>
      <c r="S473" s="383">
        <v>44285</v>
      </c>
      <c r="T473" s="384" t="s">
        <v>4146</v>
      </c>
      <c r="U473" s="408">
        <f>59000000-59000000</f>
        <v>0</v>
      </c>
      <c r="V473" s="414">
        <v>59000000</v>
      </c>
      <c r="W473" s="379" t="s">
        <v>1509</v>
      </c>
      <c r="X473" s="314"/>
      <c r="Y473" s="358"/>
      <c r="Z473" s="358"/>
      <c r="AA473" s="358"/>
      <c r="AB473" s="317"/>
      <c r="AC473" s="316"/>
      <c r="AD473" s="317"/>
      <c r="AF473" s="410"/>
      <c r="AG473" s="318">
        <f t="shared" si="7"/>
        <v>0</v>
      </c>
      <c r="AH473" s="405"/>
      <c r="AI473" s="408"/>
      <c r="AJ473" s="408"/>
      <c r="AK473" s="408"/>
      <c r="AL473" s="408"/>
      <c r="AM473" s="212"/>
    </row>
    <row r="474" spans="1:39" ht="15.6" hidden="1" x14ac:dyDescent="0.3">
      <c r="B474" s="467" t="s">
        <v>2683</v>
      </c>
      <c r="C474" s="534" t="s">
        <v>4147</v>
      </c>
      <c r="D474" s="469">
        <v>469</v>
      </c>
      <c r="E474" s="469">
        <v>20211300018303</v>
      </c>
      <c r="F474" s="470">
        <v>44285</v>
      </c>
      <c r="G474" s="469" t="s">
        <v>2647</v>
      </c>
      <c r="H474" s="468" t="s">
        <v>2648</v>
      </c>
      <c r="I474" s="468" t="s">
        <v>210</v>
      </c>
      <c r="J474" s="531">
        <v>11411438</v>
      </c>
      <c r="K474" s="468" t="s">
        <v>138</v>
      </c>
      <c r="L474" s="468" t="s">
        <v>139</v>
      </c>
      <c r="M474" s="468" t="s">
        <v>44</v>
      </c>
      <c r="N474" s="468" t="s">
        <v>45</v>
      </c>
      <c r="O474" s="468" t="s">
        <v>142</v>
      </c>
      <c r="P474" s="468" t="s">
        <v>43</v>
      </c>
      <c r="Q474" s="468"/>
      <c r="R474" s="529">
        <v>508</v>
      </c>
      <c r="S474" s="528">
        <v>44285</v>
      </c>
      <c r="T474" s="529" t="s">
        <v>4148</v>
      </c>
      <c r="U474" s="471">
        <v>11411438</v>
      </c>
      <c r="V474" s="414"/>
      <c r="W474" s="379"/>
      <c r="X474" s="308" t="s">
        <v>4149</v>
      </c>
      <c r="Y474" s="472">
        <v>44295</v>
      </c>
      <c r="Z474" s="472">
        <v>44298</v>
      </c>
      <c r="AA474" s="472">
        <v>44358</v>
      </c>
      <c r="AB474" s="2" t="s">
        <v>2650</v>
      </c>
      <c r="AC474" s="211" t="s">
        <v>4150</v>
      </c>
      <c r="AD474" s="2" t="s">
        <v>4151</v>
      </c>
      <c r="AE474" s="212" t="s">
        <v>4152</v>
      </c>
      <c r="AF474" s="473">
        <v>11411438</v>
      </c>
      <c r="AG474" s="474">
        <f t="shared" si="7"/>
        <v>0</v>
      </c>
      <c r="AI474" s="471"/>
      <c r="AJ474" s="471"/>
      <c r="AK474" s="471"/>
      <c r="AL474" s="471">
        <v>3423431</v>
      </c>
      <c r="AM474" s="306">
        <v>5705719</v>
      </c>
    </row>
    <row r="475" spans="1:39" hidden="1" x14ac:dyDescent="0.3">
      <c r="A475" s="476" t="s">
        <v>2217</v>
      </c>
      <c r="B475" s="477">
        <v>56838880</v>
      </c>
      <c r="C475" s="212" t="s">
        <v>2646</v>
      </c>
      <c r="D475" s="478">
        <v>470</v>
      </c>
      <c r="E475" s="478">
        <v>20211300018483</v>
      </c>
      <c r="F475" s="479">
        <v>44285</v>
      </c>
      <c r="G475" s="478" t="s">
        <v>2647</v>
      </c>
      <c r="H475" s="212" t="s">
        <v>2648</v>
      </c>
      <c r="I475" s="212" t="s">
        <v>210</v>
      </c>
      <c r="J475" s="480">
        <v>32479360</v>
      </c>
      <c r="K475" s="212" t="s">
        <v>138</v>
      </c>
      <c r="L475" s="212" t="s">
        <v>139</v>
      </c>
      <c r="M475" s="212" t="s">
        <v>44</v>
      </c>
      <c r="N475" s="212" t="s">
        <v>45</v>
      </c>
      <c r="O475" s="212" t="s">
        <v>142</v>
      </c>
      <c r="P475" s="212" t="s">
        <v>43</v>
      </c>
      <c r="R475" s="486">
        <v>509</v>
      </c>
      <c r="S475" s="490">
        <v>44285</v>
      </c>
      <c r="T475" s="486" t="s">
        <v>4153</v>
      </c>
      <c r="U475" s="475">
        <v>32479360</v>
      </c>
      <c r="V475" s="406"/>
      <c r="W475" s="362"/>
      <c r="X475" s="483" t="s">
        <v>4154</v>
      </c>
      <c r="Y475" s="484">
        <v>44307</v>
      </c>
      <c r="Z475" s="484">
        <v>44307</v>
      </c>
      <c r="AA475" s="484">
        <v>44428</v>
      </c>
      <c r="AB475" s="485" t="s">
        <v>2650</v>
      </c>
      <c r="AC475" s="483" t="s">
        <v>4155</v>
      </c>
      <c r="AD475" s="485" t="s">
        <v>4156</v>
      </c>
      <c r="AE475" s="486" t="s">
        <v>2819</v>
      </c>
      <c r="AF475" s="473">
        <v>32479360</v>
      </c>
      <c r="AG475" s="474">
        <f t="shared" si="7"/>
        <v>0</v>
      </c>
      <c r="AL475" s="475">
        <v>2706613</v>
      </c>
      <c r="AM475" s="306">
        <v>8119840</v>
      </c>
    </row>
    <row r="476" spans="1:39" hidden="1" x14ac:dyDescent="0.3">
      <c r="A476" s="476" t="s">
        <v>1986</v>
      </c>
      <c r="B476" s="477">
        <v>24530202</v>
      </c>
      <c r="C476" s="212" t="s">
        <v>2646</v>
      </c>
      <c r="D476" s="478">
        <v>471</v>
      </c>
      <c r="E476" s="478">
        <v>20217000018863</v>
      </c>
      <c r="F476" s="479">
        <v>44291</v>
      </c>
      <c r="G476" s="478" t="s">
        <v>2647</v>
      </c>
      <c r="H476" s="212" t="s">
        <v>2648</v>
      </c>
      <c r="I476" s="212" t="s">
        <v>164</v>
      </c>
      <c r="J476" s="475">
        <v>19079046</v>
      </c>
      <c r="K476" s="212" t="s">
        <v>138</v>
      </c>
      <c r="L476" s="212" t="s">
        <v>139</v>
      </c>
      <c r="M476" s="212" t="s">
        <v>44</v>
      </c>
      <c r="N476" s="212" t="s">
        <v>45</v>
      </c>
      <c r="O476" s="212" t="s">
        <v>142</v>
      </c>
      <c r="P476" s="212" t="s">
        <v>43</v>
      </c>
      <c r="R476" s="212">
        <v>511</v>
      </c>
      <c r="S476" s="490">
        <v>44292</v>
      </c>
      <c r="T476" s="486" t="s">
        <v>4157</v>
      </c>
      <c r="U476" s="475">
        <v>19079046</v>
      </c>
      <c r="V476" s="406"/>
      <c r="W476" s="362"/>
      <c r="X476" s="483" t="s">
        <v>4158</v>
      </c>
      <c r="Y476" s="484">
        <v>44305</v>
      </c>
      <c r="Z476" s="484">
        <v>44305</v>
      </c>
      <c r="AA476" s="484">
        <v>44484</v>
      </c>
      <c r="AB476" s="485" t="s">
        <v>2650</v>
      </c>
      <c r="AC476" s="483" t="s">
        <v>3824</v>
      </c>
      <c r="AD476" s="485" t="s">
        <v>4159</v>
      </c>
      <c r="AE476" s="486" t="s">
        <v>4160</v>
      </c>
      <c r="AF476" s="473">
        <v>19048760</v>
      </c>
      <c r="AG476" s="474">
        <f t="shared" si="7"/>
        <v>30286</v>
      </c>
      <c r="AL476" s="475">
        <v>1232567</v>
      </c>
      <c r="AM476" s="306">
        <v>3361546</v>
      </c>
    </row>
    <row r="477" spans="1:39" hidden="1" x14ac:dyDescent="0.3">
      <c r="A477" s="476" t="s">
        <v>2406</v>
      </c>
      <c r="B477" s="477">
        <v>36000000</v>
      </c>
      <c r="C477" s="212" t="s">
        <v>2646</v>
      </c>
      <c r="D477" s="478">
        <v>472</v>
      </c>
      <c r="E477" s="478">
        <v>20217000018963</v>
      </c>
      <c r="F477" s="479">
        <v>44291</v>
      </c>
      <c r="G477" s="478" t="s">
        <v>2647</v>
      </c>
      <c r="H477" s="212" t="s">
        <v>2648</v>
      </c>
      <c r="I477" s="212" t="s">
        <v>164</v>
      </c>
      <c r="J477" s="475">
        <v>24530202</v>
      </c>
      <c r="K477" s="212" t="s">
        <v>138</v>
      </c>
      <c r="L477" s="212" t="s">
        <v>139</v>
      </c>
      <c r="M477" s="212" t="s">
        <v>44</v>
      </c>
      <c r="N477" s="212" t="s">
        <v>45</v>
      </c>
      <c r="O477" s="212" t="s">
        <v>142</v>
      </c>
      <c r="P477" s="212" t="s">
        <v>43</v>
      </c>
      <c r="R477" s="212">
        <v>513</v>
      </c>
      <c r="S477" s="490">
        <v>44292</v>
      </c>
      <c r="T477" s="486" t="s">
        <v>4161</v>
      </c>
      <c r="U477" s="475">
        <v>24530202</v>
      </c>
      <c r="V477" s="406"/>
      <c r="W477" s="362"/>
      <c r="X477" s="483" t="s">
        <v>4162</v>
      </c>
      <c r="Y477" s="484">
        <v>44298</v>
      </c>
      <c r="Z477" s="484">
        <v>44298</v>
      </c>
      <c r="AA477" s="484">
        <v>44481</v>
      </c>
      <c r="AB477" s="485" t="s">
        <v>2650</v>
      </c>
      <c r="AC477" s="483" t="s">
        <v>3782</v>
      </c>
      <c r="AD477" s="485" t="s">
        <v>4163</v>
      </c>
      <c r="AE477" s="486" t="s">
        <v>2809</v>
      </c>
      <c r="AF477" s="473">
        <v>24530202</v>
      </c>
      <c r="AG477" s="474">
        <f t="shared" si="7"/>
        <v>0</v>
      </c>
      <c r="AL477" s="475">
        <v>2453020</v>
      </c>
      <c r="AM477" s="306">
        <v>4088367</v>
      </c>
    </row>
    <row r="478" spans="1:39" hidden="1" x14ac:dyDescent="0.3">
      <c r="A478" s="476" t="s">
        <v>2081</v>
      </c>
      <c r="B478" s="477">
        <v>16000000</v>
      </c>
      <c r="C478" s="212" t="s">
        <v>2646</v>
      </c>
      <c r="D478" s="478">
        <v>473</v>
      </c>
      <c r="E478" s="478">
        <v>20211200018903</v>
      </c>
      <c r="F478" s="479">
        <v>44291</v>
      </c>
      <c r="G478" s="309" t="s">
        <v>2647</v>
      </c>
      <c r="H478" s="210" t="s">
        <v>2648</v>
      </c>
      <c r="I478" s="212" t="s">
        <v>143</v>
      </c>
      <c r="J478" s="407">
        <v>13500000</v>
      </c>
      <c r="K478" s="210" t="s">
        <v>138</v>
      </c>
      <c r="L478" s="210" t="s">
        <v>139</v>
      </c>
      <c r="M478" s="210" t="s">
        <v>44</v>
      </c>
      <c r="N478" s="210" t="s">
        <v>45</v>
      </c>
      <c r="O478" s="210" t="s">
        <v>142</v>
      </c>
      <c r="P478" s="210" t="s">
        <v>43</v>
      </c>
      <c r="R478" s="212">
        <v>512</v>
      </c>
      <c r="S478" s="490">
        <v>44292</v>
      </c>
      <c r="T478" s="486" t="s">
        <v>4164</v>
      </c>
      <c r="U478" s="475">
        <v>13500000</v>
      </c>
      <c r="V478" s="406"/>
      <c r="W478" s="362"/>
      <c r="X478" s="483" t="s">
        <v>4165</v>
      </c>
      <c r="Y478" s="484">
        <v>44299</v>
      </c>
      <c r="Z478" s="484">
        <v>44299</v>
      </c>
      <c r="AA478" s="484">
        <v>44390</v>
      </c>
      <c r="AB478" s="485" t="s">
        <v>2650</v>
      </c>
      <c r="AC478" s="483" t="s">
        <v>3890</v>
      </c>
      <c r="AD478" s="485" t="s">
        <v>4166</v>
      </c>
      <c r="AE478" s="486" t="s">
        <v>3335</v>
      </c>
      <c r="AF478" s="473">
        <v>13500000</v>
      </c>
      <c r="AG478" s="474">
        <f t="shared" si="7"/>
        <v>0</v>
      </c>
      <c r="AL478" s="475">
        <v>2700000</v>
      </c>
      <c r="AM478" s="306">
        <v>4500000</v>
      </c>
    </row>
    <row r="479" spans="1:39" hidden="1" x14ac:dyDescent="0.3">
      <c r="A479" s="476" t="s">
        <v>2456</v>
      </c>
      <c r="B479" s="477">
        <v>43056000</v>
      </c>
      <c r="C479" s="212" t="s">
        <v>2646</v>
      </c>
      <c r="D479" s="478">
        <v>474</v>
      </c>
      <c r="E479" s="478">
        <v>20211400015013</v>
      </c>
      <c r="F479" s="479">
        <v>44291</v>
      </c>
      <c r="G479" s="478" t="s">
        <v>2647</v>
      </c>
      <c r="H479" s="212" t="s">
        <v>2648</v>
      </c>
      <c r="I479" s="212" t="s">
        <v>184</v>
      </c>
      <c r="J479" s="475">
        <v>43056000</v>
      </c>
      <c r="K479" s="212" t="s">
        <v>138</v>
      </c>
      <c r="L479" s="212" t="s">
        <v>2652</v>
      </c>
      <c r="M479" s="212" t="s">
        <v>44</v>
      </c>
      <c r="N479" s="212" t="s">
        <v>45</v>
      </c>
      <c r="O479" s="212" t="s">
        <v>142</v>
      </c>
      <c r="P479" s="212" t="s">
        <v>43</v>
      </c>
      <c r="R479" s="212">
        <v>510</v>
      </c>
      <c r="S479" s="490">
        <v>44292</v>
      </c>
      <c r="T479" s="486" t="s">
        <v>4167</v>
      </c>
      <c r="U479" s="475">
        <v>43056000</v>
      </c>
      <c r="V479" s="406"/>
      <c r="W479" s="362"/>
      <c r="X479" s="483" t="s">
        <v>4168</v>
      </c>
      <c r="Y479" s="484">
        <v>44305</v>
      </c>
      <c r="Z479" s="484">
        <v>44305</v>
      </c>
      <c r="AA479" s="484">
        <v>44548</v>
      </c>
      <c r="AB479" s="485" t="s">
        <v>2650</v>
      </c>
      <c r="AC479" s="483" t="s">
        <v>3326</v>
      </c>
      <c r="AD479" s="485" t="s">
        <v>4169</v>
      </c>
      <c r="AE479" s="486" t="s">
        <v>4170</v>
      </c>
      <c r="AF479" s="473">
        <v>43056000</v>
      </c>
      <c r="AG479" s="474">
        <f t="shared" si="7"/>
        <v>0</v>
      </c>
      <c r="AL479" s="475">
        <v>2152800</v>
      </c>
      <c r="AM479" s="306">
        <v>5382000</v>
      </c>
    </row>
    <row r="480" spans="1:39" hidden="1" x14ac:dyDescent="0.3">
      <c r="A480" s="476" t="s">
        <v>2297</v>
      </c>
      <c r="B480" s="477">
        <v>32500000</v>
      </c>
      <c r="C480" s="212" t="s">
        <v>2646</v>
      </c>
      <c r="D480" s="478">
        <v>475</v>
      </c>
      <c r="E480" s="478">
        <v>20211100019133</v>
      </c>
      <c r="F480" s="479">
        <v>44291</v>
      </c>
      <c r="G480" s="309" t="s">
        <v>2647</v>
      </c>
      <c r="H480" s="210" t="s">
        <v>2648</v>
      </c>
      <c r="I480" s="210" t="s">
        <v>206</v>
      </c>
      <c r="J480" s="407">
        <v>32500000</v>
      </c>
      <c r="K480" s="210" t="s">
        <v>138</v>
      </c>
      <c r="L480" s="210" t="s">
        <v>139</v>
      </c>
      <c r="M480" s="210" t="s">
        <v>44</v>
      </c>
      <c r="N480" s="210" t="s">
        <v>45</v>
      </c>
      <c r="O480" s="210" t="s">
        <v>142</v>
      </c>
      <c r="P480" s="210" t="s">
        <v>43</v>
      </c>
      <c r="Q480" s="210"/>
      <c r="R480" s="212">
        <v>514</v>
      </c>
      <c r="S480" s="490">
        <v>44292</v>
      </c>
      <c r="T480" s="486" t="s">
        <v>4171</v>
      </c>
      <c r="U480" s="475">
        <v>32500000</v>
      </c>
      <c r="V480" s="406"/>
      <c r="W480" s="362"/>
      <c r="X480" s="483" t="s">
        <v>4172</v>
      </c>
      <c r="Y480" s="484">
        <v>44298</v>
      </c>
      <c r="Z480" s="484">
        <v>44298</v>
      </c>
      <c r="AA480" s="484">
        <v>44451</v>
      </c>
      <c r="AB480" s="485" t="s">
        <v>2650</v>
      </c>
      <c r="AC480" s="483" t="s">
        <v>3742</v>
      </c>
      <c r="AD480" s="485" t="s">
        <v>4173</v>
      </c>
      <c r="AE480" s="486" t="s">
        <v>4174</v>
      </c>
      <c r="AF480" s="473">
        <v>32500000</v>
      </c>
      <c r="AG480" s="474">
        <f t="shared" si="7"/>
        <v>0</v>
      </c>
      <c r="AL480" s="475">
        <v>4116667</v>
      </c>
      <c r="AM480" s="306">
        <v>6500000</v>
      </c>
    </row>
    <row r="481" spans="1:39" hidden="1" x14ac:dyDescent="0.3">
      <c r="A481" s="476" t="s">
        <v>2012</v>
      </c>
      <c r="B481" s="477">
        <v>24530202</v>
      </c>
      <c r="C481" s="212" t="s">
        <v>2646</v>
      </c>
      <c r="D481" s="478">
        <v>476</v>
      </c>
      <c r="E481" s="478">
        <v>20217000019673</v>
      </c>
      <c r="F481" s="479">
        <v>44294</v>
      </c>
      <c r="G481" s="309" t="s">
        <v>2647</v>
      </c>
      <c r="H481" s="210" t="s">
        <v>2648</v>
      </c>
      <c r="I481" s="212" t="s">
        <v>164</v>
      </c>
      <c r="J481" s="475">
        <v>10902312</v>
      </c>
      <c r="K481" s="210" t="s">
        <v>138</v>
      </c>
      <c r="L481" s="210" t="s">
        <v>139</v>
      </c>
      <c r="M481" s="210" t="s">
        <v>44</v>
      </c>
      <c r="N481" s="210" t="s">
        <v>45</v>
      </c>
      <c r="O481" s="210" t="s">
        <v>142</v>
      </c>
      <c r="P481" s="210" t="s">
        <v>43</v>
      </c>
      <c r="R481" s="212">
        <v>521</v>
      </c>
      <c r="S481" s="490">
        <v>44294</v>
      </c>
      <c r="T481" s="486" t="s">
        <v>4175</v>
      </c>
      <c r="U481" s="475">
        <v>10902312</v>
      </c>
      <c r="V481" s="406"/>
      <c r="W481" s="362"/>
      <c r="X481" s="483" t="s">
        <v>4067</v>
      </c>
      <c r="Y481" s="484">
        <v>44316</v>
      </c>
      <c r="Z481" s="484">
        <v>44316</v>
      </c>
      <c r="AA481" s="484">
        <v>44437</v>
      </c>
      <c r="AB481" s="485" t="s">
        <v>2650</v>
      </c>
      <c r="AC481" s="483" t="s">
        <v>3434</v>
      </c>
      <c r="AD481" s="485" t="s">
        <v>4176</v>
      </c>
      <c r="AE481" s="486" t="s">
        <v>4177</v>
      </c>
      <c r="AF481" s="473">
        <v>10902312</v>
      </c>
      <c r="AG481" s="474">
        <f t="shared" ref="AG481:AG544" si="8">+U481-AF481</f>
        <v>0</v>
      </c>
      <c r="AM481" s="306">
        <v>2543872</v>
      </c>
    </row>
    <row r="482" spans="1:39" hidden="1" x14ac:dyDescent="0.3">
      <c r="A482" s="476" t="s">
        <v>2381</v>
      </c>
      <c r="B482" s="477">
        <v>65413872</v>
      </c>
      <c r="C482" s="212" t="s">
        <v>2646</v>
      </c>
      <c r="D482" s="478">
        <v>477</v>
      </c>
      <c r="E482" s="478">
        <v>20217000019653</v>
      </c>
      <c r="F482" s="479">
        <v>44294</v>
      </c>
      <c r="G482" s="309" t="s">
        <v>2647</v>
      </c>
      <c r="H482" s="210" t="s">
        <v>2648</v>
      </c>
      <c r="I482" s="212" t="s">
        <v>164</v>
      </c>
      <c r="J482" s="475">
        <v>29072832</v>
      </c>
      <c r="K482" s="210" t="s">
        <v>138</v>
      </c>
      <c r="L482" s="210" t="s">
        <v>139</v>
      </c>
      <c r="M482" s="210" t="s">
        <v>44</v>
      </c>
      <c r="N482" s="210" t="s">
        <v>45</v>
      </c>
      <c r="O482" s="210" t="s">
        <v>142</v>
      </c>
      <c r="P482" s="210" t="s">
        <v>43</v>
      </c>
      <c r="R482" s="212">
        <v>520</v>
      </c>
      <c r="S482" s="490">
        <v>44294</v>
      </c>
      <c r="T482" s="486" t="s">
        <v>4178</v>
      </c>
      <c r="U482" s="475">
        <v>29072832</v>
      </c>
      <c r="V482" s="406"/>
      <c r="W482" s="362"/>
      <c r="X482" s="211" t="s">
        <v>4179</v>
      </c>
      <c r="Y482" s="472">
        <v>44301</v>
      </c>
      <c r="Z482" s="472">
        <v>44301</v>
      </c>
      <c r="AA482" s="472">
        <v>44423</v>
      </c>
      <c r="AB482" s="2" t="s">
        <v>2650</v>
      </c>
      <c r="AC482" s="211" t="s">
        <v>3153</v>
      </c>
      <c r="AD482" s="2" t="s">
        <v>4180</v>
      </c>
      <c r="AE482" s="212" t="s">
        <v>4181</v>
      </c>
      <c r="AF482" s="473">
        <v>29072832</v>
      </c>
      <c r="AG482" s="474">
        <f t="shared" si="8"/>
        <v>0</v>
      </c>
      <c r="AL482" s="475">
        <v>3876378</v>
      </c>
      <c r="AM482" s="306">
        <v>7268208</v>
      </c>
    </row>
    <row r="483" spans="1:39" hidden="1" x14ac:dyDescent="0.3">
      <c r="A483" s="476" t="s">
        <v>1940</v>
      </c>
      <c r="B483" s="477">
        <v>46512000</v>
      </c>
      <c r="C483" s="212" t="s">
        <v>2646</v>
      </c>
      <c r="D483" s="478">
        <v>478</v>
      </c>
      <c r="E483" s="478">
        <v>20212000019393</v>
      </c>
      <c r="F483" s="479">
        <v>44294</v>
      </c>
      <c r="G483" s="478" t="s">
        <v>2640</v>
      </c>
      <c r="H483" s="212" t="s">
        <v>2641</v>
      </c>
      <c r="I483" s="212" t="s">
        <v>391</v>
      </c>
      <c r="J483" s="475">
        <v>41616000</v>
      </c>
      <c r="K483" s="210" t="s">
        <v>2711</v>
      </c>
      <c r="L483" s="212" t="s">
        <v>2712</v>
      </c>
      <c r="M483" s="210" t="s">
        <v>44</v>
      </c>
      <c r="N483" s="210" t="s">
        <v>45</v>
      </c>
      <c r="O483" s="212" t="s">
        <v>63</v>
      </c>
      <c r="P483" s="212" t="s">
        <v>674</v>
      </c>
      <c r="R483" s="212">
        <v>515</v>
      </c>
      <c r="S483" s="490">
        <v>44294</v>
      </c>
      <c r="T483" s="486" t="s">
        <v>4182</v>
      </c>
      <c r="U483" s="475">
        <v>41616000</v>
      </c>
      <c r="V483" s="406"/>
      <c r="W483" s="362"/>
      <c r="X483" s="483" t="s">
        <v>4183</v>
      </c>
      <c r="Y483" s="484">
        <v>44323</v>
      </c>
      <c r="Z483" s="484">
        <v>44323</v>
      </c>
      <c r="AA483" s="484">
        <v>44561</v>
      </c>
      <c r="AB483" s="486" t="s">
        <v>2650</v>
      </c>
      <c r="AC483" s="483" t="s">
        <v>3768</v>
      </c>
      <c r="AD483" s="486" t="s">
        <v>4184</v>
      </c>
      <c r="AE483" s="486" t="s">
        <v>4185</v>
      </c>
      <c r="AF483" s="473">
        <v>36720000</v>
      </c>
      <c r="AG483" s="474">
        <f t="shared" si="8"/>
        <v>4896000</v>
      </c>
      <c r="AM483" s="306">
        <v>3264000</v>
      </c>
    </row>
    <row r="484" spans="1:39" hidden="1" x14ac:dyDescent="0.3">
      <c r="A484" s="476" t="s">
        <v>1941</v>
      </c>
      <c r="B484" s="467">
        <v>38275500</v>
      </c>
      <c r="C484" s="212" t="s">
        <v>2646</v>
      </c>
      <c r="D484" s="469">
        <v>479</v>
      </c>
      <c r="E484" s="469">
        <v>20212000019403</v>
      </c>
      <c r="F484" s="470">
        <v>44294</v>
      </c>
      <c r="G484" s="469" t="s">
        <v>2640</v>
      </c>
      <c r="H484" s="468" t="s">
        <v>2641</v>
      </c>
      <c r="I484" s="468" t="s">
        <v>391</v>
      </c>
      <c r="J484" s="471">
        <v>34246500</v>
      </c>
      <c r="K484" s="377" t="s">
        <v>2711</v>
      </c>
      <c r="L484" s="468" t="s">
        <v>2712</v>
      </c>
      <c r="M484" s="377" t="s">
        <v>44</v>
      </c>
      <c r="N484" s="377" t="s">
        <v>45</v>
      </c>
      <c r="O484" s="468" t="s">
        <v>63</v>
      </c>
      <c r="P484" s="212" t="s">
        <v>674</v>
      </c>
      <c r="Q484" s="468"/>
      <c r="R484" s="468">
        <v>516</v>
      </c>
      <c r="S484" s="528">
        <v>44294</v>
      </c>
      <c r="T484" s="529" t="s">
        <v>4186</v>
      </c>
      <c r="U484" s="475">
        <v>34246500</v>
      </c>
      <c r="V484" s="414"/>
      <c r="W484" s="379"/>
      <c r="X484" s="483" t="s">
        <v>4187</v>
      </c>
      <c r="Y484" s="484">
        <v>44308</v>
      </c>
      <c r="Z484" s="484">
        <v>44308</v>
      </c>
      <c r="AA484" s="484">
        <v>44551</v>
      </c>
      <c r="AB484" s="485" t="s">
        <v>2650</v>
      </c>
      <c r="AC484" s="483" t="s">
        <v>3956</v>
      </c>
      <c r="AD484" s="485" t="s">
        <v>4188</v>
      </c>
      <c r="AE484" s="486" t="s">
        <v>4189</v>
      </c>
      <c r="AF484" s="473">
        <v>32232000</v>
      </c>
      <c r="AG484" s="474">
        <f t="shared" si="8"/>
        <v>2014500</v>
      </c>
      <c r="AI484" s="471"/>
      <c r="AJ484" s="471"/>
      <c r="AK484" s="471"/>
      <c r="AL484" s="471"/>
      <c r="AM484" s="306">
        <v>5103400</v>
      </c>
    </row>
    <row r="485" spans="1:39" hidden="1" x14ac:dyDescent="0.3">
      <c r="A485" s="476" t="s">
        <v>1949</v>
      </c>
      <c r="B485" s="477">
        <v>34850000</v>
      </c>
      <c r="C485" s="212" t="s">
        <v>2646</v>
      </c>
      <c r="D485" s="478">
        <v>480</v>
      </c>
      <c r="E485" s="478">
        <v>20212000019423</v>
      </c>
      <c r="F485" s="479">
        <v>44294</v>
      </c>
      <c r="G485" s="478" t="s">
        <v>2640</v>
      </c>
      <c r="H485" s="212" t="s">
        <v>2641</v>
      </c>
      <c r="I485" s="212" t="s">
        <v>391</v>
      </c>
      <c r="J485" s="475">
        <v>16400000</v>
      </c>
      <c r="K485" s="210" t="s">
        <v>2711</v>
      </c>
      <c r="L485" s="212" t="s">
        <v>2712</v>
      </c>
      <c r="M485" s="210" t="s">
        <v>44</v>
      </c>
      <c r="N485" s="210" t="s">
        <v>45</v>
      </c>
      <c r="O485" s="212" t="s">
        <v>63</v>
      </c>
      <c r="P485" s="212" t="s">
        <v>674</v>
      </c>
      <c r="R485" s="212">
        <v>517</v>
      </c>
      <c r="S485" s="490">
        <v>44294</v>
      </c>
      <c r="T485" s="486" t="s">
        <v>4190</v>
      </c>
      <c r="U485" s="475">
        <v>16400000</v>
      </c>
      <c r="V485" s="406"/>
      <c r="W485" s="362"/>
      <c r="X485" s="483" t="s">
        <v>4191</v>
      </c>
      <c r="Y485" s="484">
        <v>44307</v>
      </c>
      <c r="Z485" s="484">
        <v>44307</v>
      </c>
      <c r="AA485" s="484">
        <v>44428</v>
      </c>
      <c r="AB485" s="485" t="s">
        <v>2650</v>
      </c>
      <c r="AC485" s="483" t="s">
        <v>3754</v>
      </c>
      <c r="AD485" s="485" t="s">
        <v>4192</v>
      </c>
      <c r="AE485" s="486" t="s">
        <v>4193</v>
      </c>
      <c r="AF485" s="473">
        <v>16400000</v>
      </c>
      <c r="AG485" s="474">
        <f t="shared" si="8"/>
        <v>0</v>
      </c>
      <c r="AL485" s="475">
        <v>1633333</v>
      </c>
      <c r="AM485" s="306">
        <v>3833333</v>
      </c>
    </row>
    <row r="486" spans="1:39" hidden="1" x14ac:dyDescent="0.3">
      <c r="A486" s="476" t="s">
        <v>2088</v>
      </c>
      <c r="B486" s="477">
        <v>34850000</v>
      </c>
      <c r="C486" s="212" t="s">
        <v>2646</v>
      </c>
      <c r="D486" s="478">
        <v>481</v>
      </c>
      <c r="E486" s="478">
        <v>20212000019433</v>
      </c>
      <c r="F486" s="479">
        <v>44294</v>
      </c>
      <c r="G486" s="478" t="s">
        <v>2640</v>
      </c>
      <c r="H486" s="212" t="s">
        <v>2641</v>
      </c>
      <c r="I486" s="212" t="s">
        <v>391</v>
      </c>
      <c r="J486" s="475">
        <v>16400000</v>
      </c>
      <c r="K486" s="210" t="s">
        <v>2711</v>
      </c>
      <c r="L486" s="212" t="s">
        <v>2712</v>
      </c>
      <c r="M486" s="210" t="s">
        <v>44</v>
      </c>
      <c r="N486" s="210" t="s">
        <v>45</v>
      </c>
      <c r="O486" s="212" t="s">
        <v>63</v>
      </c>
      <c r="P486" s="212" t="s">
        <v>674</v>
      </c>
      <c r="R486" s="212">
        <v>518</v>
      </c>
      <c r="S486" s="490">
        <v>44294</v>
      </c>
      <c r="T486" s="486" t="s">
        <v>4194</v>
      </c>
      <c r="U486" s="475">
        <v>16400000</v>
      </c>
      <c r="V486" s="406"/>
      <c r="W486" s="362"/>
      <c r="X486" s="483" t="s">
        <v>4195</v>
      </c>
      <c r="Y486" s="484">
        <v>44341</v>
      </c>
      <c r="Z486" s="484">
        <v>44341</v>
      </c>
      <c r="AA486" s="484">
        <v>44463</v>
      </c>
      <c r="AB486" s="486" t="s">
        <v>2650</v>
      </c>
      <c r="AC486" s="483" t="s">
        <v>3634</v>
      </c>
      <c r="AD486" s="486" t="s">
        <v>4196</v>
      </c>
      <c r="AE486" s="486" t="s">
        <v>4197</v>
      </c>
      <c r="AF486" s="473">
        <v>16400000</v>
      </c>
      <c r="AG486" s="474">
        <f t="shared" si="8"/>
        <v>0</v>
      </c>
      <c r="AM486" s="212"/>
    </row>
    <row r="487" spans="1:39" hidden="1" x14ac:dyDescent="0.3">
      <c r="A487" s="476" t="s">
        <v>2117</v>
      </c>
      <c r="B487" s="467">
        <v>34850000</v>
      </c>
      <c r="C487" s="212" t="s">
        <v>2646</v>
      </c>
      <c r="D487" s="469">
        <v>482</v>
      </c>
      <c r="E487" s="469">
        <v>20212000019443</v>
      </c>
      <c r="F487" s="470">
        <v>44294</v>
      </c>
      <c r="G487" s="469" t="s">
        <v>2640</v>
      </c>
      <c r="H487" s="468" t="s">
        <v>2641</v>
      </c>
      <c r="I487" s="468" t="s">
        <v>391</v>
      </c>
      <c r="J487" s="471">
        <v>16400000</v>
      </c>
      <c r="K487" s="377" t="s">
        <v>2711</v>
      </c>
      <c r="L487" s="468" t="s">
        <v>2712</v>
      </c>
      <c r="M487" s="377" t="s">
        <v>44</v>
      </c>
      <c r="N487" s="377" t="s">
        <v>45</v>
      </c>
      <c r="O487" s="468" t="s">
        <v>63</v>
      </c>
      <c r="P487" s="212" t="s">
        <v>674</v>
      </c>
      <c r="Q487" s="468"/>
      <c r="R487" s="468">
        <v>519</v>
      </c>
      <c r="S487" s="528">
        <v>44294</v>
      </c>
      <c r="T487" s="529" t="s">
        <v>4198</v>
      </c>
      <c r="U487" s="475">
        <v>16400000</v>
      </c>
      <c r="V487" s="414"/>
      <c r="W487" s="379"/>
      <c r="X487" s="483" t="s">
        <v>4199</v>
      </c>
      <c r="Y487" s="484">
        <v>44308</v>
      </c>
      <c r="Z487" s="484">
        <v>44308</v>
      </c>
      <c r="AA487" s="484">
        <v>44429</v>
      </c>
      <c r="AB487" s="485" t="s">
        <v>2650</v>
      </c>
      <c r="AC487" s="483" t="s">
        <v>3350</v>
      </c>
      <c r="AD487" s="485" t="s">
        <v>4200</v>
      </c>
      <c r="AE487" s="486" t="s">
        <v>4201</v>
      </c>
      <c r="AF487" s="473">
        <v>16400000</v>
      </c>
      <c r="AG487" s="474">
        <f t="shared" si="8"/>
        <v>0</v>
      </c>
      <c r="AI487" s="471"/>
      <c r="AJ487" s="471"/>
      <c r="AK487" s="471"/>
      <c r="AL487" s="471">
        <v>1230000</v>
      </c>
      <c r="AM487" s="306">
        <v>4100000</v>
      </c>
    </row>
    <row r="488" spans="1:39" hidden="1" x14ac:dyDescent="0.3">
      <c r="A488" s="476" t="s">
        <v>1838</v>
      </c>
      <c r="B488" s="477">
        <v>20800000</v>
      </c>
      <c r="C488" s="212" t="s">
        <v>2646</v>
      </c>
      <c r="D488" s="478">
        <v>483</v>
      </c>
      <c r="E488" s="478">
        <v>20215000019753</v>
      </c>
      <c r="F488" s="479">
        <v>44295</v>
      </c>
      <c r="G488" s="478" t="s">
        <v>2640</v>
      </c>
      <c r="H488" s="212" t="s">
        <v>2641</v>
      </c>
      <c r="I488" s="210" t="s">
        <v>228</v>
      </c>
      <c r="J488" s="475">
        <v>20800000</v>
      </c>
      <c r="K488" s="212" t="s">
        <v>288</v>
      </c>
      <c r="L488" s="212" t="s">
        <v>2736</v>
      </c>
      <c r="M488" s="212" t="s">
        <v>44</v>
      </c>
      <c r="N488" s="212" t="s">
        <v>45</v>
      </c>
      <c r="O488" s="212" t="s">
        <v>63</v>
      </c>
      <c r="P488" s="212" t="s">
        <v>674</v>
      </c>
      <c r="R488" s="212">
        <v>522</v>
      </c>
      <c r="S488" s="490">
        <v>44295</v>
      </c>
      <c r="T488" s="486" t="s">
        <v>4202</v>
      </c>
      <c r="U488" s="475">
        <f>20800000-8050000</f>
        <v>12750000</v>
      </c>
      <c r="V488" s="406">
        <v>8050000</v>
      </c>
      <c r="W488" s="362" t="s">
        <v>1509</v>
      </c>
      <c r="X488" s="483" t="s">
        <v>4203</v>
      </c>
      <c r="Y488" s="484">
        <v>44320</v>
      </c>
      <c r="Z488" s="484">
        <v>44320</v>
      </c>
      <c r="AA488" s="484">
        <v>44561</v>
      </c>
      <c r="AB488" s="486" t="s">
        <v>2650</v>
      </c>
      <c r="AC488" s="483" t="s">
        <v>3371</v>
      </c>
      <c r="AD488" s="486" t="s">
        <v>4204</v>
      </c>
      <c r="AE488" s="486" t="s">
        <v>4205</v>
      </c>
      <c r="AF488" s="473">
        <v>12750000</v>
      </c>
      <c r="AG488" s="474">
        <f t="shared" si="8"/>
        <v>0</v>
      </c>
      <c r="AM488" s="306">
        <v>1473333</v>
      </c>
    </row>
    <row r="489" spans="1:39" hidden="1" x14ac:dyDescent="0.3">
      <c r="A489" s="476" t="s">
        <v>1839</v>
      </c>
      <c r="B489" s="477">
        <v>20800000</v>
      </c>
      <c r="C489" s="212" t="s">
        <v>2646</v>
      </c>
      <c r="D489" s="478">
        <v>484</v>
      </c>
      <c r="E489" s="478">
        <v>20215000019763</v>
      </c>
      <c r="F489" s="479">
        <v>44295</v>
      </c>
      <c r="G489" s="478" t="s">
        <v>2640</v>
      </c>
      <c r="H489" s="212" t="s">
        <v>2641</v>
      </c>
      <c r="I489" s="210" t="s">
        <v>228</v>
      </c>
      <c r="J489" s="475">
        <v>20800000</v>
      </c>
      <c r="K489" s="212" t="s">
        <v>288</v>
      </c>
      <c r="L489" s="212" t="s">
        <v>2736</v>
      </c>
      <c r="M489" s="212" t="s">
        <v>44</v>
      </c>
      <c r="N489" s="212" t="s">
        <v>45</v>
      </c>
      <c r="O489" s="212" t="s">
        <v>63</v>
      </c>
      <c r="P489" s="212" t="s">
        <v>674</v>
      </c>
      <c r="R489" s="212">
        <v>523</v>
      </c>
      <c r="S489" s="490">
        <v>44295</v>
      </c>
      <c r="T489" s="486" t="s">
        <v>4206</v>
      </c>
      <c r="U489" s="475">
        <f>20800000-11050000</f>
        <v>9750000</v>
      </c>
      <c r="V489" s="406">
        <v>11050000</v>
      </c>
      <c r="W489" s="362" t="s">
        <v>1509</v>
      </c>
      <c r="X489" s="483" t="s">
        <v>4207</v>
      </c>
      <c r="Y489" s="484">
        <v>44320</v>
      </c>
      <c r="Z489" s="484">
        <v>44320</v>
      </c>
      <c r="AA489" s="484">
        <v>44561</v>
      </c>
      <c r="AB489" s="486" t="s">
        <v>2650</v>
      </c>
      <c r="AC489" s="483" t="s">
        <v>3557</v>
      </c>
      <c r="AD489" s="486" t="s">
        <v>4208</v>
      </c>
      <c r="AE489" s="486" t="s">
        <v>4209</v>
      </c>
      <c r="AF489" s="473">
        <v>9750000</v>
      </c>
      <c r="AG489" s="474">
        <f t="shared" si="8"/>
        <v>0</v>
      </c>
      <c r="AM489" s="306">
        <v>1126667</v>
      </c>
    </row>
    <row r="490" spans="1:39" hidden="1" x14ac:dyDescent="0.3">
      <c r="A490" s="466" t="s">
        <v>1841</v>
      </c>
      <c r="B490" s="467">
        <v>20800000</v>
      </c>
      <c r="C490" s="212" t="s">
        <v>2646</v>
      </c>
      <c r="D490" s="469">
        <v>485</v>
      </c>
      <c r="E490" s="469">
        <v>20215000019773</v>
      </c>
      <c r="F490" s="470">
        <v>44295</v>
      </c>
      <c r="G490" s="469" t="s">
        <v>2640</v>
      </c>
      <c r="H490" s="468" t="s">
        <v>2641</v>
      </c>
      <c r="I490" s="377" t="s">
        <v>228</v>
      </c>
      <c r="J490" s="471">
        <v>20800000</v>
      </c>
      <c r="K490" s="468" t="s">
        <v>288</v>
      </c>
      <c r="L490" s="468" t="s">
        <v>2736</v>
      </c>
      <c r="M490" s="468" t="s">
        <v>44</v>
      </c>
      <c r="N490" s="468" t="s">
        <v>45</v>
      </c>
      <c r="O490" s="468" t="s">
        <v>63</v>
      </c>
      <c r="P490" s="212" t="s">
        <v>674</v>
      </c>
      <c r="Q490" s="468"/>
      <c r="R490" s="468">
        <v>524</v>
      </c>
      <c r="S490" s="528">
        <v>44295</v>
      </c>
      <c r="T490" s="529" t="s">
        <v>4210</v>
      </c>
      <c r="U490" s="475">
        <f>20800000-20800000</f>
        <v>0</v>
      </c>
      <c r="V490" s="414">
        <v>20800000</v>
      </c>
      <c r="W490" s="679" t="s">
        <v>1509</v>
      </c>
      <c r="AG490" s="474">
        <f t="shared" si="8"/>
        <v>0</v>
      </c>
      <c r="AI490" s="471"/>
      <c r="AJ490" s="471"/>
      <c r="AK490" s="471"/>
      <c r="AL490" s="471"/>
      <c r="AM490" s="212"/>
    </row>
    <row r="491" spans="1:39" hidden="1" x14ac:dyDescent="0.3">
      <c r="A491" s="476" t="s">
        <v>2011</v>
      </c>
      <c r="B491" s="477">
        <v>28800000</v>
      </c>
      <c r="C491" s="212" t="s">
        <v>2646</v>
      </c>
      <c r="D491" s="478">
        <v>486</v>
      </c>
      <c r="E491" s="478">
        <v>20215000019793</v>
      </c>
      <c r="F491" s="479">
        <v>44295</v>
      </c>
      <c r="G491" s="478" t="s">
        <v>2640</v>
      </c>
      <c r="H491" s="212" t="s">
        <v>2641</v>
      </c>
      <c r="I491" s="210" t="s">
        <v>228</v>
      </c>
      <c r="J491" s="475">
        <v>20800000</v>
      </c>
      <c r="K491" s="212" t="s">
        <v>288</v>
      </c>
      <c r="L491" s="212" t="s">
        <v>2736</v>
      </c>
      <c r="M491" s="212" t="s">
        <v>44</v>
      </c>
      <c r="N491" s="212" t="s">
        <v>45</v>
      </c>
      <c r="O491" s="212" t="s">
        <v>63</v>
      </c>
      <c r="P491" s="212" t="s">
        <v>674</v>
      </c>
      <c r="R491" s="212">
        <v>525</v>
      </c>
      <c r="S491" s="490">
        <v>44295</v>
      </c>
      <c r="T491" s="486" t="s">
        <v>4211</v>
      </c>
      <c r="U491" s="475">
        <f>28800000-5550000</f>
        <v>23250000</v>
      </c>
      <c r="V491" s="406">
        <f>5550000</f>
        <v>5550000</v>
      </c>
      <c r="W491" s="362" t="s">
        <v>1509</v>
      </c>
      <c r="X491" s="483" t="s">
        <v>4212</v>
      </c>
      <c r="Y491" s="484">
        <v>44319</v>
      </c>
      <c r="Z491" s="484">
        <v>44319</v>
      </c>
      <c r="AA491" s="484">
        <v>44545</v>
      </c>
      <c r="AB491" s="486" t="s">
        <v>2650</v>
      </c>
      <c r="AC491" s="483" t="s">
        <v>4112</v>
      </c>
      <c r="AD491" s="486" t="s">
        <v>4213</v>
      </c>
      <c r="AE491" s="486" t="s">
        <v>4214</v>
      </c>
      <c r="AF491" s="473">
        <v>23250000</v>
      </c>
      <c r="AG491" s="474">
        <f t="shared" si="8"/>
        <v>0</v>
      </c>
      <c r="AM491" s="306">
        <v>2893333</v>
      </c>
    </row>
    <row r="492" spans="1:39" hidden="1" x14ac:dyDescent="0.3">
      <c r="A492" s="476" t="s">
        <v>2434</v>
      </c>
      <c r="B492" s="477">
        <v>42400000</v>
      </c>
      <c r="C492" s="212" t="s">
        <v>2646</v>
      </c>
      <c r="D492" s="478">
        <v>487</v>
      </c>
      <c r="E492" s="478">
        <v>20215000019803</v>
      </c>
      <c r="F492" s="479">
        <v>44295</v>
      </c>
      <c r="G492" s="478" t="s">
        <v>2640</v>
      </c>
      <c r="H492" s="212" t="s">
        <v>2641</v>
      </c>
      <c r="I492" s="210" t="s">
        <v>228</v>
      </c>
      <c r="J492" s="475">
        <v>42400000</v>
      </c>
      <c r="K492" s="212" t="s">
        <v>223</v>
      </c>
      <c r="L492" s="212" t="s">
        <v>283</v>
      </c>
      <c r="M492" s="212" t="s">
        <v>44</v>
      </c>
      <c r="N492" s="212" t="s">
        <v>45</v>
      </c>
      <c r="O492" s="212" t="s">
        <v>63</v>
      </c>
      <c r="P492" s="212" t="s">
        <v>674</v>
      </c>
      <c r="R492" s="212">
        <v>526</v>
      </c>
      <c r="S492" s="490">
        <v>44295</v>
      </c>
      <c r="T492" s="486" t="s">
        <v>4215</v>
      </c>
      <c r="U492" s="475">
        <f>42400000-12400000</f>
        <v>30000000</v>
      </c>
      <c r="V492" s="406">
        <v>12400000</v>
      </c>
      <c r="W492" s="362" t="s">
        <v>1509</v>
      </c>
      <c r="X492" s="483" t="s">
        <v>4216</v>
      </c>
      <c r="Y492" s="484">
        <v>44320</v>
      </c>
      <c r="Z492" s="484">
        <v>44320</v>
      </c>
      <c r="AA492" s="484">
        <v>44561</v>
      </c>
      <c r="AB492" s="486" t="s">
        <v>2650</v>
      </c>
      <c r="AC492" s="483" t="s">
        <v>3982</v>
      </c>
      <c r="AD492" s="486" t="s">
        <v>4217</v>
      </c>
      <c r="AE492" s="486" t="s">
        <v>4218</v>
      </c>
      <c r="AF492" s="473">
        <v>30000000</v>
      </c>
      <c r="AG492" s="474">
        <f t="shared" si="8"/>
        <v>0</v>
      </c>
      <c r="AM492" s="306">
        <v>3466667</v>
      </c>
    </row>
    <row r="493" spans="1:39" s="312" customFormat="1" hidden="1" x14ac:dyDescent="0.3">
      <c r="A493" s="380" t="s">
        <v>1828</v>
      </c>
      <c r="B493" s="421">
        <v>32000000</v>
      </c>
      <c r="C493" s="312" t="s">
        <v>2762</v>
      </c>
      <c r="D493" s="381">
        <v>488</v>
      </c>
      <c r="E493" s="381">
        <v>20215000019813</v>
      </c>
      <c r="F493" s="382">
        <v>44295</v>
      </c>
      <c r="G493" s="381" t="s">
        <v>2640</v>
      </c>
      <c r="H493" s="364" t="s">
        <v>2641</v>
      </c>
      <c r="I493" s="364" t="s">
        <v>228</v>
      </c>
      <c r="J493" s="408">
        <v>32000000</v>
      </c>
      <c r="K493" s="364" t="s">
        <v>223</v>
      </c>
      <c r="L493" s="364" t="s">
        <v>2758</v>
      </c>
      <c r="M493" s="364" t="s">
        <v>44</v>
      </c>
      <c r="N493" s="364" t="s">
        <v>45</v>
      </c>
      <c r="O493" s="364" t="s">
        <v>63</v>
      </c>
      <c r="P493" s="364" t="s">
        <v>674</v>
      </c>
      <c r="Q493" s="364"/>
      <c r="R493" s="364">
        <v>527</v>
      </c>
      <c r="S493" s="383">
        <v>44295</v>
      </c>
      <c r="T493" s="384" t="s">
        <v>4219</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3">
      <c r="A494" s="476" t="s">
        <v>4220</v>
      </c>
      <c r="B494" s="477">
        <v>39975144</v>
      </c>
      <c r="C494" s="212" t="s">
        <v>2646</v>
      </c>
      <c r="D494" s="478">
        <v>489</v>
      </c>
      <c r="E494" s="309">
        <v>20213000020353</v>
      </c>
      <c r="F494" s="479">
        <v>44298</v>
      </c>
      <c r="G494" s="478" t="s">
        <v>2640</v>
      </c>
      <c r="H494" s="212" t="s">
        <v>2641</v>
      </c>
      <c r="I494" s="212" t="s">
        <v>432</v>
      </c>
      <c r="J494" s="475">
        <v>34800000</v>
      </c>
      <c r="K494" s="212" t="s">
        <v>342</v>
      </c>
      <c r="L494" s="212" t="s">
        <v>351</v>
      </c>
      <c r="M494" s="212" t="s">
        <v>44</v>
      </c>
      <c r="N494" s="212" t="s">
        <v>45</v>
      </c>
      <c r="O494" s="212" t="s">
        <v>63</v>
      </c>
      <c r="P494" s="212" t="s">
        <v>674</v>
      </c>
      <c r="R494" s="212">
        <v>531</v>
      </c>
      <c r="S494" s="490">
        <v>44299</v>
      </c>
      <c r="T494" s="486" t="s">
        <v>4221</v>
      </c>
      <c r="U494" s="475">
        <v>34800000</v>
      </c>
      <c r="V494" s="406"/>
      <c r="W494" s="362"/>
      <c r="X494" s="483" t="s">
        <v>4222</v>
      </c>
      <c r="Y494" s="484">
        <v>44335</v>
      </c>
      <c r="Z494" s="484">
        <v>44335</v>
      </c>
      <c r="AA494" s="484">
        <v>44519</v>
      </c>
      <c r="AB494" s="486" t="s">
        <v>2650</v>
      </c>
      <c r="AC494" s="483" t="s">
        <v>3524</v>
      </c>
      <c r="AD494" s="486" t="s">
        <v>4223</v>
      </c>
      <c r="AE494" s="486" t="s">
        <v>4224</v>
      </c>
      <c r="AF494" s="473">
        <v>34800000</v>
      </c>
      <c r="AG494" s="474">
        <f t="shared" si="8"/>
        <v>0</v>
      </c>
      <c r="AJ494" s="481"/>
      <c r="AM494" s="306">
        <v>2320000</v>
      </c>
    </row>
    <row r="495" spans="1:39" hidden="1" x14ac:dyDescent="0.3">
      <c r="A495" s="466" t="s">
        <v>2523</v>
      </c>
      <c r="B495" s="467">
        <v>61600000</v>
      </c>
      <c r="C495" s="212" t="s">
        <v>2646</v>
      </c>
      <c r="D495" s="469">
        <v>490</v>
      </c>
      <c r="E495" s="469">
        <v>20213000020363</v>
      </c>
      <c r="F495" s="470">
        <v>44298</v>
      </c>
      <c r="G495" s="469" t="s">
        <v>2640</v>
      </c>
      <c r="H495" s="468" t="s">
        <v>2641</v>
      </c>
      <c r="I495" s="468" t="s">
        <v>432</v>
      </c>
      <c r="J495" s="471">
        <v>46200000</v>
      </c>
      <c r="K495" s="468" t="s">
        <v>342</v>
      </c>
      <c r="L495" s="468" t="s">
        <v>351</v>
      </c>
      <c r="M495" s="468" t="s">
        <v>44</v>
      </c>
      <c r="N495" s="468" t="s">
        <v>45</v>
      </c>
      <c r="O495" s="468" t="s">
        <v>63</v>
      </c>
      <c r="P495" s="212" t="s">
        <v>674</v>
      </c>
      <c r="Q495" s="468"/>
      <c r="R495" s="468">
        <v>532</v>
      </c>
      <c r="S495" s="528">
        <v>44299</v>
      </c>
      <c r="T495" s="529" t="s">
        <v>4225</v>
      </c>
      <c r="U495" s="471">
        <v>46200000</v>
      </c>
      <c r="V495" s="414"/>
      <c r="W495" s="379"/>
      <c r="X495" s="483" t="s">
        <v>4226</v>
      </c>
      <c r="Y495" s="484">
        <v>44308</v>
      </c>
      <c r="Z495" s="484">
        <v>44308</v>
      </c>
      <c r="AA495" s="484">
        <v>44490</v>
      </c>
      <c r="AB495" s="485" t="s">
        <v>2650</v>
      </c>
      <c r="AC495" s="483" t="s">
        <v>3579</v>
      </c>
      <c r="AD495" s="485" t="s">
        <v>4227</v>
      </c>
      <c r="AE495" s="486" t="s">
        <v>4228</v>
      </c>
      <c r="AF495" s="473">
        <v>46200000</v>
      </c>
      <c r="AG495" s="474">
        <f t="shared" si="8"/>
        <v>0</v>
      </c>
      <c r="AI495" s="471"/>
      <c r="AJ495" s="471"/>
      <c r="AK495" s="471"/>
      <c r="AL495" s="471">
        <v>2310000</v>
      </c>
      <c r="AM495" s="306">
        <v>7700000</v>
      </c>
    </row>
    <row r="496" spans="1:39" hidden="1" x14ac:dyDescent="0.3">
      <c r="A496" s="476" t="s">
        <v>1840</v>
      </c>
      <c r="B496" s="477">
        <v>20800000</v>
      </c>
      <c r="C496" s="212" t="s">
        <v>2646</v>
      </c>
      <c r="D496" s="478">
        <v>491</v>
      </c>
      <c r="E496" s="478">
        <v>20215000019783</v>
      </c>
      <c r="F496" s="479">
        <v>44298</v>
      </c>
      <c r="G496" s="478" t="s">
        <v>2640</v>
      </c>
      <c r="H496" s="212" t="s">
        <v>2641</v>
      </c>
      <c r="I496" s="210" t="s">
        <v>228</v>
      </c>
      <c r="J496" s="475">
        <v>20800000</v>
      </c>
      <c r="K496" s="212" t="s">
        <v>288</v>
      </c>
      <c r="L496" s="212" t="s">
        <v>2736</v>
      </c>
      <c r="M496" s="212" t="s">
        <v>44</v>
      </c>
      <c r="N496" s="212" t="s">
        <v>45</v>
      </c>
      <c r="O496" s="212" t="s">
        <v>63</v>
      </c>
      <c r="P496" s="212" t="s">
        <v>674</v>
      </c>
      <c r="R496" s="212">
        <v>529</v>
      </c>
      <c r="S496" s="490">
        <v>44299</v>
      </c>
      <c r="T496" s="486" t="s">
        <v>4229</v>
      </c>
      <c r="U496" s="475">
        <f>20800000-7200000</f>
        <v>13600000</v>
      </c>
      <c r="V496" s="406">
        <v>7200000</v>
      </c>
      <c r="W496" s="362"/>
      <c r="X496" s="483" t="s">
        <v>4230</v>
      </c>
      <c r="Y496" s="484">
        <v>44306</v>
      </c>
      <c r="Z496" s="484">
        <v>44306</v>
      </c>
      <c r="AA496" s="484">
        <v>44550</v>
      </c>
      <c r="AB496" s="485" t="s">
        <v>2650</v>
      </c>
      <c r="AC496" s="483" t="s">
        <v>3871</v>
      </c>
      <c r="AD496" s="485" t="s">
        <v>4231</v>
      </c>
      <c r="AE496" s="486" t="s">
        <v>4232</v>
      </c>
      <c r="AF496" s="473">
        <v>13600000</v>
      </c>
      <c r="AG496" s="474">
        <f t="shared" si="8"/>
        <v>0</v>
      </c>
      <c r="AL496" s="475">
        <v>623333</v>
      </c>
      <c r="AM496" s="212"/>
    </row>
    <row r="497" spans="1:39" s="312" customFormat="1" hidden="1" x14ac:dyDescent="0.3">
      <c r="A497" s="361" t="s">
        <v>2125</v>
      </c>
      <c r="B497" s="417">
        <v>900000000</v>
      </c>
      <c r="C497" s="312" t="s">
        <v>4233</v>
      </c>
      <c r="D497" s="325">
        <v>492</v>
      </c>
      <c r="E497" s="325">
        <v>20215000020523</v>
      </c>
      <c r="F497" s="315">
        <v>44298</v>
      </c>
      <c r="G497" s="325" t="s">
        <v>2640</v>
      </c>
      <c r="H497" s="312" t="s">
        <v>2641</v>
      </c>
      <c r="I497" s="312" t="s">
        <v>228</v>
      </c>
      <c r="J497" s="405">
        <v>900000000</v>
      </c>
      <c r="K497" s="312" t="s">
        <v>223</v>
      </c>
      <c r="L497" s="312" t="s">
        <v>257</v>
      </c>
      <c r="M497" s="312" t="s">
        <v>44</v>
      </c>
      <c r="N497" s="312" t="s">
        <v>45</v>
      </c>
      <c r="O497" s="312" t="s">
        <v>46</v>
      </c>
      <c r="P497" s="312" t="s">
        <v>674</v>
      </c>
      <c r="R497" s="312">
        <v>534</v>
      </c>
      <c r="S497" s="363">
        <v>44299</v>
      </c>
      <c r="T497" s="360" t="s">
        <v>4234</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3">
      <c r="A498" s="476" t="s">
        <v>2129</v>
      </c>
      <c r="B498" s="477">
        <v>28800000</v>
      </c>
      <c r="C498" s="212" t="s">
        <v>2646</v>
      </c>
      <c r="D498" s="478">
        <v>493</v>
      </c>
      <c r="E498" s="478">
        <v>20215000020513</v>
      </c>
      <c r="F498" s="479">
        <v>44298</v>
      </c>
      <c r="G498" s="478" t="s">
        <v>2640</v>
      </c>
      <c r="H498" s="212" t="s">
        <v>2641</v>
      </c>
      <c r="I498" s="210" t="s">
        <v>228</v>
      </c>
      <c r="J498" s="475">
        <v>28800000</v>
      </c>
      <c r="K498" s="212" t="s">
        <v>288</v>
      </c>
      <c r="L498" s="212" t="s">
        <v>2736</v>
      </c>
      <c r="M498" s="212" t="s">
        <v>44</v>
      </c>
      <c r="N498" s="212" t="s">
        <v>45</v>
      </c>
      <c r="O498" s="212" t="s">
        <v>63</v>
      </c>
      <c r="P498" s="212" t="s">
        <v>674</v>
      </c>
      <c r="R498" s="212">
        <v>533</v>
      </c>
      <c r="S498" s="490">
        <v>44299</v>
      </c>
      <c r="T498" s="486" t="s">
        <v>4235</v>
      </c>
      <c r="U498" s="475">
        <f>28800000-1800000</f>
        <v>27000000</v>
      </c>
      <c r="V498" s="406">
        <v>1800000</v>
      </c>
      <c r="W498" s="362" t="s">
        <v>1509</v>
      </c>
      <c r="X498" s="483" t="s">
        <v>4236</v>
      </c>
      <c r="Y498" s="484">
        <v>44322</v>
      </c>
      <c r="Z498" s="484">
        <v>44322</v>
      </c>
      <c r="AA498" s="484">
        <v>44561</v>
      </c>
      <c r="AB498" s="486" t="s">
        <v>2650</v>
      </c>
      <c r="AC498" s="483" t="s">
        <v>3547</v>
      </c>
      <c r="AD498" s="486" t="s">
        <v>4237</v>
      </c>
      <c r="AE498" s="486" t="s">
        <v>4238</v>
      </c>
      <c r="AF498" s="473">
        <v>27000000</v>
      </c>
      <c r="AG498" s="474">
        <f t="shared" si="8"/>
        <v>0</v>
      </c>
      <c r="AM498" s="306">
        <v>3000000</v>
      </c>
    </row>
    <row r="499" spans="1:39" hidden="1" x14ac:dyDescent="0.3">
      <c r="A499" s="466" t="s">
        <v>2199</v>
      </c>
      <c r="B499" s="467">
        <v>40000000</v>
      </c>
      <c r="C499" s="212" t="s">
        <v>2646</v>
      </c>
      <c r="D499" s="469">
        <v>494</v>
      </c>
      <c r="E499" s="469">
        <v>20211200020213</v>
      </c>
      <c r="F499" s="470">
        <v>44298</v>
      </c>
      <c r="G499" s="378" t="s">
        <v>2647</v>
      </c>
      <c r="H499" s="377" t="s">
        <v>2648</v>
      </c>
      <c r="I499" s="468" t="s">
        <v>143</v>
      </c>
      <c r="J499" s="424">
        <v>27500000</v>
      </c>
      <c r="K499" s="377" t="s">
        <v>138</v>
      </c>
      <c r="L499" s="377" t="s">
        <v>139</v>
      </c>
      <c r="M499" s="468" t="s">
        <v>44</v>
      </c>
      <c r="N499" s="468" t="s">
        <v>45</v>
      </c>
      <c r="O499" s="529" t="s">
        <v>46</v>
      </c>
      <c r="P499" s="468" t="s">
        <v>43</v>
      </c>
      <c r="Q499" s="468"/>
      <c r="R499" s="468">
        <v>530</v>
      </c>
      <c r="S499" s="528">
        <v>44299</v>
      </c>
      <c r="T499" s="529" t="s">
        <v>4239</v>
      </c>
      <c r="U499" s="471">
        <v>27500000</v>
      </c>
      <c r="V499" s="414"/>
      <c r="W499" s="379"/>
      <c r="X499" s="483" t="s">
        <v>4240</v>
      </c>
      <c r="Y499" s="484">
        <v>44306</v>
      </c>
      <c r="Z499" s="484">
        <v>44306</v>
      </c>
      <c r="AA499" s="484">
        <v>44458</v>
      </c>
      <c r="AB499" s="485" t="s">
        <v>2650</v>
      </c>
      <c r="AC499" s="483" t="s">
        <v>3345</v>
      </c>
      <c r="AD499" s="485" t="s">
        <v>4241</v>
      </c>
      <c r="AE499" s="486" t="s">
        <v>2689</v>
      </c>
      <c r="AF499" s="473">
        <v>27500000</v>
      </c>
      <c r="AG499" s="474">
        <f t="shared" si="8"/>
        <v>0</v>
      </c>
      <c r="AI499" s="471"/>
      <c r="AJ499" s="471"/>
      <c r="AK499" s="471"/>
      <c r="AL499" s="471">
        <v>2016667</v>
      </c>
      <c r="AM499" s="306">
        <v>5500000</v>
      </c>
    </row>
    <row r="500" spans="1:39" hidden="1" x14ac:dyDescent="0.3">
      <c r="A500" s="476" t="s">
        <v>2130</v>
      </c>
      <c r="B500" s="477">
        <v>20000000</v>
      </c>
      <c r="C500" s="212" t="s">
        <v>2646</v>
      </c>
      <c r="D500" s="478">
        <v>495</v>
      </c>
      <c r="E500" s="478">
        <v>20215000020583</v>
      </c>
      <c r="F500" s="479">
        <v>44298</v>
      </c>
      <c r="G500" s="478" t="s">
        <v>2640</v>
      </c>
      <c r="H500" s="212" t="s">
        <v>2641</v>
      </c>
      <c r="I500" s="210" t="s">
        <v>228</v>
      </c>
      <c r="J500" s="475">
        <v>20000000</v>
      </c>
      <c r="K500" s="212" t="s">
        <v>288</v>
      </c>
      <c r="L500" s="212" t="s">
        <v>2736</v>
      </c>
      <c r="M500" s="212" t="s">
        <v>44</v>
      </c>
      <c r="N500" s="212" t="s">
        <v>45</v>
      </c>
      <c r="O500" s="212" t="s">
        <v>63</v>
      </c>
      <c r="P500" s="212" t="s">
        <v>674</v>
      </c>
      <c r="R500" s="212">
        <v>535</v>
      </c>
      <c r="S500" s="490">
        <v>44299</v>
      </c>
      <c r="T500" s="486" t="s">
        <v>4242</v>
      </c>
      <c r="U500" s="475">
        <f>20000000-20000</f>
        <v>19980000</v>
      </c>
      <c r="V500" s="406">
        <v>20000</v>
      </c>
      <c r="W500" s="362"/>
      <c r="X500" s="483" t="s">
        <v>4243</v>
      </c>
      <c r="Y500" s="484">
        <v>44306</v>
      </c>
      <c r="Z500" s="484">
        <v>44306</v>
      </c>
      <c r="AA500" s="484">
        <v>44545</v>
      </c>
      <c r="AB500" s="485" t="s">
        <v>2650</v>
      </c>
      <c r="AC500" s="483" t="s">
        <v>3842</v>
      </c>
      <c r="AD500" s="485" t="s">
        <v>4244</v>
      </c>
      <c r="AE500" s="486" t="s">
        <v>4245</v>
      </c>
      <c r="AF500" s="473">
        <v>19980000</v>
      </c>
      <c r="AG500" s="474">
        <f t="shared" si="8"/>
        <v>0</v>
      </c>
      <c r="AL500" s="475">
        <v>990000</v>
      </c>
      <c r="AM500" s="306">
        <v>2700000</v>
      </c>
    </row>
    <row r="501" spans="1:39" hidden="1" x14ac:dyDescent="0.3">
      <c r="A501" s="476" t="s">
        <v>2342</v>
      </c>
      <c r="B501" s="477">
        <v>81000000</v>
      </c>
      <c r="C501" s="212" t="s">
        <v>2646</v>
      </c>
      <c r="D501" s="478">
        <v>496</v>
      </c>
      <c r="E501" s="478">
        <v>20216000020743</v>
      </c>
      <c r="F501" s="479">
        <v>44299</v>
      </c>
      <c r="G501" s="478" t="s">
        <v>2647</v>
      </c>
      <c r="H501" s="212" t="s">
        <v>2648</v>
      </c>
      <c r="I501" s="212" t="s">
        <v>214</v>
      </c>
      <c r="J501" s="475">
        <v>81000000</v>
      </c>
      <c r="K501" s="212" t="s">
        <v>138</v>
      </c>
      <c r="L501" s="212" t="s">
        <v>139</v>
      </c>
      <c r="M501" s="212" t="s">
        <v>44</v>
      </c>
      <c r="N501" s="212" t="s">
        <v>45</v>
      </c>
      <c r="O501" s="212" t="s">
        <v>142</v>
      </c>
      <c r="P501" s="212" t="s">
        <v>43</v>
      </c>
      <c r="R501" s="212">
        <v>538</v>
      </c>
      <c r="S501" s="490">
        <v>44299</v>
      </c>
      <c r="T501" s="486" t="s">
        <v>4246</v>
      </c>
      <c r="U501" s="475">
        <v>81000000</v>
      </c>
      <c r="V501" s="406"/>
      <c r="W501" s="362"/>
      <c r="X501" s="483" t="s">
        <v>4247</v>
      </c>
      <c r="Y501" s="484">
        <v>44307</v>
      </c>
      <c r="Z501" s="484">
        <v>44307</v>
      </c>
      <c r="AA501" s="484">
        <v>44550</v>
      </c>
      <c r="AB501" s="485" t="s">
        <v>2650</v>
      </c>
      <c r="AC501" s="483" t="s">
        <v>3215</v>
      </c>
      <c r="AD501" s="485" t="s">
        <v>4248</v>
      </c>
      <c r="AE501" s="486" t="s">
        <v>4249</v>
      </c>
      <c r="AF501" s="473">
        <v>72000000</v>
      </c>
      <c r="AG501" s="474">
        <f t="shared" si="8"/>
        <v>9000000</v>
      </c>
      <c r="AL501" s="475">
        <v>3000000</v>
      </c>
      <c r="AM501" s="306">
        <v>9000000</v>
      </c>
    </row>
    <row r="502" spans="1:39" hidden="1" x14ac:dyDescent="0.3">
      <c r="A502" s="476" t="s">
        <v>2577</v>
      </c>
      <c r="B502" s="477">
        <v>35550000</v>
      </c>
      <c r="C502" s="212" t="s">
        <v>2646</v>
      </c>
      <c r="D502" s="478">
        <v>497</v>
      </c>
      <c r="E502" s="478">
        <v>20214000020873</v>
      </c>
      <c r="F502" s="479">
        <v>44299</v>
      </c>
      <c r="G502" s="478" t="s">
        <v>2680</v>
      </c>
      <c r="H502" s="212" t="s">
        <v>2681</v>
      </c>
      <c r="I502" s="212" t="s">
        <v>47</v>
      </c>
      <c r="J502" s="475">
        <v>23700000</v>
      </c>
      <c r="K502" s="212" t="s">
        <v>37</v>
      </c>
      <c r="L502" s="212" t="s">
        <v>2682</v>
      </c>
      <c r="M502" s="212" t="s">
        <v>44</v>
      </c>
      <c r="N502" s="212" t="s">
        <v>45</v>
      </c>
      <c r="O502" s="212" t="s">
        <v>310</v>
      </c>
      <c r="P502" s="212" t="s">
        <v>43</v>
      </c>
      <c r="R502" s="212">
        <v>539</v>
      </c>
      <c r="S502" s="490">
        <v>44299</v>
      </c>
      <c r="T502" s="486" t="s">
        <v>4250</v>
      </c>
      <c r="U502" s="475">
        <v>23700000</v>
      </c>
      <c r="V502" s="406"/>
      <c r="W502" s="362"/>
      <c r="X502" s="483" t="s">
        <v>4251</v>
      </c>
      <c r="Y502" s="484">
        <v>44315</v>
      </c>
      <c r="Z502" s="484">
        <v>44315</v>
      </c>
      <c r="AA502" s="484">
        <v>44497</v>
      </c>
      <c r="AB502" s="485" t="s">
        <v>2650</v>
      </c>
      <c r="AC502" s="483" t="s">
        <v>3280</v>
      </c>
      <c r="AD502" s="485" t="s">
        <v>4252</v>
      </c>
      <c r="AE502" s="486" t="s">
        <v>4253</v>
      </c>
      <c r="AF502" s="473">
        <v>23700000</v>
      </c>
      <c r="AG502" s="474">
        <f t="shared" si="8"/>
        <v>0</v>
      </c>
      <c r="AM502" s="306">
        <v>4213333</v>
      </c>
    </row>
    <row r="503" spans="1:39" hidden="1" x14ac:dyDescent="0.3">
      <c r="A503" s="476" t="s">
        <v>2123</v>
      </c>
      <c r="B503" s="477">
        <v>38250000</v>
      </c>
      <c r="C503" s="212" t="s">
        <v>2646</v>
      </c>
      <c r="D503" s="478">
        <v>498</v>
      </c>
      <c r="E503" s="478">
        <v>20212000020623</v>
      </c>
      <c r="F503" s="479">
        <v>44299</v>
      </c>
      <c r="G503" s="478" t="s">
        <v>2640</v>
      </c>
      <c r="H503" s="212" t="s">
        <v>2641</v>
      </c>
      <c r="I503" s="212" t="s">
        <v>391</v>
      </c>
      <c r="J503" s="475">
        <v>36000000</v>
      </c>
      <c r="K503" s="210" t="s">
        <v>2711</v>
      </c>
      <c r="L503" s="212" t="s">
        <v>2712</v>
      </c>
      <c r="M503" s="210" t="s">
        <v>44</v>
      </c>
      <c r="N503" s="210" t="s">
        <v>45</v>
      </c>
      <c r="O503" s="212" t="s">
        <v>63</v>
      </c>
      <c r="P503" s="212" t="s">
        <v>674</v>
      </c>
      <c r="R503" s="212">
        <v>536</v>
      </c>
      <c r="S503" s="490">
        <v>44299</v>
      </c>
      <c r="T503" s="486" t="s">
        <v>4254</v>
      </c>
      <c r="U503" s="475">
        <v>36000000</v>
      </c>
      <c r="V503" s="406"/>
      <c r="W503" s="362"/>
      <c r="X503" s="483" t="s">
        <v>4255</v>
      </c>
      <c r="Y503" s="484">
        <v>44320</v>
      </c>
      <c r="Z503" s="484">
        <v>44320</v>
      </c>
      <c r="AA503" s="484">
        <v>44561</v>
      </c>
      <c r="AB503" s="486" t="s">
        <v>2650</v>
      </c>
      <c r="AC503" s="483" t="s">
        <v>3445</v>
      </c>
      <c r="AD503" s="486" t="s">
        <v>4256</v>
      </c>
      <c r="AE503" s="486" t="s">
        <v>4257</v>
      </c>
      <c r="AF503" s="473">
        <v>36000000</v>
      </c>
      <c r="AG503" s="474">
        <f t="shared" si="8"/>
        <v>0</v>
      </c>
      <c r="AM503" s="306">
        <v>3900000</v>
      </c>
    </row>
    <row r="504" spans="1:39" hidden="1" x14ac:dyDescent="0.3">
      <c r="A504" s="466" t="s">
        <v>1740</v>
      </c>
      <c r="B504" s="467">
        <v>23162500</v>
      </c>
      <c r="C504" s="212" t="s">
        <v>2646</v>
      </c>
      <c r="D504" s="469">
        <v>499</v>
      </c>
      <c r="E504" s="469">
        <v>20212000020753</v>
      </c>
      <c r="F504" s="470">
        <v>44299</v>
      </c>
      <c r="G504" s="469" t="s">
        <v>2640</v>
      </c>
      <c r="H504" s="468" t="s">
        <v>2641</v>
      </c>
      <c r="I504" s="468" t="s">
        <v>391</v>
      </c>
      <c r="J504" s="471">
        <v>21800000</v>
      </c>
      <c r="K504" s="377" t="s">
        <v>2711</v>
      </c>
      <c r="L504" s="468" t="s">
        <v>2712</v>
      </c>
      <c r="M504" s="377" t="s">
        <v>44</v>
      </c>
      <c r="N504" s="377" t="s">
        <v>45</v>
      </c>
      <c r="O504" s="468" t="s">
        <v>63</v>
      </c>
      <c r="P504" s="212" t="s">
        <v>674</v>
      </c>
      <c r="Q504" s="468"/>
      <c r="R504" s="468">
        <v>537</v>
      </c>
      <c r="S504" s="528">
        <v>44299</v>
      </c>
      <c r="T504" s="529" t="s">
        <v>4258</v>
      </c>
      <c r="U504" s="471">
        <v>21800000</v>
      </c>
      <c r="V504" s="414"/>
      <c r="W504" s="379"/>
      <c r="X504" s="483" t="s">
        <v>4259</v>
      </c>
      <c r="Y504" s="484">
        <v>44308</v>
      </c>
      <c r="Z504" s="484">
        <v>44308</v>
      </c>
      <c r="AA504" s="484">
        <v>44551</v>
      </c>
      <c r="AB504" s="485" t="s">
        <v>2650</v>
      </c>
      <c r="AC504" s="483" t="s">
        <v>4260</v>
      </c>
      <c r="AD504" s="485" t="s">
        <v>4261</v>
      </c>
      <c r="AE504" s="486" t="s">
        <v>4262</v>
      </c>
      <c r="AF504" s="473">
        <v>21800000</v>
      </c>
      <c r="AG504" s="474">
        <f t="shared" si="8"/>
        <v>0</v>
      </c>
      <c r="AI504" s="471"/>
      <c r="AJ504" s="471"/>
      <c r="AK504" s="471"/>
      <c r="AL504" s="471">
        <v>817500</v>
      </c>
      <c r="AM504" s="306">
        <v>2725000</v>
      </c>
    </row>
    <row r="505" spans="1:39" hidden="1" x14ac:dyDescent="0.3">
      <c r="A505" s="476" t="s">
        <v>2397</v>
      </c>
      <c r="B505" s="477">
        <v>29700000</v>
      </c>
      <c r="C505" s="212" t="s">
        <v>2646</v>
      </c>
      <c r="D505" s="478">
        <v>500</v>
      </c>
      <c r="E505" s="478">
        <v>20216000020943</v>
      </c>
      <c r="F505" s="479">
        <v>44299</v>
      </c>
      <c r="G505" s="478" t="s">
        <v>2647</v>
      </c>
      <c r="H505" s="212" t="s">
        <v>2648</v>
      </c>
      <c r="I505" s="212" t="s">
        <v>214</v>
      </c>
      <c r="J505" s="475">
        <v>24300000</v>
      </c>
      <c r="K505" s="212" t="s">
        <v>138</v>
      </c>
      <c r="L505" s="212" t="s">
        <v>139</v>
      </c>
      <c r="M505" s="212" t="s">
        <v>44</v>
      </c>
      <c r="N505" s="212" t="s">
        <v>45</v>
      </c>
      <c r="O505" s="212" t="s">
        <v>142</v>
      </c>
      <c r="P505" s="212" t="s">
        <v>43</v>
      </c>
      <c r="R505" s="212">
        <v>540</v>
      </c>
      <c r="S505" s="490">
        <v>44299</v>
      </c>
      <c r="T505" s="486" t="s">
        <v>4263</v>
      </c>
      <c r="U505" s="475">
        <v>24300000</v>
      </c>
      <c r="V505" s="406"/>
      <c r="W505" s="362"/>
      <c r="X505" s="483" t="s">
        <v>4264</v>
      </c>
      <c r="Y505" s="484">
        <v>44302</v>
      </c>
      <c r="Z505" s="484">
        <v>44302</v>
      </c>
      <c r="AA505" s="484">
        <v>44546</v>
      </c>
      <c r="AB505" s="485" t="s">
        <v>2650</v>
      </c>
      <c r="AC505" s="483" t="s">
        <v>4265</v>
      </c>
      <c r="AD505" s="485" t="s">
        <v>4266</v>
      </c>
      <c r="AE505" s="486" t="s">
        <v>4267</v>
      </c>
      <c r="AF505" s="473">
        <v>21600000</v>
      </c>
      <c r="AG505" s="474">
        <f t="shared" si="8"/>
        <v>2700000</v>
      </c>
      <c r="AL505" s="475">
        <v>1080000</v>
      </c>
      <c r="AM505" s="306">
        <v>2700000</v>
      </c>
    </row>
    <row r="506" spans="1:39" hidden="1" x14ac:dyDescent="0.3">
      <c r="A506" s="476" t="s">
        <v>2377</v>
      </c>
      <c r="B506" s="477">
        <v>36784368</v>
      </c>
      <c r="C506" s="212" t="s">
        <v>2646</v>
      </c>
      <c r="D506" s="478">
        <v>501</v>
      </c>
      <c r="E506" s="478">
        <v>20217000021143</v>
      </c>
      <c r="F506" s="479">
        <v>44300</v>
      </c>
      <c r="G506" s="478" t="s">
        <v>2647</v>
      </c>
      <c r="H506" s="212" t="s">
        <v>2648</v>
      </c>
      <c r="I506" s="212" t="s">
        <v>164</v>
      </c>
      <c r="J506" s="475">
        <v>24530202</v>
      </c>
      <c r="K506" s="212" t="s">
        <v>138</v>
      </c>
      <c r="L506" s="212" t="s">
        <v>139</v>
      </c>
      <c r="M506" s="212" t="s">
        <v>44</v>
      </c>
      <c r="N506" s="212" t="s">
        <v>45</v>
      </c>
      <c r="O506" s="212" t="s">
        <v>142</v>
      </c>
      <c r="P506" s="212" t="s">
        <v>43</v>
      </c>
      <c r="R506" s="212">
        <v>544</v>
      </c>
      <c r="S506" s="490">
        <v>44301</v>
      </c>
      <c r="T506" s="486" t="s">
        <v>4268</v>
      </c>
      <c r="U506" s="475">
        <v>24530202</v>
      </c>
      <c r="V506" s="406"/>
      <c r="W506" s="362"/>
      <c r="X506" s="483" t="s">
        <v>4269</v>
      </c>
      <c r="Y506" s="484">
        <v>44314</v>
      </c>
      <c r="Z506" s="484">
        <v>44314</v>
      </c>
      <c r="AA506" s="484">
        <v>44496</v>
      </c>
      <c r="AB506" s="485" t="s">
        <v>2650</v>
      </c>
      <c r="AC506" s="483" t="s">
        <v>4016</v>
      </c>
      <c r="AD506" s="485" t="s">
        <v>4270</v>
      </c>
      <c r="AE506" s="486" t="s">
        <v>2807</v>
      </c>
      <c r="AF506" s="473">
        <v>24530202</v>
      </c>
      <c r="AG506" s="474">
        <f t="shared" si="8"/>
        <v>0</v>
      </c>
      <c r="AM506" s="212"/>
    </row>
    <row r="507" spans="1:39" hidden="1" x14ac:dyDescent="0.3">
      <c r="A507" s="476" t="s">
        <v>1973</v>
      </c>
      <c r="B507" s="477">
        <v>40883670</v>
      </c>
      <c r="C507" s="212" t="s">
        <v>2646</v>
      </c>
      <c r="D507" s="478">
        <v>502</v>
      </c>
      <c r="E507" s="478">
        <v>20217000021073</v>
      </c>
      <c r="F507" s="479">
        <v>44300</v>
      </c>
      <c r="G507" s="478" t="s">
        <v>2647</v>
      </c>
      <c r="H507" s="212" t="s">
        <v>2648</v>
      </c>
      <c r="I507" s="212" t="s">
        <v>164</v>
      </c>
      <c r="J507" s="475">
        <v>16353468</v>
      </c>
      <c r="K507" s="212" t="s">
        <v>138</v>
      </c>
      <c r="L507" s="212" t="s">
        <v>139</v>
      </c>
      <c r="M507" s="212" t="s">
        <v>44</v>
      </c>
      <c r="N507" s="212" t="s">
        <v>45</v>
      </c>
      <c r="O507" s="212" t="s">
        <v>142</v>
      </c>
      <c r="P507" s="212" t="s">
        <v>43</v>
      </c>
      <c r="R507" s="212">
        <v>543</v>
      </c>
      <c r="S507" s="490">
        <v>44301</v>
      </c>
      <c r="T507" s="486" t="s">
        <v>4271</v>
      </c>
      <c r="U507" s="475">
        <v>16353468</v>
      </c>
      <c r="V507" s="406"/>
      <c r="W507" s="362"/>
      <c r="X507" s="483" t="s">
        <v>4272</v>
      </c>
      <c r="Y507" s="484">
        <v>44315</v>
      </c>
      <c r="Z507" s="484">
        <v>44315</v>
      </c>
      <c r="AA507" s="484">
        <v>44436</v>
      </c>
      <c r="AB507" s="485" t="s">
        <v>2650</v>
      </c>
      <c r="AC507" s="483" t="s">
        <v>3696</v>
      </c>
      <c r="AD507" s="485" t="s">
        <v>4273</v>
      </c>
      <c r="AE507" s="486" t="s">
        <v>3275</v>
      </c>
      <c r="AF507" s="473">
        <v>16353468</v>
      </c>
      <c r="AG507" s="474">
        <f t="shared" si="8"/>
        <v>0</v>
      </c>
      <c r="AM507" s="306">
        <v>4360925</v>
      </c>
    </row>
    <row r="508" spans="1:39" s="312" customFormat="1" hidden="1" x14ac:dyDescent="0.3">
      <c r="A508" s="361" t="s">
        <v>1972</v>
      </c>
      <c r="B508" s="417">
        <v>63000000</v>
      </c>
      <c r="C508" s="312" t="s">
        <v>2762</v>
      </c>
      <c r="D508" s="325">
        <v>503</v>
      </c>
      <c r="E508" s="325">
        <v>20217000021483</v>
      </c>
      <c r="F508" s="315">
        <v>44301</v>
      </c>
      <c r="G508" s="325" t="s">
        <v>2647</v>
      </c>
      <c r="H508" s="312" t="s">
        <v>2648</v>
      </c>
      <c r="I508" s="312" t="s">
        <v>164</v>
      </c>
      <c r="J508" s="405">
        <v>49100000</v>
      </c>
      <c r="K508" s="312" t="s">
        <v>138</v>
      </c>
      <c r="L508" s="312" t="s">
        <v>139</v>
      </c>
      <c r="M508" s="312" t="s">
        <v>44</v>
      </c>
      <c r="N508" s="312" t="s">
        <v>45</v>
      </c>
      <c r="O508" s="312" t="s">
        <v>142</v>
      </c>
      <c r="P508" s="312" t="s">
        <v>43</v>
      </c>
      <c r="R508" s="312">
        <v>549</v>
      </c>
      <c r="S508" s="363">
        <v>44302</v>
      </c>
      <c r="T508" s="360" t="s">
        <v>4274</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3">
      <c r="A509" s="476" t="s">
        <v>1921</v>
      </c>
      <c r="B509" s="477">
        <v>34967856</v>
      </c>
      <c r="C509" s="212" t="s">
        <v>2646</v>
      </c>
      <c r="D509" s="478">
        <v>504</v>
      </c>
      <c r="E509" s="478">
        <v>20217000021493</v>
      </c>
      <c r="F509" s="479">
        <v>44301</v>
      </c>
      <c r="G509" s="478" t="s">
        <v>2647</v>
      </c>
      <c r="H509" s="212" t="s">
        <v>2648</v>
      </c>
      <c r="I509" s="212" t="s">
        <v>164</v>
      </c>
      <c r="J509" s="475">
        <v>13000000</v>
      </c>
      <c r="K509" s="212" t="s">
        <v>138</v>
      </c>
      <c r="L509" s="212" t="s">
        <v>139</v>
      </c>
      <c r="M509" s="212" t="s">
        <v>44</v>
      </c>
      <c r="N509" s="212" t="s">
        <v>45</v>
      </c>
      <c r="O509" s="212" t="s">
        <v>142</v>
      </c>
      <c r="P509" s="212" t="s">
        <v>43</v>
      </c>
      <c r="R509" s="212">
        <v>550</v>
      </c>
      <c r="S509" s="490">
        <v>44302</v>
      </c>
      <c r="T509" s="486" t="s">
        <v>4275</v>
      </c>
      <c r="U509" s="475">
        <v>13000000</v>
      </c>
      <c r="V509" s="406"/>
      <c r="W509" s="362"/>
      <c r="X509" s="483" t="s">
        <v>4276</v>
      </c>
      <c r="Y509" s="484">
        <v>44312</v>
      </c>
      <c r="Z509" s="484">
        <v>44312</v>
      </c>
      <c r="AA509" s="484">
        <v>44434</v>
      </c>
      <c r="AB509" s="485" t="s">
        <v>2650</v>
      </c>
      <c r="AC509" s="483" t="s">
        <v>3848</v>
      </c>
      <c r="AD509" s="485" t="s">
        <v>4277</v>
      </c>
      <c r="AE509" s="486" t="s">
        <v>4278</v>
      </c>
      <c r="AF509" s="473">
        <v>12719364</v>
      </c>
      <c r="AG509" s="474">
        <f t="shared" si="8"/>
        <v>280636</v>
      </c>
      <c r="AM509" s="306">
        <v>3709815</v>
      </c>
    </row>
    <row r="510" spans="1:39" hidden="1" x14ac:dyDescent="0.3">
      <c r="A510" s="476" t="s">
        <v>2461</v>
      </c>
      <c r="B510" s="477">
        <v>45000000</v>
      </c>
      <c r="C510" s="212" t="s">
        <v>2646</v>
      </c>
      <c r="D510" s="478">
        <v>505</v>
      </c>
      <c r="E510" s="478">
        <v>20213000021253</v>
      </c>
      <c r="F510" s="479">
        <v>44301</v>
      </c>
      <c r="G510" s="478" t="s">
        <v>2640</v>
      </c>
      <c r="H510" s="212" t="s">
        <v>2641</v>
      </c>
      <c r="I510" s="212" t="s">
        <v>432</v>
      </c>
      <c r="J510" s="475">
        <v>29981358</v>
      </c>
      <c r="K510" s="212" t="s">
        <v>342</v>
      </c>
      <c r="L510" s="212" t="s">
        <v>351</v>
      </c>
      <c r="M510" s="212" t="s">
        <v>44</v>
      </c>
      <c r="N510" s="212" t="s">
        <v>45</v>
      </c>
      <c r="O510" s="212" t="s">
        <v>63</v>
      </c>
      <c r="P510" s="212" t="s">
        <v>674</v>
      </c>
      <c r="R510" s="212">
        <v>546</v>
      </c>
      <c r="S510" s="490">
        <v>44302</v>
      </c>
      <c r="T510" s="486" t="s">
        <v>4279</v>
      </c>
      <c r="U510" s="475">
        <v>29981358</v>
      </c>
      <c r="V510" s="406"/>
      <c r="W510" s="362"/>
      <c r="X510" s="483" t="s">
        <v>4280</v>
      </c>
      <c r="Y510" s="484">
        <v>44315</v>
      </c>
      <c r="Z510" s="484">
        <v>44315</v>
      </c>
      <c r="AA510" s="484">
        <v>44497</v>
      </c>
      <c r="AB510" s="485" t="s">
        <v>2650</v>
      </c>
      <c r="AC510" s="483" t="s">
        <v>3861</v>
      </c>
      <c r="AD510" s="485" t="s">
        <v>4281</v>
      </c>
      <c r="AE510" s="486" t="s">
        <v>4282</v>
      </c>
      <c r="AF510" s="473">
        <v>29981358</v>
      </c>
      <c r="AG510" s="474">
        <f t="shared" si="8"/>
        <v>0</v>
      </c>
      <c r="AM510" s="306">
        <v>5330019</v>
      </c>
    </row>
    <row r="511" spans="1:39" hidden="1" x14ac:dyDescent="0.3">
      <c r="A511" s="476" t="s">
        <v>2462</v>
      </c>
      <c r="B511" s="477">
        <v>42000000</v>
      </c>
      <c r="C511" s="212" t="s">
        <v>2646</v>
      </c>
      <c r="D511" s="478">
        <v>506</v>
      </c>
      <c r="E511" s="478">
        <v>20213000021263</v>
      </c>
      <c r="F511" s="479">
        <v>44301</v>
      </c>
      <c r="G511" s="478" t="s">
        <v>2640</v>
      </c>
      <c r="H511" s="212" t="s">
        <v>2641</v>
      </c>
      <c r="I511" s="212" t="s">
        <v>432</v>
      </c>
      <c r="J511" s="475">
        <v>29981358</v>
      </c>
      <c r="K511" s="212" t="s">
        <v>342</v>
      </c>
      <c r="L511" s="212" t="s">
        <v>351</v>
      </c>
      <c r="M511" s="212" t="s">
        <v>44</v>
      </c>
      <c r="N511" s="212" t="s">
        <v>45</v>
      </c>
      <c r="O511" s="212" t="s">
        <v>63</v>
      </c>
      <c r="P511" s="212" t="s">
        <v>674</v>
      </c>
      <c r="R511" s="212">
        <v>547</v>
      </c>
      <c r="S511" s="490">
        <v>44302</v>
      </c>
      <c r="T511" s="486" t="s">
        <v>4283</v>
      </c>
      <c r="U511" s="475">
        <v>29981358</v>
      </c>
      <c r="V511" s="406"/>
      <c r="W511" s="362"/>
      <c r="X511" s="483" t="s">
        <v>4284</v>
      </c>
      <c r="Y511" s="484">
        <v>44336</v>
      </c>
      <c r="Z511" s="484">
        <v>44336</v>
      </c>
      <c r="AA511" s="484">
        <v>44519</v>
      </c>
      <c r="AB511" s="486" t="s">
        <v>2650</v>
      </c>
      <c r="AC511" s="483" t="s">
        <v>4026</v>
      </c>
      <c r="AD511" s="486" t="s">
        <v>4285</v>
      </c>
      <c r="AE511" s="486" t="s">
        <v>4286</v>
      </c>
      <c r="AF511" s="473">
        <v>29981358</v>
      </c>
      <c r="AG511" s="474">
        <f t="shared" si="8"/>
        <v>0</v>
      </c>
      <c r="AM511" s="212"/>
    </row>
    <row r="512" spans="1:39" s="312" customFormat="1" hidden="1" x14ac:dyDescent="0.3">
      <c r="A512" s="380" t="s">
        <v>2465</v>
      </c>
      <c r="B512" s="421">
        <v>42000000</v>
      </c>
      <c r="C512" s="312" t="s">
        <v>2762</v>
      </c>
      <c r="D512" s="381">
        <v>507</v>
      </c>
      <c r="E512" s="381">
        <v>20213000021273</v>
      </c>
      <c r="F512" s="382">
        <v>44301</v>
      </c>
      <c r="G512" s="381" t="s">
        <v>2640</v>
      </c>
      <c r="H512" s="364" t="s">
        <v>2641</v>
      </c>
      <c r="I512" s="364" t="s">
        <v>432</v>
      </c>
      <c r="J512" s="408">
        <v>24000000</v>
      </c>
      <c r="K512" s="364" t="s">
        <v>342</v>
      </c>
      <c r="L512" s="364" t="s">
        <v>351</v>
      </c>
      <c r="M512" s="364" t="s">
        <v>44</v>
      </c>
      <c r="N512" s="364" t="s">
        <v>45</v>
      </c>
      <c r="O512" s="364" t="s">
        <v>63</v>
      </c>
      <c r="P512" s="364" t="s">
        <v>674</v>
      </c>
      <c r="Q512" s="364"/>
      <c r="R512" s="364">
        <v>548</v>
      </c>
      <c r="S512" s="383">
        <v>44302</v>
      </c>
      <c r="T512" s="384" t="s">
        <v>3926</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3">
      <c r="A513" s="476" t="s">
        <v>2454</v>
      </c>
      <c r="B513" s="477">
        <v>20441835</v>
      </c>
      <c r="C513" s="212" t="s">
        <v>2646</v>
      </c>
      <c r="D513" s="478">
        <v>508</v>
      </c>
      <c r="E513" s="478">
        <v>20217000021603</v>
      </c>
      <c r="F513" s="479">
        <v>44302</v>
      </c>
      <c r="G513" s="478" t="s">
        <v>2647</v>
      </c>
      <c r="H513" s="212" t="s">
        <v>2648</v>
      </c>
      <c r="I513" s="212" t="s">
        <v>164</v>
      </c>
      <c r="J513" s="475">
        <v>20441835</v>
      </c>
      <c r="K513" s="212" t="s">
        <v>138</v>
      </c>
      <c r="L513" s="212" t="s">
        <v>139</v>
      </c>
      <c r="M513" s="212" t="s">
        <v>44</v>
      </c>
      <c r="N513" s="212" t="s">
        <v>45</v>
      </c>
      <c r="O513" s="212" t="s">
        <v>142</v>
      </c>
      <c r="P513" s="212" t="s">
        <v>43</v>
      </c>
      <c r="R513" s="212">
        <v>551</v>
      </c>
      <c r="S513" s="490">
        <v>44302</v>
      </c>
      <c r="T513" s="486" t="s">
        <v>4287</v>
      </c>
      <c r="U513" s="475">
        <v>20441835</v>
      </c>
      <c r="V513" s="406"/>
      <c r="W513" s="362"/>
      <c r="X513" s="483" t="s">
        <v>4288</v>
      </c>
      <c r="Y513" s="484">
        <v>44316</v>
      </c>
      <c r="Z513" s="484">
        <v>44316</v>
      </c>
      <c r="AA513" s="484">
        <v>44468</v>
      </c>
      <c r="AB513" s="485" t="s">
        <v>2650</v>
      </c>
      <c r="AC513" s="483" t="s">
        <v>2891</v>
      </c>
      <c r="AD513" s="485" t="s">
        <v>4289</v>
      </c>
      <c r="AE513" s="486" t="s">
        <v>2827</v>
      </c>
      <c r="AF513" s="473">
        <v>20441835</v>
      </c>
      <c r="AG513" s="474">
        <f t="shared" si="8"/>
        <v>0</v>
      </c>
      <c r="AM513" s="306">
        <v>4224645</v>
      </c>
    </row>
    <row r="514" spans="1:39" s="312" customFormat="1" hidden="1" x14ac:dyDescent="0.3">
      <c r="A514" s="361" t="s">
        <v>1970</v>
      </c>
      <c r="B514" s="417">
        <v>31798410</v>
      </c>
      <c r="C514" s="312" t="s">
        <v>2762</v>
      </c>
      <c r="D514" s="325">
        <v>509</v>
      </c>
      <c r="E514" s="325">
        <v>20217000021733</v>
      </c>
      <c r="F514" s="315">
        <v>44302</v>
      </c>
      <c r="G514" s="325" t="s">
        <v>2647</v>
      </c>
      <c r="H514" s="312" t="s">
        <v>2648</v>
      </c>
      <c r="I514" s="312" t="s">
        <v>164</v>
      </c>
      <c r="J514" s="405">
        <v>16353468</v>
      </c>
      <c r="K514" s="312" t="s">
        <v>138</v>
      </c>
      <c r="L514" s="312" t="s">
        <v>139</v>
      </c>
      <c r="M514" s="312" t="s">
        <v>44</v>
      </c>
      <c r="N514" s="312" t="s">
        <v>45</v>
      </c>
      <c r="O514" s="312" t="s">
        <v>142</v>
      </c>
      <c r="P514" s="312" t="s">
        <v>43</v>
      </c>
      <c r="R514" s="312">
        <v>553</v>
      </c>
      <c r="S514" s="363">
        <v>44302</v>
      </c>
      <c r="T514" s="360" t="s">
        <v>4290</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3">
      <c r="A515" s="476" t="s">
        <v>1931</v>
      </c>
      <c r="B515" s="477">
        <v>31798410</v>
      </c>
      <c r="C515" s="212" t="s">
        <v>2646</v>
      </c>
      <c r="D515" s="478">
        <v>510</v>
      </c>
      <c r="E515" s="478">
        <v>20217000021753</v>
      </c>
      <c r="F515" s="479">
        <v>44302</v>
      </c>
      <c r="G515" s="478" t="s">
        <v>2647</v>
      </c>
      <c r="H515" s="212" t="s">
        <v>2648</v>
      </c>
      <c r="I515" s="212" t="s">
        <v>164</v>
      </c>
      <c r="J515" s="475">
        <v>25438728</v>
      </c>
      <c r="K515" s="212" t="s">
        <v>138</v>
      </c>
      <c r="L515" s="212" t="s">
        <v>139</v>
      </c>
      <c r="M515" s="212" t="s">
        <v>44</v>
      </c>
      <c r="N515" s="212" t="s">
        <v>45</v>
      </c>
      <c r="O515" s="212" t="s">
        <v>142</v>
      </c>
      <c r="P515" s="212" t="s">
        <v>43</v>
      </c>
      <c r="R515" s="212">
        <v>554</v>
      </c>
      <c r="S515" s="490">
        <v>44302</v>
      </c>
      <c r="T515" s="486" t="s">
        <v>4291</v>
      </c>
      <c r="U515" s="475">
        <v>25438728</v>
      </c>
      <c r="V515" s="406"/>
      <c r="W515" s="362"/>
      <c r="X515" s="483" t="s">
        <v>4292</v>
      </c>
      <c r="Y515" s="484">
        <v>44315</v>
      </c>
      <c r="Z515" s="484">
        <v>44315</v>
      </c>
      <c r="AA515" s="484">
        <v>44561</v>
      </c>
      <c r="AB515" s="485" t="s">
        <v>2650</v>
      </c>
      <c r="AC515" s="483" t="s">
        <v>3691</v>
      </c>
      <c r="AD515" s="485" t="s">
        <v>4293</v>
      </c>
      <c r="AE515" s="486" t="s">
        <v>3085</v>
      </c>
      <c r="AF515" s="473">
        <v>25438728</v>
      </c>
      <c r="AG515" s="474">
        <f t="shared" si="8"/>
        <v>0</v>
      </c>
      <c r="AM515" s="306">
        <v>3391830</v>
      </c>
    </row>
    <row r="516" spans="1:39" hidden="1" x14ac:dyDescent="0.3">
      <c r="A516" s="476" t="s">
        <v>1983</v>
      </c>
      <c r="B516" s="477">
        <v>53148771</v>
      </c>
      <c r="C516" s="212" t="s">
        <v>2646</v>
      </c>
      <c r="D516" s="478">
        <v>511</v>
      </c>
      <c r="E516" s="478">
        <v>20217000021803</v>
      </c>
      <c r="F516" s="479">
        <v>44302</v>
      </c>
      <c r="G516" s="478" t="s">
        <v>2647</v>
      </c>
      <c r="H516" s="212" t="s">
        <v>2648</v>
      </c>
      <c r="I516" s="212" t="s">
        <v>164</v>
      </c>
      <c r="J516" s="475">
        <v>35432514</v>
      </c>
      <c r="K516" s="212" t="s">
        <v>138</v>
      </c>
      <c r="L516" s="212" t="s">
        <v>139</v>
      </c>
      <c r="M516" s="212" t="s">
        <v>44</v>
      </c>
      <c r="N516" s="212" t="s">
        <v>45</v>
      </c>
      <c r="O516" s="212" t="s">
        <v>142</v>
      </c>
      <c r="P516" s="212" t="s">
        <v>43</v>
      </c>
      <c r="R516" s="212">
        <v>555</v>
      </c>
      <c r="S516" s="490">
        <v>44302</v>
      </c>
      <c r="T516" s="486" t="s">
        <v>3348</v>
      </c>
      <c r="U516" s="475">
        <v>35432514</v>
      </c>
      <c r="V516" s="406"/>
      <c r="W516" s="362"/>
      <c r="X516" s="483" t="s">
        <v>4294</v>
      </c>
      <c r="Y516" s="484">
        <v>44316</v>
      </c>
      <c r="Z516" s="484">
        <v>44316</v>
      </c>
      <c r="AA516" s="484">
        <v>44498</v>
      </c>
      <c r="AB516" s="485" t="s">
        <v>2650</v>
      </c>
      <c r="AC516" s="483" t="s">
        <v>3787</v>
      </c>
      <c r="AD516" s="485" t="s">
        <v>3242</v>
      </c>
      <c r="AE516" s="486" t="s">
        <v>3243</v>
      </c>
      <c r="AF516" s="473">
        <v>35432514</v>
      </c>
      <c r="AG516" s="474">
        <f t="shared" si="8"/>
        <v>0</v>
      </c>
      <c r="AM516" s="306">
        <v>5708572</v>
      </c>
    </row>
    <row r="517" spans="1:39" hidden="1" x14ac:dyDescent="0.3">
      <c r="A517" s="476" t="s">
        <v>2304</v>
      </c>
      <c r="B517" s="477">
        <v>90825000</v>
      </c>
      <c r="C517" s="212" t="s">
        <v>4295</v>
      </c>
      <c r="D517" s="478">
        <v>512</v>
      </c>
      <c r="E517" s="478">
        <v>20211400021713</v>
      </c>
      <c r="F517" s="479">
        <v>44302</v>
      </c>
      <c r="G517" s="478" t="s">
        <v>2647</v>
      </c>
      <c r="H517" s="212" t="s">
        <v>2648</v>
      </c>
      <c r="I517" s="212" t="s">
        <v>184</v>
      </c>
      <c r="J517" s="475">
        <v>64850000</v>
      </c>
      <c r="K517" s="212" t="s">
        <v>138</v>
      </c>
      <c r="L517" s="212" t="s">
        <v>2652</v>
      </c>
      <c r="M517" s="212" t="s">
        <v>2842</v>
      </c>
      <c r="N517" s="212" t="s">
        <v>157</v>
      </c>
      <c r="O517" s="212" t="s">
        <v>158</v>
      </c>
      <c r="P517" s="212" t="s">
        <v>43</v>
      </c>
      <c r="R517" s="486">
        <v>592</v>
      </c>
      <c r="S517" s="490">
        <v>44327</v>
      </c>
      <c r="T517" s="486" t="s">
        <v>4296</v>
      </c>
      <c r="U517" s="475">
        <f>64850000-26707098</f>
        <v>38142902</v>
      </c>
      <c r="V517" s="406">
        <v>26707098</v>
      </c>
      <c r="W517" s="362" t="s">
        <v>1509</v>
      </c>
      <c r="X517" s="308">
        <v>537</v>
      </c>
      <c r="Y517" s="472">
        <v>44335</v>
      </c>
      <c r="Z517" s="484">
        <v>44335</v>
      </c>
      <c r="AA517" s="484">
        <v>44514</v>
      </c>
      <c r="AB517" s="486" t="s">
        <v>3082</v>
      </c>
      <c r="AC517" s="483" t="s">
        <v>4297</v>
      </c>
      <c r="AD517" s="486" t="s">
        <v>4298</v>
      </c>
      <c r="AE517" s="486" t="s">
        <v>4299</v>
      </c>
      <c r="AF517" s="473">
        <v>38142902</v>
      </c>
      <c r="AG517" s="474">
        <f t="shared" si="8"/>
        <v>0</v>
      </c>
      <c r="AM517" s="212"/>
    </row>
    <row r="518" spans="1:39" hidden="1" x14ac:dyDescent="0.3">
      <c r="A518" s="476" t="s">
        <v>2060</v>
      </c>
      <c r="B518" s="477">
        <v>24000000</v>
      </c>
      <c r="C518" s="212" t="s">
        <v>2646</v>
      </c>
      <c r="D518" s="478">
        <v>513</v>
      </c>
      <c r="E518" s="478">
        <v>20213000022133</v>
      </c>
      <c r="F518" s="479">
        <v>44305</v>
      </c>
      <c r="G518" s="478" t="s">
        <v>2640</v>
      </c>
      <c r="H518" s="212" t="s">
        <v>2641</v>
      </c>
      <c r="I518" s="212" t="s">
        <v>432</v>
      </c>
      <c r="J518" s="475">
        <v>24000000</v>
      </c>
      <c r="K518" s="212" t="s">
        <v>342</v>
      </c>
      <c r="L518" s="212" t="s">
        <v>351</v>
      </c>
      <c r="M518" s="212" t="s">
        <v>44</v>
      </c>
      <c r="N518" s="212" t="s">
        <v>45</v>
      </c>
      <c r="O518" s="212" t="s">
        <v>63</v>
      </c>
      <c r="P518" s="212" t="s">
        <v>674</v>
      </c>
      <c r="R518" s="212">
        <v>564</v>
      </c>
      <c r="S518" s="490">
        <v>44305</v>
      </c>
      <c r="T518" s="486" t="s">
        <v>4300</v>
      </c>
      <c r="U518" s="475">
        <v>24000000</v>
      </c>
      <c r="V518" s="406"/>
      <c r="W518" s="362"/>
      <c r="X518" s="483" t="s">
        <v>4301</v>
      </c>
      <c r="Y518" s="484">
        <v>44319</v>
      </c>
      <c r="Z518" s="484">
        <v>44319</v>
      </c>
      <c r="AA518" s="484">
        <v>44502</v>
      </c>
      <c r="AB518" s="486" t="s">
        <v>2650</v>
      </c>
      <c r="AC518" s="483" t="s">
        <v>3819</v>
      </c>
      <c r="AD518" s="486" t="s">
        <v>4302</v>
      </c>
      <c r="AE518" s="486" t="s">
        <v>4303</v>
      </c>
      <c r="AF518" s="473">
        <v>24000000</v>
      </c>
      <c r="AG518" s="474">
        <f t="shared" si="8"/>
        <v>0</v>
      </c>
      <c r="AM518" s="306">
        <v>3733333</v>
      </c>
    </row>
    <row r="519" spans="1:39" hidden="1" x14ac:dyDescent="0.3">
      <c r="A519" s="466" t="s">
        <v>1891</v>
      </c>
      <c r="B519" s="467">
        <v>200000000</v>
      </c>
      <c r="C519" s="468" t="s">
        <v>4304</v>
      </c>
      <c r="D519" s="469">
        <v>514</v>
      </c>
      <c r="E519" s="469">
        <v>20213000021973</v>
      </c>
      <c r="F519" s="470">
        <v>44305</v>
      </c>
      <c r="G519" s="469" t="s">
        <v>2640</v>
      </c>
      <c r="H519" s="468" t="s">
        <v>2641</v>
      </c>
      <c r="I519" s="468" t="s">
        <v>432</v>
      </c>
      <c r="J519" s="471">
        <v>200000000</v>
      </c>
      <c r="K519" s="468" t="s">
        <v>358</v>
      </c>
      <c r="L519" s="468" t="s">
        <v>4305</v>
      </c>
      <c r="M519" s="468" t="s">
        <v>44</v>
      </c>
      <c r="N519" s="468" t="s">
        <v>45</v>
      </c>
      <c r="O519" s="212" t="s">
        <v>310</v>
      </c>
      <c r="P519" s="212" t="s">
        <v>674</v>
      </c>
      <c r="Q519" s="468"/>
      <c r="R519" s="468">
        <v>562</v>
      </c>
      <c r="S519" s="528">
        <v>44305</v>
      </c>
      <c r="T519" s="529" t="s">
        <v>4306</v>
      </c>
      <c r="U519" s="471">
        <v>200000000</v>
      </c>
      <c r="V519" s="414"/>
      <c r="W519" s="379"/>
      <c r="AG519" s="474">
        <f t="shared" si="8"/>
        <v>200000000</v>
      </c>
      <c r="AI519" s="471"/>
      <c r="AJ519" s="471"/>
      <c r="AK519" s="471"/>
      <c r="AL519" s="471"/>
      <c r="AM519" s="212"/>
    </row>
    <row r="520" spans="1:39" hidden="1" x14ac:dyDescent="0.3">
      <c r="A520" s="476" t="s">
        <v>2089</v>
      </c>
      <c r="B520" s="477">
        <v>34850000</v>
      </c>
      <c r="C520" s="212" t="s">
        <v>2646</v>
      </c>
      <c r="D520" s="478">
        <v>515</v>
      </c>
      <c r="E520" s="478">
        <v>20212000021873</v>
      </c>
      <c r="F520" s="479">
        <v>44305</v>
      </c>
      <c r="G520" s="478" t="s">
        <v>2640</v>
      </c>
      <c r="H520" s="212" t="s">
        <v>2641</v>
      </c>
      <c r="I520" s="212" t="s">
        <v>391</v>
      </c>
      <c r="J520" s="475">
        <v>20500000</v>
      </c>
      <c r="K520" s="210" t="s">
        <v>2711</v>
      </c>
      <c r="L520" s="212" t="s">
        <v>2712</v>
      </c>
      <c r="M520" s="210" t="s">
        <v>44</v>
      </c>
      <c r="N520" s="210" t="s">
        <v>45</v>
      </c>
      <c r="O520" s="212" t="s">
        <v>63</v>
      </c>
      <c r="P520" s="212" t="s">
        <v>674</v>
      </c>
      <c r="R520" s="212">
        <v>557</v>
      </c>
      <c r="S520" s="490">
        <v>44305</v>
      </c>
      <c r="T520" s="486" t="s">
        <v>4307</v>
      </c>
      <c r="U520" s="475">
        <v>20500000</v>
      </c>
      <c r="V520" s="406"/>
      <c r="W520" s="362"/>
      <c r="X520" s="483" t="s">
        <v>4308</v>
      </c>
      <c r="Y520" s="484">
        <v>44337</v>
      </c>
      <c r="Z520" s="484">
        <v>44337</v>
      </c>
      <c r="AA520" s="484">
        <v>44489</v>
      </c>
      <c r="AB520" s="486" t="s">
        <v>2650</v>
      </c>
      <c r="AC520" s="483" t="s">
        <v>3613</v>
      </c>
      <c r="AD520" s="486" t="s">
        <v>4309</v>
      </c>
      <c r="AE520" s="486" t="s">
        <v>4310</v>
      </c>
      <c r="AF520" s="473">
        <v>20500000</v>
      </c>
      <c r="AG520" s="474">
        <f t="shared" si="8"/>
        <v>0</v>
      </c>
      <c r="AM520" s="212"/>
    </row>
    <row r="521" spans="1:39" hidden="1" x14ac:dyDescent="0.3">
      <c r="A521" s="476" t="s">
        <v>2118</v>
      </c>
      <c r="B521" s="477">
        <v>34850000</v>
      </c>
      <c r="C521" s="212" t="s">
        <v>2646</v>
      </c>
      <c r="D521" s="478">
        <v>516</v>
      </c>
      <c r="E521" s="478">
        <v>20212000021893</v>
      </c>
      <c r="F521" s="479">
        <v>44305</v>
      </c>
      <c r="G521" s="478" t="s">
        <v>2640</v>
      </c>
      <c r="H521" s="212" t="s">
        <v>2641</v>
      </c>
      <c r="I521" s="212" t="s">
        <v>391</v>
      </c>
      <c r="J521" s="475">
        <v>20500000</v>
      </c>
      <c r="K521" s="210" t="s">
        <v>2711</v>
      </c>
      <c r="L521" s="212" t="s">
        <v>2712</v>
      </c>
      <c r="M521" s="210" t="s">
        <v>44</v>
      </c>
      <c r="N521" s="210" t="s">
        <v>45</v>
      </c>
      <c r="O521" s="212" t="s">
        <v>63</v>
      </c>
      <c r="P521" s="212" t="s">
        <v>674</v>
      </c>
      <c r="R521" s="212">
        <v>558</v>
      </c>
      <c r="S521" s="490">
        <v>44305</v>
      </c>
      <c r="T521" s="486" t="s">
        <v>4311</v>
      </c>
      <c r="U521" s="475">
        <v>20500000</v>
      </c>
      <c r="V521" s="406"/>
      <c r="W521" s="362"/>
      <c r="X521" s="483" t="s">
        <v>4312</v>
      </c>
      <c r="Y521" s="484">
        <v>44320</v>
      </c>
      <c r="Z521" s="484">
        <v>44320</v>
      </c>
      <c r="AA521" s="484">
        <v>44472</v>
      </c>
      <c r="AB521" s="486" t="s">
        <v>2650</v>
      </c>
      <c r="AC521" s="483" t="s">
        <v>4121</v>
      </c>
      <c r="AD521" s="486" t="s">
        <v>4313</v>
      </c>
      <c r="AE521" s="486" t="s">
        <v>4314</v>
      </c>
      <c r="AF521" s="473">
        <v>20500000</v>
      </c>
      <c r="AG521" s="474">
        <f t="shared" si="8"/>
        <v>0</v>
      </c>
      <c r="AM521" s="306">
        <v>3553333</v>
      </c>
    </row>
    <row r="522" spans="1:39" hidden="1" x14ac:dyDescent="0.3">
      <c r="A522" s="476" t="s">
        <v>2064</v>
      </c>
      <c r="B522" s="477">
        <v>34850000</v>
      </c>
      <c r="C522" s="212" t="s">
        <v>2646</v>
      </c>
      <c r="D522" s="478">
        <v>517</v>
      </c>
      <c r="E522" s="478">
        <v>20212000021913</v>
      </c>
      <c r="F522" s="479">
        <v>44305</v>
      </c>
      <c r="G522" s="478" t="s">
        <v>2640</v>
      </c>
      <c r="H522" s="212" t="s">
        <v>2641</v>
      </c>
      <c r="I522" s="212" t="s">
        <v>391</v>
      </c>
      <c r="J522" s="475">
        <v>20500000</v>
      </c>
      <c r="K522" s="210" t="s">
        <v>2711</v>
      </c>
      <c r="L522" s="212" t="s">
        <v>2712</v>
      </c>
      <c r="M522" s="210" t="s">
        <v>44</v>
      </c>
      <c r="N522" s="210" t="s">
        <v>45</v>
      </c>
      <c r="O522" s="212" t="s">
        <v>63</v>
      </c>
      <c r="P522" s="212" t="s">
        <v>674</v>
      </c>
      <c r="R522" s="212">
        <v>559</v>
      </c>
      <c r="S522" s="490">
        <v>44305</v>
      </c>
      <c r="T522" s="486" t="s">
        <v>4315</v>
      </c>
      <c r="U522" s="475">
        <v>20500000</v>
      </c>
      <c r="V522" s="406"/>
      <c r="W522" s="362"/>
      <c r="X522" s="483" t="s">
        <v>4316</v>
      </c>
      <c r="Y522" s="484">
        <v>44328</v>
      </c>
      <c r="Z522" s="484">
        <v>44328</v>
      </c>
      <c r="AA522" s="484">
        <v>44481</v>
      </c>
      <c r="AB522" s="486" t="s">
        <v>2650</v>
      </c>
      <c r="AC522" s="483" t="s">
        <v>3837</v>
      </c>
      <c r="AD522" s="486" t="s">
        <v>4317</v>
      </c>
      <c r="AE522" s="486" t="s">
        <v>4318</v>
      </c>
      <c r="AF522" s="473">
        <v>20500000</v>
      </c>
      <c r="AG522" s="474">
        <f t="shared" si="8"/>
        <v>0</v>
      </c>
      <c r="AM522" s="306">
        <v>2460000</v>
      </c>
    </row>
    <row r="523" spans="1:39" hidden="1" x14ac:dyDescent="0.3">
      <c r="A523" s="466" t="s">
        <v>2119</v>
      </c>
      <c r="B523" s="467">
        <v>34850000</v>
      </c>
      <c r="C523" s="212" t="s">
        <v>2646</v>
      </c>
      <c r="D523" s="469">
        <v>518</v>
      </c>
      <c r="E523" s="469">
        <v>20212000021923</v>
      </c>
      <c r="F523" s="470">
        <v>44305</v>
      </c>
      <c r="G523" s="469" t="s">
        <v>2640</v>
      </c>
      <c r="H523" s="468" t="s">
        <v>2641</v>
      </c>
      <c r="I523" s="468" t="s">
        <v>391</v>
      </c>
      <c r="J523" s="471">
        <v>20500000</v>
      </c>
      <c r="K523" s="377" t="s">
        <v>2711</v>
      </c>
      <c r="L523" s="468" t="s">
        <v>2712</v>
      </c>
      <c r="M523" s="377" t="s">
        <v>44</v>
      </c>
      <c r="N523" s="377" t="s">
        <v>45</v>
      </c>
      <c r="O523" s="468" t="s">
        <v>63</v>
      </c>
      <c r="P523" s="212" t="s">
        <v>674</v>
      </c>
      <c r="Q523" s="468"/>
      <c r="R523" s="468">
        <v>560</v>
      </c>
      <c r="S523" s="528">
        <v>44305</v>
      </c>
      <c r="T523" s="529" t="s">
        <v>4319</v>
      </c>
      <c r="U523" s="471">
        <v>20500000</v>
      </c>
      <c r="V523" s="414"/>
      <c r="W523" s="379"/>
      <c r="X523" s="483" t="s">
        <v>4320</v>
      </c>
      <c r="Y523" s="484">
        <v>44316</v>
      </c>
      <c r="Z523" s="484">
        <v>44316</v>
      </c>
      <c r="AA523" s="484">
        <v>44468</v>
      </c>
      <c r="AB523" s="485" t="s">
        <v>2650</v>
      </c>
      <c r="AC523" s="483" t="s">
        <v>3366</v>
      </c>
      <c r="AD523" s="485" t="s">
        <v>4321</v>
      </c>
      <c r="AE523" s="486" t="s">
        <v>4322</v>
      </c>
      <c r="AF523" s="473">
        <v>20500000</v>
      </c>
      <c r="AG523" s="474">
        <f t="shared" si="8"/>
        <v>0</v>
      </c>
      <c r="AI523" s="471"/>
      <c r="AJ523" s="471"/>
      <c r="AK523" s="471"/>
      <c r="AL523" s="471"/>
      <c r="AM523" s="306">
        <v>3826667</v>
      </c>
    </row>
    <row r="524" spans="1:39" hidden="1" x14ac:dyDescent="0.3">
      <c r="A524" s="476" t="s">
        <v>1744</v>
      </c>
      <c r="B524" s="477">
        <v>23162500</v>
      </c>
      <c r="C524" s="212" t="s">
        <v>2646</v>
      </c>
      <c r="D524" s="478">
        <v>519</v>
      </c>
      <c r="E524" s="478">
        <v>20212000021933</v>
      </c>
      <c r="F524" s="479">
        <v>44305</v>
      </c>
      <c r="G524" s="478" t="s">
        <v>2640</v>
      </c>
      <c r="H524" s="212" t="s">
        <v>2641</v>
      </c>
      <c r="I524" s="212" t="s">
        <v>391</v>
      </c>
      <c r="J524" s="475">
        <v>11350000</v>
      </c>
      <c r="K524" s="210" t="s">
        <v>2711</v>
      </c>
      <c r="L524" s="212" t="s">
        <v>2712</v>
      </c>
      <c r="M524" s="210" t="s">
        <v>44</v>
      </c>
      <c r="N524" s="210" t="s">
        <v>45</v>
      </c>
      <c r="O524" s="212" t="s">
        <v>63</v>
      </c>
      <c r="P524" s="212" t="s">
        <v>674</v>
      </c>
      <c r="R524" s="212">
        <v>561</v>
      </c>
      <c r="S524" s="490">
        <v>44305</v>
      </c>
      <c r="T524" s="486" t="s">
        <v>4323</v>
      </c>
      <c r="U524" s="475">
        <v>11350000</v>
      </c>
      <c r="V524" s="406"/>
      <c r="W524" s="362"/>
      <c r="AG524" s="474">
        <f t="shared" si="8"/>
        <v>11350000</v>
      </c>
      <c r="AM524" s="212"/>
    </row>
    <row r="525" spans="1:39" hidden="1" x14ac:dyDescent="0.3">
      <c r="A525" s="476" t="s">
        <v>1974</v>
      </c>
      <c r="B525" s="477">
        <v>49060404</v>
      </c>
      <c r="C525" s="212" t="s">
        <v>2646</v>
      </c>
      <c r="D525" s="478">
        <v>520</v>
      </c>
      <c r="E525" s="478">
        <v>20217000022053</v>
      </c>
      <c r="F525" s="479">
        <v>44305</v>
      </c>
      <c r="G525" s="478" t="s">
        <v>2647</v>
      </c>
      <c r="H525" s="212" t="s">
        <v>2648</v>
      </c>
      <c r="I525" s="212" t="s">
        <v>164</v>
      </c>
      <c r="J525" s="475">
        <v>41338000</v>
      </c>
      <c r="K525" s="212" t="s">
        <v>138</v>
      </c>
      <c r="L525" s="212" t="s">
        <v>139</v>
      </c>
      <c r="M525" s="212" t="s">
        <v>44</v>
      </c>
      <c r="N525" s="212" t="s">
        <v>45</v>
      </c>
      <c r="O525" s="212" t="s">
        <v>142</v>
      </c>
      <c r="P525" s="212" t="s">
        <v>43</v>
      </c>
      <c r="R525" s="212">
        <v>563</v>
      </c>
      <c r="S525" s="490">
        <v>44305</v>
      </c>
      <c r="T525" s="486" t="s">
        <v>4324</v>
      </c>
      <c r="U525" s="475">
        <v>41338000</v>
      </c>
      <c r="V525" s="406"/>
      <c r="W525" s="362"/>
      <c r="X525" s="483">
        <v>532</v>
      </c>
      <c r="Y525" s="484">
        <v>44329</v>
      </c>
      <c r="Z525" s="484">
        <v>44329</v>
      </c>
      <c r="AA525" s="484">
        <v>44543</v>
      </c>
      <c r="AB525" s="486" t="s">
        <v>2650</v>
      </c>
      <c r="AC525" s="483" t="s">
        <v>4080</v>
      </c>
      <c r="AD525" s="486" t="s">
        <v>4325</v>
      </c>
      <c r="AE525" s="486" t="s">
        <v>3332</v>
      </c>
      <c r="AF525" s="473">
        <v>41337933</v>
      </c>
      <c r="AG525" s="474">
        <f t="shared" si="8"/>
        <v>67</v>
      </c>
      <c r="AM525" s="306">
        <v>3543251</v>
      </c>
    </row>
    <row r="526" spans="1:39" hidden="1" x14ac:dyDescent="0.3">
      <c r="C526" s="212" t="s">
        <v>4326</v>
      </c>
      <c r="D526" s="478">
        <v>521</v>
      </c>
      <c r="E526" s="478">
        <v>20217000022213</v>
      </c>
      <c r="F526" s="479">
        <v>44306</v>
      </c>
      <c r="G526" s="478" t="s">
        <v>2647</v>
      </c>
      <c r="H526" s="212" t="s">
        <v>2648</v>
      </c>
      <c r="I526" s="212" t="s">
        <v>164</v>
      </c>
      <c r="J526" s="475">
        <v>38794972</v>
      </c>
      <c r="K526" s="212" t="s">
        <v>138</v>
      </c>
      <c r="L526" s="212" t="s">
        <v>4327</v>
      </c>
      <c r="M526" s="212" t="s">
        <v>44</v>
      </c>
      <c r="N526" s="212" t="s">
        <v>45</v>
      </c>
      <c r="O526" s="212" t="s">
        <v>310</v>
      </c>
      <c r="P526" s="212" t="s">
        <v>43</v>
      </c>
      <c r="R526" s="212">
        <v>565</v>
      </c>
      <c r="S526" s="490">
        <v>44306</v>
      </c>
      <c r="T526" s="486" t="s">
        <v>4328</v>
      </c>
      <c r="U526" s="475">
        <v>38794972</v>
      </c>
      <c r="V526" s="406"/>
      <c r="W526" s="362"/>
      <c r="X526" s="483" t="s">
        <v>4329</v>
      </c>
      <c r="Y526" s="484">
        <v>44341</v>
      </c>
      <c r="Z526" s="484">
        <v>44341</v>
      </c>
      <c r="AA526" s="484">
        <v>44346</v>
      </c>
      <c r="AB526" s="486" t="s">
        <v>3106</v>
      </c>
      <c r="AC526" s="483" t="s">
        <v>4330</v>
      </c>
      <c r="AD526" s="486" t="s">
        <v>4331</v>
      </c>
      <c r="AE526" s="486" t="s">
        <v>4332</v>
      </c>
      <c r="AF526" s="473">
        <v>1622584</v>
      </c>
      <c r="AG526" s="474">
        <f t="shared" si="8"/>
        <v>37172388</v>
      </c>
      <c r="AL526" s="475">
        <v>1622584</v>
      </c>
      <c r="AM526" s="212"/>
    </row>
    <row r="527" spans="1:39" s="312" customFormat="1" hidden="1" x14ac:dyDescent="0.3">
      <c r="A527" s="380" t="s">
        <v>1886</v>
      </c>
      <c r="B527" s="421">
        <v>490000000</v>
      </c>
      <c r="C527" s="364" t="s">
        <v>4333</v>
      </c>
      <c r="D527" s="381">
        <v>522</v>
      </c>
      <c r="E527" s="381">
        <v>20213000022283</v>
      </c>
      <c r="F527" s="382">
        <v>44306</v>
      </c>
      <c r="G527" s="381" t="s">
        <v>2640</v>
      </c>
      <c r="H527" s="364" t="s">
        <v>2641</v>
      </c>
      <c r="I527" s="364" t="s">
        <v>432</v>
      </c>
      <c r="J527" s="408">
        <v>278008956</v>
      </c>
      <c r="K527" s="364" t="s">
        <v>342</v>
      </c>
      <c r="L527" s="364" t="s">
        <v>351</v>
      </c>
      <c r="M527" s="364" t="s">
        <v>44</v>
      </c>
      <c r="N527" s="364" t="s">
        <v>45</v>
      </c>
      <c r="O527" s="364" t="s">
        <v>63</v>
      </c>
      <c r="P527" s="364" t="s">
        <v>674</v>
      </c>
      <c r="Q527" s="364"/>
      <c r="R527" s="364">
        <v>566</v>
      </c>
      <c r="S527" s="383">
        <v>44306</v>
      </c>
      <c r="T527" s="384" t="s">
        <v>4334</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3">
      <c r="A528" s="476" t="s">
        <v>2177</v>
      </c>
      <c r="B528" s="477">
        <v>310700000</v>
      </c>
      <c r="C528" s="212" t="s">
        <v>4335</v>
      </c>
      <c r="D528" s="478">
        <v>523</v>
      </c>
      <c r="E528" s="478">
        <v>20215000022803</v>
      </c>
      <c r="F528" s="479">
        <v>44308</v>
      </c>
      <c r="G528" s="478" t="s">
        <v>2640</v>
      </c>
      <c r="H528" s="212" t="s">
        <v>2641</v>
      </c>
      <c r="I528" s="210" t="s">
        <v>228</v>
      </c>
      <c r="J528" s="475">
        <v>310700000</v>
      </c>
      <c r="K528" s="212" t="s">
        <v>223</v>
      </c>
      <c r="L528" s="212" t="s">
        <v>236</v>
      </c>
      <c r="M528" s="212" t="s">
        <v>44</v>
      </c>
      <c r="N528" s="212" t="s">
        <v>45</v>
      </c>
      <c r="O528" s="210" t="s">
        <v>265</v>
      </c>
      <c r="P528" s="212" t="s">
        <v>674</v>
      </c>
      <c r="R528" s="212">
        <v>570</v>
      </c>
      <c r="S528" s="490">
        <v>44309</v>
      </c>
      <c r="T528" s="486" t="s">
        <v>4336</v>
      </c>
      <c r="U528" s="693">
        <v>310700000</v>
      </c>
      <c r="V528" s="406"/>
      <c r="X528" s="483" t="s">
        <v>4337</v>
      </c>
      <c r="Y528" s="484">
        <v>44362</v>
      </c>
      <c r="Z528" s="484">
        <v>44362</v>
      </c>
      <c r="AA528" s="484">
        <v>44377</v>
      </c>
      <c r="AB528" s="486" t="s">
        <v>3082</v>
      </c>
      <c r="AC528" s="483" t="s">
        <v>4338</v>
      </c>
      <c r="AD528" s="486" t="s">
        <v>4339</v>
      </c>
      <c r="AE528" s="486" t="s">
        <v>4340</v>
      </c>
      <c r="AF528" s="473">
        <v>251850622</v>
      </c>
      <c r="AG528" s="474">
        <f t="shared" si="8"/>
        <v>58849378</v>
      </c>
      <c r="AM528" s="212"/>
    </row>
    <row r="529" spans="1:39" s="312" customFormat="1" hidden="1" x14ac:dyDescent="0.3">
      <c r="A529" s="361" t="s">
        <v>1888</v>
      </c>
      <c r="B529" s="417">
        <v>280000000</v>
      </c>
      <c r="C529" s="312" t="s">
        <v>4341</v>
      </c>
      <c r="D529" s="325">
        <v>524</v>
      </c>
      <c r="E529" s="325">
        <v>20213000022983</v>
      </c>
      <c r="F529" s="315">
        <v>44308</v>
      </c>
      <c r="G529" s="325" t="s">
        <v>2640</v>
      </c>
      <c r="H529" s="312" t="s">
        <v>2641</v>
      </c>
      <c r="I529" s="312" t="s">
        <v>432</v>
      </c>
      <c r="J529" s="405">
        <v>278008956</v>
      </c>
      <c r="K529" s="312" t="s">
        <v>342</v>
      </c>
      <c r="L529" s="312" t="s">
        <v>351</v>
      </c>
      <c r="M529" s="312" t="s">
        <v>44</v>
      </c>
      <c r="N529" s="312" t="s">
        <v>45</v>
      </c>
      <c r="O529" s="312" t="s">
        <v>63</v>
      </c>
      <c r="P529" s="312" t="s">
        <v>674</v>
      </c>
      <c r="R529" s="312">
        <v>571</v>
      </c>
      <c r="S529" s="363">
        <v>44309</v>
      </c>
      <c r="T529" s="360" t="s">
        <v>4342</v>
      </c>
      <c r="U529" s="405">
        <f>278008956-278008956</f>
        <v>0</v>
      </c>
      <c r="V529" s="406">
        <v>278008956</v>
      </c>
      <c r="W529" s="362" t="s">
        <v>4343</v>
      </c>
      <c r="X529" s="314"/>
      <c r="Y529" s="358"/>
      <c r="Z529" s="358"/>
      <c r="AA529" s="358"/>
      <c r="AB529" s="317"/>
      <c r="AC529" s="316"/>
      <c r="AD529" s="317"/>
      <c r="AF529" s="410"/>
      <c r="AG529" s="318">
        <f t="shared" si="8"/>
        <v>0</v>
      </c>
      <c r="AH529" s="405"/>
      <c r="AI529" s="405"/>
      <c r="AJ529" s="405"/>
      <c r="AK529" s="405"/>
      <c r="AL529" s="405"/>
      <c r="AM529" s="212"/>
    </row>
    <row r="530" spans="1:39" hidden="1" x14ac:dyDescent="0.3">
      <c r="A530" s="476" t="s">
        <v>4070</v>
      </c>
      <c r="B530" s="477">
        <v>63000000</v>
      </c>
      <c r="C530" s="212" t="s">
        <v>2646</v>
      </c>
      <c r="D530" s="478">
        <v>525</v>
      </c>
      <c r="E530" s="478">
        <v>20217000023003</v>
      </c>
      <c r="F530" s="479">
        <v>44308</v>
      </c>
      <c r="G530" s="478" t="s">
        <v>2647</v>
      </c>
      <c r="H530" s="212" t="s">
        <v>2648</v>
      </c>
      <c r="I530" s="212" t="s">
        <v>164</v>
      </c>
      <c r="J530" s="475">
        <v>29072832</v>
      </c>
      <c r="K530" s="212" t="s">
        <v>138</v>
      </c>
      <c r="L530" s="212" t="s">
        <v>139</v>
      </c>
      <c r="M530" s="212" t="s">
        <v>44</v>
      </c>
      <c r="N530" s="212" t="s">
        <v>45</v>
      </c>
      <c r="O530" s="212" t="s">
        <v>142</v>
      </c>
      <c r="P530" s="212" t="s">
        <v>43</v>
      </c>
      <c r="R530" s="212">
        <v>572</v>
      </c>
      <c r="S530" s="490">
        <v>44309</v>
      </c>
      <c r="T530" s="486" t="s">
        <v>4274</v>
      </c>
      <c r="U530" s="475">
        <v>29072832</v>
      </c>
      <c r="V530" s="406"/>
      <c r="W530" s="362"/>
      <c r="X530" s="483" t="s">
        <v>4344</v>
      </c>
      <c r="Y530" s="484">
        <v>44322</v>
      </c>
      <c r="Z530" s="484">
        <v>44322</v>
      </c>
      <c r="AA530" s="484">
        <v>44444</v>
      </c>
      <c r="AB530" s="486" t="s">
        <v>2650</v>
      </c>
      <c r="AC530" s="483" t="s">
        <v>3416</v>
      </c>
      <c r="AD530" s="486" t="s">
        <v>4345</v>
      </c>
      <c r="AE530" s="486" t="s">
        <v>3194</v>
      </c>
      <c r="AF530" s="473">
        <v>29072832</v>
      </c>
      <c r="AG530" s="474">
        <f t="shared" si="8"/>
        <v>0</v>
      </c>
      <c r="AM530" s="212"/>
    </row>
    <row r="531" spans="1:39" hidden="1" x14ac:dyDescent="0.3">
      <c r="A531" s="476" t="s">
        <v>2121</v>
      </c>
      <c r="B531" s="477">
        <v>32300000</v>
      </c>
      <c r="C531" s="212" t="s">
        <v>2646</v>
      </c>
      <c r="D531" s="478">
        <v>526</v>
      </c>
      <c r="E531" s="478">
        <v>20212000022543</v>
      </c>
      <c r="F531" s="479">
        <v>44309</v>
      </c>
      <c r="G531" s="478" t="s">
        <v>2640</v>
      </c>
      <c r="H531" s="212" t="s">
        <v>2641</v>
      </c>
      <c r="I531" s="212" t="s">
        <v>391</v>
      </c>
      <c r="J531" s="475">
        <v>19000000</v>
      </c>
      <c r="K531" s="210" t="s">
        <v>2711</v>
      </c>
      <c r="L531" s="212" t="s">
        <v>2712</v>
      </c>
      <c r="M531" s="210" t="s">
        <v>44</v>
      </c>
      <c r="N531" s="210" t="s">
        <v>45</v>
      </c>
      <c r="O531" s="212" t="s">
        <v>63</v>
      </c>
      <c r="P531" s="212" t="s">
        <v>674</v>
      </c>
      <c r="R531" s="212">
        <v>573</v>
      </c>
      <c r="S531" s="490">
        <v>44309</v>
      </c>
      <c r="T531" s="486" t="s">
        <v>4346</v>
      </c>
      <c r="U531" s="475">
        <v>19000000</v>
      </c>
      <c r="V531" s="406"/>
      <c r="W531" s="362"/>
      <c r="X531" s="483" t="s">
        <v>4347</v>
      </c>
      <c r="Y531" s="484">
        <v>44323</v>
      </c>
      <c r="Z531" s="484">
        <v>44323</v>
      </c>
      <c r="AA531" s="484">
        <v>44506</v>
      </c>
      <c r="AB531" s="486" t="s">
        <v>2650</v>
      </c>
      <c r="AC531" s="483" t="s">
        <v>4348</v>
      </c>
      <c r="AD531" s="486" t="s">
        <v>4349</v>
      </c>
      <c r="AE531" s="486" t="s">
        <v>4350</v>
      </c>
      <c r="AF531" s="473">
        <v>19000000</v>
      </c>
      <c r="AG531" s="474">
        <f t="shared" si="8"/>
        <v>0</v>
      </c>
      <c r="AM531" s="306">
        <v>2660000</v>
      </c>
    </row>
    <row r="532" spans="1:39" hidden="1" x14ac:dyDescent="0.3">
      <c r="A532" s="466" t="s">
        <v>2455</v>
      </c>
      <c r="B532" s="467">
        <v>44958672</v>
      </c>
      <c r="C532" s="212" t="s">
        <v>2646</v>
      </c>
      <c r="D532" s="469">
        <v>527</v>
      </c>
      <c r="E532" s="469">
        <v>20217000023053</v>
      </c>
      <c r="F532" s="470">
        <v>44309</v>
      </c>
      <c r="G532" s="469" t="s">
        <v>2647</v>
      </c>
      <c r="H532" s="468" t="s">
        <v>2648</v>
      </c>
      <c r="I532" s="468" t="s">
        <v>164</v>
      </c>
      <c r="J532" s="471">
        <v>34978251</v>
      </c>
      <c r="K532" s="468" t="s">
        <v>138</v>
      </c>
      <c r="L532" s="468" t="s">
        <v>139</v>
      </c>
      <c r="M532" s="468" t="s">
        <v>44</v>
      </c>
      <c r="N532" s="468" t="s">
        <v>45</v>
      </c>
      <c r="O532" s="468" t="s">
        <v>142</v>
      </c>
      <c r="P532" s="468" t="s">
        <v>43</v>
      </c>
      <c r="Q532" s="468"/>
      <c r="R532" s="468">
        <v>575</v>
      </c>
      <c r="S532" s="528">
        <v>44309</v>
      </c>
      <c r="T532" s="529" t="s">
        <v>4095</v>
      </c>
      <c r="U532" s="471">
        <v>34978251</v>
      </c>
      <c r="V532" s="414"/>
      <c r="W532" s="379"/>
      <c r="X532" s="483" t="s">
        <v>4351</v>
      </c>
      <c r="Y532" s="484">
        <v>44316</v>
      </c>
      <c r="Z532" s="484">
        <v>44316</v>
      </c>
      <c r="AA532" s="484">
        <v>44529</v>
      </c>
      <c r="AB532" s="485" t="s">
        <v>2650</v>
      </c>
      <c r="AC532" s="483" t="s">
        <v>3895</v>
      </c>
      <c r="AD532" s="485" t="s">
        <v>4352</v>
      </c>
      <c r="AE532" s="486" t="s">
        <v>2685</v>
      </c>
      <c r="AF532" s="473">
        <v>34978251</v>
      </c>
      <c r="AG532" s="474">
        <f t="shared" si="8"/>
        <v>0</v>
      </c>
      <c r="AI532" s="471"/>
      <c r="AJ532" s="471"/>
      <c r="AK532" s="471"/>
      <c r="AL532" s="471"/>
      <c r="AM532" s="306">
        <v>4663767</v>
      </c>
    </row>
    <row r="533" spans="1:39" hidden="1" x14ac:dyDescent="0.3">
      <c r="A533" s="313" t="s">
        <v>1970</v>
      </c>
      <c r="B533" s="419">
        <v>31798410</v>
      </c>
      <c r="C533" s="212" t="s">
        <v>2646</v>
      </c>
      <c r="D533" s="309">
        <v>528</v>
      </c>
      <c r="E533" s="309">
        <v>20217000023043</v>
      </c>
      <c r="F533" s="310">
        <v>44309</v>
      </c>
      <c r="G533" s="309" t="s">
        <v>2647</v>
      </c>
      <c r="H533" s="210" t="s">
        <v>2648</v>
      </c>
      <c r="I533" s="210" t="s">
        <v>164</v>
      </c>
      <c r="J533" s="407">
        <v>18433860</v>
      </c>
      <c r="K533" s="210" t="s">
        <v>138</v>
      </c>
      <c r="L533" s="210" t="s">
        <v>139</v>
      </c>
      <c r="M533" s="210" t="s">
        <v>44</v>
      </c>
      <c r="N533" s="210" t="s">
        <v>45</v>
      </c>
      <c r="O533" s="210" t="s">
        <v>142</v>
      </c>
      <c r="P533" s="210" t="s">
        <v>43</v>
      </c>
      <c r="Q533" s="210"/>
      <c r="R533" s="212">
        <v>574</v>
      </c>
      <c r="S533" s="490">
        <v>44309</v>
      </c>
      <c r="T533" s="486" t="s">
        <v>4290</v>
      </c>
      <c r="U533" s="475">
        <v>18433860</v>
      </c>
      <c r="V533" s="406"/>
      <c r="W533" s="362"/>
      <c r="X533" s="483" t="s">
        <v>4353</v>
      </c>
      <c r="Y533" s="484">
        <v>44315</v>
      </c>
      <c r="Z533" s="484">
        <v>44315</v>
      </c>
      <c r="AA533" s="484">
        <v>44497</v>
      </c>
      <c r="AB533" s="485" t="s">
        <v>2650</v>
      </c>
      <c r="AC533" s="483" t="s">
        <v>3532</v>
      </c>
      <c r="AD533" s="485" t="s">
        <v>4354</v>
      </c>
      <c r="AE533" s="486" t="s">
        <v>3192</v>
      </c>
      <c r="AF533" s="473">
        <v>18433860</v>
      </c>
      <c r="AG533" s="474">
        <f t="shared" si="8"/>
        <v>0</v>
      </c>
      <c r="AM533" s="306">
        <v>3174720</v>
      </c>
    </row>
    <row r="534" spans="1:39" hidden="1" x14ac:dyDescent="0.3">
      <c r="A534" s="313" t="s">
        <v>2579</v>
      </c>
      <c r="B534" s="419">
        <v>48000000</v>
      </c>
      <c r="C534" s="212" t="s">
        <v>2646</v>
      </c>
      <c r="D534" s="478">
        <v>529</v>
      </c>
      <c r="E534" s="478">
        <v>20214000023343</v>
      </c>
      <c r="F534" s="310">
        <v>44312</v>
      </c>
      <c r="G534" s="478" t="s">
        <v>2680</v>
      </c>
      <c r="H534" s="212" t="s">
        <v>2681</v>
      </c>
      <c r="I534" s="212" t="s">
        <v>47</v>
      </c>
      <c r="J534" s="475">
        <v>36000000</v>
      </c>
      <c r="K534" s="212" t="s">
        <v>37</v>
      </c>
      <c r="L534" s="212" t="s">
        <v>2682</v>
      </c>
      <c r="M534" s="212" t="s">
        <v>44</v>
      </c>
      <c r="N534" s="212" t="s">
        <v>45</v>
      </c>
      <c r="O534" s="212" t="s">
        <v>310</v>
      </c>
      <c r="P534" s="212" t="s">
        <v>43</v>
      </c>
      <c r="R534" s="212">
        <v>576</v>
      </c>
      <c r="S534" s="490">
        <v>44313</v>
      </c>
      <c r="T534" s="486" t="s">
        <v>4355</v>
      </c>
      <c r="U534" s="475">
        <v>36000000</v>
      </c>
      <c r="V534" s="406"/>
      <c r="X534" s="308">
        <v>563</v>
      </c>
      <c r="Y534" s="472">
        <v>44348</v>
      </c>
      <c r="Z534" s="472">
        <v>44348</v>
      </c>
      <c r="AA534" s="472">
        <v>44530</v>
      </c>
      <c r="AB534" s="486" t="s">
        <v>2650</v>
      </c>
      <c r="AC534" s="211">
        <v>423</v>
      </c>
      <c r="AD534" s="486" t="s">
        <v>4356</v>
      </c>
      <c r="AE534" s="212" t="s">
        <v>4357</v>
      </c>
      <c r="AF534" s="473">
        <v>36000000</v>
      </c>
      <c r="AG534" s="474">
        <f t="shared" si="8"/>
        <v>0</v>
      </c>
      <c r="AM534" s="212"/>
    </row>
    <row r="535" spans="1:39" hidden="1" x14ac:dyDescent="0.3">
      <c r="A535" s="313" t="s">
        <v>2431</v>
      </c>
      <c r="B535" s="419">
        <v>28800000</v>
      </c>
      <c r="C535" s="212" t="s">
        <v>2646</v>
      </c>
      <c r="D535" s="478">
        <v>530</v>
      </c>
      <c r="E535" s="478">
        <v>20215000023403</v>
      </c>
      <c r="F535" s="310">
        <v>44312</v>
      </c>
      <c r="G535" s="478" t="s">
        <v>2640</v>
      </c>
      <c r="H535" s="212" t="s">
        <v>2641</v>
      </c>
      <c r="I535" s="210" t="s">
        <v>228</v>
      </c>
      <c r="J535" s="475">
        <v>28800000</v>
      </c>
      <c r="K535" s="212" t="s">
        <v>223</v>
      </c>
      <c r="L535" s="212" t="s">
        <v>2758</v>
      </c>
      <c r="M535" s="212" t="s">
        <v>44</v>
      </c>
      <c r="N535" s="212" t="s">
        <v>45</v>
      </c>
      <c r="O535" s="212" t="s">
        <v>63</v>
      </c>
      <c r="P535" s="212" t="s">
        <v>674</v>
      </c>
      <c r="R535" s="212">
        <v>577</v>
      </c>
      <c r="S535" s="490">
        <v>44313</v>
      </c>
      <c r="T535" s="486" t="s">
        <v>4358</v>
      </c>
      <c r="U535" s="475">
        <f>28800000-11250000</f>
        <v>17550000</v>
      </c>
      <c r="V535" s="406">
        <v>11250000</v>
      </c>
      <c r="W535" s="307" t="s">
        <v>4343</v>
      </c>
      <c r="X535" s="483" t="s">
        <v>4359</v>
      </c>
      <c r="Y535" s="484">
        <v>44348</v>
      </c>
      <c r="Z535" s="484">
        <v>44348</v>
      </c>
      <c r="AA535" s="484">
        <v>44546</v>
      </c>
      <c r="AB535" s="486" t="s">
        <v>2650</v>
      </c>
      <c r="AC535" s="483" t="s">
        <v>3666</v>
      </c>
      <c r="AD535" s="694" t="s">
        <v>4360</v>
      </c>
      <c r="AE535" s="486" t="s">
        <v>4361</v>
      </c>
      <c r="AF535" s="496">
        <v>17550000</v>
      </c>
      <c r="AG535" s="474">
        <f t="shared" si="8"/>
        <v>0</v>
      </c>
      <c r="AM535" s="212"/>
    </row>
    <row r="536" spans="1:39" hidden="1" x14ac:dyDescent="0.3">
      <c r="A536" s="476" t="s">
        <v>4362</v>
      </c>
      <c r="B536" s="477">
        <v>16000000</v>
      </c>
      <c r="C536" s="212" t="s">
        <v>2646</v>
      </c>
      <c r="D536" s="478">
        <v>531</v>
      </c>
      <c r="E536" s="478">
        <v>20217000023663</v>
      </c>
      <c r="F536" s="310">
        <v>44313</v>
      </c>
      <c r="G536" s="478" t="s">
        <v>2647</v>
      </c>
      <c r="H536" s="212" t="s">
        <v>2648</v>
      </c>
      <c r="I536" s="212" t="s">
        <v>164</v>
      </c>
      <c r="J536" s="475">
        <v>14536416</v>
      </c>
      <c r="K536" s="212" t="s">
        <v>138</v>
      </c>
      <c r="L536" s="212" t="s">
        <v>139</v>
      </c>
      <c r="M536" s="212" t="s">
        <v>44</v>
      </c>
      <c r="N536" s="212" t="s">
        <v>45</v>
      </c>
      <c r="O536" s="212" t="s">
        <v>142</v>
      </c>
      <c r="P536" s="212" t="s">
        <v>43</v>
      </c>
      <c r="R536" s="212">
        <v>578</v>
      </c>
      <c r="S536" s="490">
        <v>44313</v>
      </c>
      <c r="T536" s="486" t="s">
        <v>4363</v>
      </c>
      <c r="U536" s="475">
        <v>14536416</v>
      </c>
      <c r="V536" s="406"/>
      <c r="W536" s="362"/>
      <c r="X536" s="483" t="s">
        <v>4364</v>
      </c>
      <c r="Y536" s="484">
        <v>44322</v>
      </c>
      <c r="Z536" s="484">
        <v>44322</v>
      </c>
      <c r="AA536" s="484">
        <v>44382</v>
      </c>
      <c r="AB536" s="486" t="s">
        <v>2650</v>
      </c>
      <c r="AC536" s="483" t="s">
        <v>4365</v>
      </c>
      <c r="AD536" s="486" t="s">
        <v>4366</v>
      </c>
      <c r="AE536" s="486" t="s">
        <v>4367</v>
      </c>
      <c r="AF536" s="473">
        <v>14536416</v>
      </c>
      <c r="AG536" s="474">
        <f t="shared" si="8"/>
        <v>0</v>
      </c>
      <c r="AM536" s="212"/>
    </row>
    <row r="537" spans="1:39" ht="15.6" hidden="1" x14ac:dyDescent="0.3">
      <c r="A537" s="466" t="s">
        <v>2232</v>
      </c>
      <c r="B537" s="467">
        <v>368824461</v>
      </c>
      <c r="C537" s="468" t="s">
        <v>4368</v>
      </c>
      <c r="D537" s="469">
        <v>532</v>
      </c>
      <c r="E537" s="469">
        <v>20214000024053</v>
      </c>
      <c r="F537" s="385">
        <v>44315</v>
      </c>
      <c r="G537" s="469" t="s">
        <v>2680</v>
      </c>
      <c r="H537" s="468" t="s">
        <v>2681</v>
      </c>
      <c r="I537" s="468" t="s">
        <v>47</v>
      </c>
      <c r="J537" s="471">
        <v>304350003</v>
      </c>
      <c r="K537" s="468" t="s">
        <v>37</v>
      </c>
      <c r="L537" s="534" t="s">
        <v>3180</v>
      </c>
      <c r="M537" s="468" t="s">
        <v>44</v>
      </c>
      <c r="N537" s="468" t="s">
        <v>45</v>
      </c>
      <c r="O537" s="212" t="s">
        <v>310</v>
      </c>
      <c r="P537" s="468" t="s">
        <v>43</v>
      </c>
      <c r="Q537" s="468"/>
      <c r="R537" s="468">
        <v>581</v>
      </c>
      <c r="S537" s="528">
        <v>44315</v>
      </c>
      <c r="T537" s="529" t="s">
        <v>4369</v>
      </c>
      <c r="U537" s="471">
        <v>304350003</v>
      </c>
      <c r="V537" s="414"/>
      <c r="W537" s="379"/>
      <c r="AG537" s="474">
        <f t="shared" si="8"/>
        <v>304350003</v>
      </c>
      <c r="AI537" s="471"/>
      <c r="AJ537" s="471"/>
      <c r="AK537" s="471"/>
      <c r="AL537" s="471"/>
      <c r="AM537" s="212"/>
    </row>
    <row r="538" spans="1:39" ht="15.6" hidden="1" x14ac:dyDescent="0.3">
      <c r="D538" s="537">
        <v>532</v>
      </c>
      <c r="E538" s="478">
        <v>20214000024053</v>
      </c>
      <c r="F538" s="310">
        <v>44315</v>
      </c>
      <c r="G538" s="478" t="s">
        <v>2680</v>
      </c>
      <c r="H538" s="212" t="s">
        <v>2681</v>
      </c>
      <c r="I538" s="212" t="s">
        <v>47</v>
      </c>
      <c r="J538" s="475">
        <v>61499459</v>
      </c>
      <c r="K538" s="212" t="s">
        <v>37</v>
      </c>
      <c r="L538" s="515" t="s">
        <v>3180</v>
      </c>
      <c r="M538" s="212" t="s">
        <v>44</v>
      </c>
      <c r="N538" s="212" t="s">
        <v>45</v>
      </c>
      <c r="O538" s="212" t="s">
        <v>310</v>
      </c>
      <c r="P538" s="210" t="s">
        <v>77</v>
      </c>
      <c r="R538" s="329">
        <v>581</v>
      </c>
      <c r="S538" s="490">
        <v>44315</v>
      </c>
      <c r="T538" s="486" t="s">
        <v>4369</v>
      </c>
      <c r="U538" s="475">
        <v>61499459</v>
      </c>
      <c r="V538" s="406"/>
      <c r="W538" s="362"/>
      <c r="AG538" s="474">
        <f t="shared" si="8"/>
        <v>61499459</v>
      </c>
      <c r="AM538" s="212"/>
    </row>
    <row r="539" spans="1:39" s="312" customFormat="1" hidden="1" x14ac:dyDescent="0.3">
      <c r="A539" s="361" t="s">
        <v>1750</v>
      </c>
      <c r="B539" s="417">
        <v>330000000</v>
      </c>
      <c r="C539" s="312" t="s">
        <v>4370</v>
      </c>
      <c r="D539" s="325">
        <v>533</v>
      </c>
      <c r="E539" s="325">
        <v>20215000023943</v>
      </c>
      <c r="F539" s="315">
        <v>44315</v>
      </c>
      <c r="G539" s="325" t="s">
        <v>2640</v>
      </c>
      <c r="H539" s="312" t="s">
        <v>2641</v>
      </c>
      <c r="I539" s="312" t="s">
        <v>228</v>
      </c>
      <c r="J539" s="406">
        <v>330000000</v>
      </c>
      <c r="K539" s="312" t="s">
        <v>223</v>
      </c>
      <c r="L539" s="312" t="s">
        <v>236</v>
      </c>
      <c r="M539" s="312" t="s">
        <v>44</v>
      </c>
      <c r="N539" s="312" t="s">
        <v>45</v>
      </c>
      <c r="O539" s="312" t="s">
        <v>63</v>
      </c>
      <c r="P539" s="312" t="s">
        <v>674</v>
      </c>
      <c r="R539" s="312">
        <v>580</v>
      </c>
      <c r="S539" s="363">
        <v>44315</v>
      </c>
      <c r="T539" s="360" t="s">
        <v>4371</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3">
      <c r="A540" s="361" t="s">
        <v>1751</v>
      </c>
      <c r="B540" s="417">
        <v>251328000</v>
      </c>
      <c r="C540" s="312" t="s">
        <v>4370</v>
      </c>
      <c r="D540" s="325">
        <v>534</v>
      </c>
      <c r="E540" s="325">
        <v>20215000024063</v>
      </c>
      <c r="F540" s="315">
        <v>44315</v>
      </c>
      <c r="G540" s="325" t="s">
        <v>2640</v>
      </c>
      <c r="H540" s="312" t="s">
        <v>2641</v>
      </c>
      <c r="I540" s="312" t="s">
        <v>228</v>
      </c>
      <c r="J540" s="406">
        <v>240000000</v>
      </c>
      <c r="K540" s="312" t="s">
        <v>223</v>
      </c>
      <c r="L540" s="312" t="s">
        <v>236</v>
      </c>
      <c r="M540" s="312" t="s">
        <v>44</v>
      </c>
      <c r="N540" s="312" t="s">
        <v>45</v>
      </c>
      <c r="O540" s="312" t="s">
        <v>63</v>
      </c>
      <c r="P540" s="312" t="s">
        <v>674</v>
      </c>
      <c r="R540" s="312">
        <v>582</v>
      </c>
      <c r="S540" s="363">
        <v>44315</v>
      </c>
      <c r="T540" s="360" t="s">
        <v>4372</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3">
      <c r="A541" s="361" t="s">
        <v>2519</v>
      </c>
      <c r="B541" s="417">
        <v>96000000</v>
      </c>
      <c r="C541" s="312" t="s">
        <v>2762</v>
      </c>
      <c r="D541" s="325">
        <v>535</v>
      </c>
      <c r="E541" s="365">
        <v>20213000024133</v>
      </c>
      <c r="F541" s="315">
        <v>44315</v>
      </c>
      <c r="G541" s="325" t="s">
        <v>2640</v>
      </c>
      <c r="H541" s="312" t="s">
        <v>2641</v>
      </c>
      <c r="I541" s="312" t="s">
        <v>432</v>
      </c>
      <c r="J541" s="405">
        <v>84000000</v>
      </c>
      <c r="K541" s="312" t="s">
        <v>342</v>
      </c>
      <c r="L541" s="312" t="s">
        <v>351</v>
      </c>
      <c r="M541" s="312" t="s">
        <v>44</v>
      </c>
      <c r="N541" s="312" t="s">
        <v>45</v>
      </c>
      <c r="O541" s="312" t="s">
        <v>63</v>
      </c>
      <c r="P541" s="312" t="s">
        <v>674</v>
      </c>
      <c r="R541" s="312">
        <v>583</v>
      </c>
      <c r="S541" s="363">
        <v>44315</v>
      </c>
      <c r="T541" s="360" t="s">
        <v>4373</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3">
      <c r="A542" s="361"/>
      <c r="B542" s="417"/>
      <c r="C542" s="312" t="s">
        <v>4374</v>
      </c>
      <c r="D542" s="325">
        <v>536</v>
      </c>
      <c r="E542" s="325">
        <v>20215000024393</v>
      </c>
      <c r="F542" s="315">
        <v>44316</v>
      </c>
      <c r="G542" s="325" t="s">
        <v>2640</v>
      </c>
      <c r="H542" s="312" t="s">
        <v>2641</v>
      </c>
      <c r="I542" s="312" t="s">
        <v>228</v>
      </c>
      <c r="J542" s="406">
        <v>63655484</v>
      </c>
      <c r="K542" s="312" t="s">
        <v>223</v>
      </c>
      <c r="L542" s="312" t="s">
        <v>236</v>
      </c>
      <c r="M542" s="312" t="s">
        <v>44</v>
      </c>
      <c r="N542" s="312" t="s">
        <v>45</v>
      </c>
      <c r="O542" s="312" t="s">
        <v>63</v>
      </c>
      <c r="P542" s="312" t="s">
        <v>674</v>
      </c>
      <c r="R542" s="312">
        <v>584</v>
      </c>
      <c r="S542" s="363">
        <v>44316</v>
      </c>
      <c r="T542" s="360" t="s">
        <v>4375</v>
      </c>
      <c r="U542" s="405">
        <f>63655484-63655484</f>
        <v>0</v>
      </c>
      <c r="V542" s="406">
        <v>63655484</v>
      </c>
      <c r="W542" s="362" t="s">
        <v>1509</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3">
      <c r="A543" s="361"/>
      <c r="B543" s="417"/>
      <c r="C543" s="312" t="s">
        <v>4374</v>
      </c>
      <c r="D543" s="538">
        <v>536</v>
      </c>
      <c r="E543" s="325">
        <v>20215000024393</v>
      </c>
      <c r="F543" s="315">
        <v>44316</v>
      </c>
      <c r="G543" s="325" t="s">
        <v>2640</v>
      </c>
      <c r="H543" s="312" t="s">
        <v>2641</v>
      </c>
      <c r="I543" s="312" t="s">
        <v>228</v>
      </c>
      <c r="J543" s="405">
        <v>61344516</v>
      </c>
      <c r="K543" s="312" t="s">
        <v>223</v>
      </c>
      <c r="L543" s="312" t="s">
        <v>224</v>
      </c>
      <c r="M543" s="312" t="s">
        <v>44</v>
      </c>
      <c r="N543" s="312" t="s">
        <v>45</v>
      </c>
      <c r="O543" s="312" t="s">
        <v>63</v>
      </c>
      <c r="P543" s="312" t="s">
        <v>674</v>
      </c>
      <c r="R543" s="360">
        <v>584</v>
      </c>
      <c r="S543" s="363">
        <v>44316</v>
      </c>
      <c r="T543" s="360" t="s">
        <v>4375</v>
      </c>
      <c r="U543" s="405">
        <f>61344516-61344516</f>
        <v>0</v>
      </c>
      <c r="V543" s="406">
        <v>61344516</v>
      </c>
      <c r="W543" s="362" t="s">
        <v>4343</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3">
      <c r="A544" s="361"/>
      <c r="B544" s="417"/>
      <c r="C544" s="312" t="s">
        <v>4376</v>
      </c>
      <c r="D544" s="325">
        <v>537</v>
      </c>
      <c r="E544" s="325">
        <v>20215000024403</v>
      </c>
      <c r="F544" s="315">
        <v>44316</v>
      </c>
      <c r="G544" s="325" t="s">
        <v>2640</v>
      </c>
      <c r="H544" s="312" t="s">
        <v>2641</v>
      </c>
      <c r="I544" s="312" t="s">
        <v>228</v>
      </c>
      <c r="J544" s="406">
        <v>95200000</v>
      </c>
      <c r="K544" s="312" t="s">
        <v>223</v>
      </c>
      <c r="L544" s="312" t="s">
        <v>236</v>
      </c>
      <c r="M544" s="312" t="s">
        <v>44</v>
      </c>
      <c r="N544" s="312" t="s">
        <v>45</v>
      </c>
      <c r="O544" s="312" t="s">
        <v>63</v>
      </c>
      <c r="P544" s="312" t="s">
        <v>674</v>
      </c>
      <c r="R544" s="360">
        <v>585</v>
      </c>
      <c r="S544" s="363">
        <v>44316</v>
      </c>
      <c r="T544" s="360" t="s">
        <v>4377</v>
      </c>
      <c r="U544" s="405">
        <f>95200000-95200000</f>
        <v>0</v>
      </c>
      <c r="V544" s="406">
        <v>95200000</v>
      </c>
      <c r="W544" s="362" t="s">
        <v>1509</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3">
      <c r="A545" s="380" t="s">
        <v>1886</v>
      </c>
      <c r="B545" s="421">
        <v>490000000</v>
      </c>
      <c r="C545" s="312" t="s">
        <v>4333</v>
      </c>
      <c r="D545" s="325">
        <v>538</v>
      </c>
      <c r="E545" s="325">
        <v>20213000024583</v>
      </c>
      <c r="F545" s="315">
        <v>44320</v>
      </c>
      <c r="G545" s="325" t="s">
        <v>2640</v>
      </c>
      <c r="H545" s="312" t="s">
        <v>2641</v>
      </c>
      <c r="I545" s="312" t="s">
        <v>432</v>
      </c>
      <c r="J545" s="406">
        <v>489976150</v>
      </c>
      <c r="K545" s="312" t="s">
        <v>342</v>
      </c>
      <c r="L545" s="312" t="s">
        <v>351</v>
      </c>
      <c r="M545" s="312" t="s">
        <v>44</v>
      </c>
      <c r="N545" s="312" t="s">
        <v>45</v>
      </c>
      <c r="O545" s="312" t="s">
        <v>63</v>
      </c>
      <c r="P545" s="312" t="s">
        <v>674</v>
      </c>
      <c r="R545" s="438">
        <v>586</v>
      </c>
      <c r="S545" s="439">
        <v>44321</v>
      </c>
      <c r="T545" s="438" t="s">
        <v>4334</v>
      </c>
      <c r="U545" s="440">
        <f>489976150-489976150</f>
        <v>0</v>
      </c>
      <c r="V545" s="406">
        <v>489976150</v>
      </c>
      <c r="W545" s="362" t="s">
        <v>1509</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3">
      <c r="A546" s="476" t="s">
        <v>2036</v>
      </c>
      <c r="B546" s="477">
        <v>42400000</v>
      </c>
      <c r="C546" s="212" t="s">
        <v>2646</v>
      </c>
      <c r="D546" s="478">
        <v>539</v>
      </c>
      <c r="E546" s="478">
        <v>20215000024683</v>
      </c>
      <c r="F546" s="479">
        <v>44320</v>
      </c>
      <c r="G546" s="478" t="s">
        <v>2640</v>
      </c>
      <c r="H546" s="212" t="s">
        <v>2641</v>
      </c>
      <c r="I546" s="210" t="s">
        <v>228</v>
      </c>
      <c r="J546" s="475">
        <v>37100000</v>
      </c>
      <c r="K546" s="212" t="s">
        <v>223</v>
      </c>
      <c r="L546" s="212" t="s">
        <v>283</v>
      </c>
      <c r="M546" s="212" t="s">
        <v>44</v>
      </c>
      <c r="N546" s="212" t="s">
        <v>45</v>
      </c>
      <c r="O546" s="212" t="s">
        <v>63</v>
      </c>
      <c r="P546" s="212" t="s">
        <v>674</v>
      </c>
      <c r="R546" s="212">
        <v>587</v>
      </c>
      <c r="S546" s="490">
        <v>44321</v>
      </c>
      <c r="T546" s="486" t="s">
        <v>4378</v>
      </c>
      <c r="U546" s="475">
        <f>37100000-2800000</f>
        <v>34300000</v>
      </c>
      <c r="V546" s="406">
        <f>2800000</f>
        <v>2800000</v>
      </c>
      <c r="W546" s="362" t="s">
        <v>1509</v>
      </c>
      <c r="X546" s="483" t="s">
        <v>4379</v>
      </c>
      <c r="Y546" s="484">
        <v>44327</v>
      </c>
      <c r="Z546" s="484">
        <v>44327</v>
      </c>
      <c r="AA546" s="484">
        <v>44540</v>
      </c>
      <c r="AB546" s="486" t="s">
        <v>2650</v>
      </c>
      <c r="AC546" s="483" t="s">
        <v>4380</v>
      </c>
      <c r="AD546" s="486" t="s">
        <v>4381</v>
      </c>
      <c r="AE546" s="486" t="s">
        <v>4382</v>
      </c>
      <c r="AF546" s="473">
        <v>34300000</v>
      </c>
      <c r="AG546" s="474">
        <f t="shared" si="9"/>
        <v>0</v>
      </c>
      <c r="AM546" s="306">
        <v>3103333</v>
      </c>
    </row>
    <row r="547" spans="1:39" hidden="1" x14ac:dyDescent="0.3">
      <c r="A547" s="466" t="s">
        <v>1822</v>
      </c>
      <c r="B547" s="467">
        <v>42400000</v>
      </c>
      <c r="C547" s="212" t="s">
        <v>2646</v>
      </c>
      <c r="D547" s="469">
        <v>540</v>
      </c>
      <c r="E547" s="469">
        <v>20215000024693</v>
      </c>
      <c r="F547" s="470">
        <v>44320</v>
      </c>
      <c r="G547" s="469" t="s">
        <v>2640</v>
      </c>
      <c r="H547" s="468" t="s">
        <v>2641</v>
      </c>
      <c r="I547" s="377" t="s">
        <v>228</v>
      </c>
      <c r="J547" s="471">
        <v>37100000</v>
      </c>
      <c r="K547" s="468" t="s">
        <v>223</v>
      </c>
      <c r="L547" s="468" t="s">
        <v>283</v>
      </c>
      <c r="M547" s="468" t="s">
        <v>44</v>
      </c>
      <c r="N547" s="468" t="s">
        <v>45</v>
      </c>
      <c r="O547" s="468" t="s">
        <v>63</v>
      </c>
      <c r="P547" s="212" t="s">
        <v>674</v>
      </c>
      <c r="Q547" s="468"/>
      <c r="R547" s="468">
        <v>588</v>
      </c>
      <c r="S547" s="528">
        <v>44321</v>
      </c>
      <c r="T547" s="529" t="s">
        <v>4383</v>
      </c>
      <c r="U547" s="471">
        <f>37100000-2650000</f>
        <v>34450000</v>
      </c>
      <c r="V547" s="414">
        <v>2650000</v>
      </c>
      <c r="W547" s="307" t="s">
        <v>1509</v>
      </c>
      <c r="X547" s="483" t="s">
        <v>4113</v>
      </c>
      <c r="Y547" s="490">
        <v>44349</v>
      </c>
      <c r="Z547" s="484">
        <v>44349</v>
      </c>
      <c r="AA547" s="695">
        <v>44547</v>
      </c>
      <c r="AB547" s="536" t="s">
        <v>2650</v>
      </c>
      <c r="AC547" s="535" t="s">
        <v>4012</v>
      </c>
      <c r="AD547" s="536" t="s">
        <v>4384</v>
      </c>
      <c r="AE547" s="486" t="s">
        <v>4385</v>
      </c>
      <c r="AF547" s="692">
        <v>34450000</v>
      </c>
      <c r="AG547" s="474">
        <f t="shared" si="9"/>
        <v>0</v>
      </c>
      <c r="AI547" s="471"/>
      <c r="AJ547" s="471"/>
      <c r="AK547" s="471"/>
      <c r="AL547" s="471"/>
      <c r="AM547" s="212"/>
    </row>
    <row r="548" spans="1:39" s="312" customFormat="1" hidden="1" x14ac:dyDescent="0.3">
      <c r="A548" s="361" t="s">
        <v>2027</v>
      </c>
      <c r="B548" s="417">
        <v>58872500</v>
      </c>
      <c r="C548" s="312" t="s">
        <v>2762</v>
      </c>
      <c r="D548" s="325">
        <v>541</v>
      </c>
      <c r="E548" s="325">
        <v>20217000024933</v>
      </c>
      <c r="F548" s="315">
        <v>44321</v>
      </c>
      <c r="G548" s="325" t="s">
        <v>2647</v>
      </c>
      <c r="H548" s="312" t="s">
        <v>2648</v>
      </c>
      <c r="I548" s="312" t="s">
        <v>164</v>
      </c>
      <c r="J548" s="405">
        <v>34978251</v>
      </c>
      <c r="K548" s="312" t="s">
        <v>138</v>
      </c>
      <c r="L548" s="312" t="s">
        <v>139</v>
      </c>
      <c r="M548" s="312" t="s">
        <v>44</v>
      </c>
      <c r="N548" s="312" t="s">
        <v>45</v>
      </c>
      <c r="O548" s="312" t="s">
        <v>142</v>
      </c>
      <c r="P548" s="312" t="s">
        <v>43</v>
      </c>
      <c r="Q548" s="312" t="s">
        <v>3300</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3">
      <c r="A549" s="476" t="s">
        <v>2466</v>
      </c>
      <c r="B549" s="477">
        <v>90000000</v>
      </c>
      <c r="C549" s="212" t="s">
        <v>2646</v>
      </c>
      <c r="D549" s="478">
        <v>542</v>
      </c>
      <c r="E549" s="478">
        <v>20213000024983</v>
      </c>
      <c r="F549" s="479">
        <v>44322</v>
      </c>
      <c r="G549" s="478" t="s">
        <v>2640</v>
      </c>
      <c r="H549" s="212" t="s">
        <v>2641</v>
      </c>
      <c r="I549" s="212" t="s">
        <v>432</v>
      </c>
      <c r="J549" s="475">
        <v>90000000</v>
      </c>
      <c r="K549" s="212" t="s">
        <v>342</v>
      </c>
      <c r="L549" s="212" t="s">
        <v>351</v>
      </c>
      <c r="M549" s="212" t="s">
        <v>44</v>
      </c>
      <c r="N549" s="212" t="s">
        <v>45</v>
      </c>
      <c r="O549" s="212" t="s">
        <v>63</v>
      </c>
      <c r="P549" s="212" t="s">
        <v>674</v>
      </c>
      <c r="R549" s="212">
        <v>590</v>
      </c>
      <c r="S549" s="490">
        <v>44323</v>
      </c>
      <c r="T549" s="486" t="s">
        <v>4386</v>
      </c>
      <c r="U549" s="475">
        <v>90000000</v>
      </c>
      <c r="V549" s="406"/>
      <c r="X549" s="483" t="s">
        <v>4387</v>
      </c>
      <c r="Y549" s="484">
        <v>44357</v>
      </c>
      <c r="Z549" s="484">
        <v>44357</v>
      </c>
      <c r="AA549" s="696">
        <v>44478</v>
      </c>
      <c r="AB549" s="486" t="s">
        <v>2650</v>
      </c>
      <c r="AC549" s="483" t="s">
        <v>4004</v>
      </c>
      <c r="AD549" s="486" t="s">
        <v>4388</v>
      </c>
      <c r="AE549" s="486" t="s">
        <v>4389</v>
      </c>
      <c r="AF549" s="496">
        <v>60000000</v>
      </c>
      <c r="AG549" s="474">
        <f t="shared" si="9"/>
        <v>30000000</v>
      </c>
      <c r="AM549" s="212"/>
    </row>
    <row r="550" spans="1:39" ht="15.6" hidden="1" x14ac:dyDescent="0.3">
      <c r="B550" s="477" t="s">
        <v>4390</v>
      </c>
      <c r="C550" s="212" t="s">
        <v>4391</v>
      </c>
      <c r="D550" s="478">
        <v>543</v>
      </c>
      <c r="E550" s="478">
        <v>20214000025163</v>
      </c>
      <c r="F550" s="479">
        <v>44322</v>
      </c>
      <c r="G550" s="478" t="s">
        <v>2680</v>
      </c>
      <c r="H550" s="212" t="s">
        <v>2681</v>
      </c>
      <c r="I550" s="212" t="s">
        <v>47</v>
      </c>
      <c r="J550" s="480">
        <v>190741417</v>
      </c>
      <c r="K550" s="212" t="s">
        <v>37</v>
      </c>
      <c r="L550" s="515" t="s">
        <v>2682</v>
      </c>
      <c r="M550" s="212" t="s">
        <v>44</v>
      </c>
      <c r="N550" s="212" t="s">
        <v>45</v>
      </c>
      <c r="O550" s="212" t="s">
        <v>310</v>
      </c>
      <c r="P550" s="212" t="s">
        <v>43</v>
      </c>
      <c r="R550" s="212">
        <v>591</v>
      </c>
      <c r="S550" s="490">
        <v>44323</v>
      </c>
      <c r="T550" s="486" t="s">
        <v>4392</v>
      </c>
      <c r="U550" s="475">
        <v>190741417</v>
      </c>
      <c r="V550" s="406"/>
      <c r="W550" s="362"/>
      <c r="X550" s="308" t="s">
        <v>4393</v>
      </c>
      <c r="Y550" s="484">
        <v>44342</v>
      </c>
      <c r="Z550" s="484">
        <v>44342</v>
      </c>
      <c r="AA550" s="484">
        <v>44469</v>
      </c>
      <c r="AB550" s="486" t="s">
        <v>2837</v>
      </c>
      <c r="AC550" s="483" t="s">
        <v>3867</v>
      </c>
      <c r="AD550" s="486" t="s">
        <v>4394</v>
      </c>
      <c r="AE550" s="486" t="s">
        <v>2838</v>
      </c>
      <c r="AF550" s="473">
        <v>190741417</v>
      </c>
      <c r="AG550" s="474">
        <f t="shared" si="9"/>
        <v>0</v>
      </c>
      <c r="AM550" s="212"/>
    </row>
    <row r="551" spans="1:39" hidden="1" x14ac:dyDescent="0.3">
      <c r="A551" s="466" t="s">
        <v>2463</v>
      </c>
      <c r="B551" s="467">
        <v>42000000</v>
      </c>
      <c r="C551" s="212" t="s">
        <v>2646</v>
      </c>
      <c r="D551" s="469">
        <v>544</v>
      </c>
      <c r="E551" s="469">
        <v>20213000025263</v>
      </c>
      <c r="F551" s="470">
        <v>44326</v>
      </c>
      <c r="G551" s="469" t="s">
        <v>2640</v>
      </c>
      <c r="H551" s="468" t="s">
        <v>2641</v>
      </c>
      <c r="I551" s="468" t="s">
        <v>432</v>
      </c>
      <c r="J551" s="471">
        <v>29981358</v>
      </c>
      <c r="K551" s="468" t="s">
        <v>342</v>
      </c>
      <c r="L551" s="468" t="s">
        <v>351</v>
      </c>
      <c r="M551" s="468" t="s">
        <v>44</v>
      </c>
      <c r="N551" s="468" t="s">
        <v>45</v>
      </c>
      <c r="O551" s="468" t="s">
        <v>63</v>
      </c>
      <c r="P551" s="212" t="s">
        <v>674</v>
      </c>
      <c r="Q551" s="468"/>
      <c r="R551" s="468">
        <v>599</v>
      </c>
      <c r="S551" s="528">
        <v>44328</v>
      </c>
      <c r="T551" s="529" t="s">
        <v>4395</v>
      </c>
      <c r="U551" s="471">
        <v>29981358</v>
      </c>
      <c r="V551" s="414"/>
      <c r="X551" s="483" t="s">
        <v>4396</v>
      </c>
      <c r="Y551" s="484">
        <v>44351</v>
      </c>
      <c r="Z551" s="484">
        <v>44351</v>
      </c>
      <c r="AA551" s="696">
        <v>44533</v>
      </c>
      <c r="AB551" s="486" t="s">
        <v>2650</v>
      </c>
      <c r="AC551" s="483" t="s">
        <v>4097</v>
      </c>
      <c r="AD551" s="486" t="s">
        <v>4397</v>
      </c>
      <c r="AE551" s="486" t="s">
        <v>4398</v>
      </c>
      <c r="AF551" s="496">
        <v>24530202</v>
      </c>
      <c r="AG551" s="474">
        <f t="shared" si="9"/>
        <v>5451156</v>
      </c>
      <c r="AI551" s="471"/>
      <c r="AJ551" s="471"/>
      <c r="AK551" s="471"/>
      <c r="AL551" s="471"/>
      <c r="AM551" s="212"/>
    </row>
    <row r="552" spans="1:39" hidden="1" x14ac:dyDescent="0.3">
      <c r="B552" s="477" t="s">
        <v>4399</v>
      </c>
      <c r="C552" s="212" t="s">
        <v>4400</v>
      </c>
      <c r="D552" s="478">
        <v>545</v>
      </c>
      <c r="E552" s="478">
        <v>20213000025353</v>
      </c>
      <c r="F552" s="479">
        <v>44326</v>
      </c>
      <c r="G552" s="478" t="s">
        <v>2640</v>
      </c>
      <c r="H552" s="212" t="s">
        <v>2641</v>
      </c>
      <c r="I552" s="212" t="s">
        <v>432</v>
      </c>
      <c r="J552" s="475">
        <v>1416000</v>
      </c>
      <c r="K552" s="212" t="s">
        <v>342</v>
      </c>
      <c r="L552" s="212" t="s">
        <v>351</v>
      </c>
      <c r="M552" s="212" t="s">
        <v>44</v>
      </c>
      <c r="N552" s="212" t="s">
        <v>4401</v>
      </c>
      <c r="O552" s="212" t="s">
        <v>255</v>
      </c>
      <c r="P552" s="212" t="s">
        <v>4402</v>
      </c>
      <c r="R552" s="212">
        <v>603</v>
      </c>
      <c r="S552" s="490">
        <v>44328</v>
      </c>
      <c r="T552" s="486" t="s">
        <v>4403</v>
      </c>
      <c r="U552" s="475">
        <v>1416000</v>
      </c>
      <c r="V552" s="406"/>
      <c r="W552" s="362"/>
      <c r="X552" s="483" t="s">
        <v>4404</v>
      </c>
      <c r="Y552" s="484">
        <v>44334</v>
      </c>
      <c r="Z552" s="484">
        <v>44334</v>
      </c>
      <c r="AA552" s="484">
        <v>44561</v>
      </c>
      <c r="AB552" s="486" t="s">
        <v>3106</v>
      </c>
      <c r="AC552" s="483" t="s">
        <v>3683</v>
      </c>
      <c r="AD552" s="486" t="s">
        <v>4405</v>
      </c>
      <c r="AE552" s="486" t="s">
        <v>4406</v>
      </c>
      <c r="AF552" s="473">
        <v>1416000</v>
      </c>
      <c r="AG552" s="474">
        <f t="shared" si="9"/>
        <v>0</v>
      </c>
      <c r="AM552" s="306">
        <v>1416000</v>
      </c>
    </row>
    <row r="553" spans="1:39" hidden="1" x14ac:dyDescent="0.3">
      <c r="C553" s="212" t="s">
        <v>4400</v>
      </c>
      <c r="D553" s="478">
        <v>545</v>
      </c>
      <c r="E553" s="478">
        <v>20213000025353</v>
      </c>
      <c r="F553" s="479">
        <v>44326</v>
      </c>
      <c r="G553" s="478" t="s">
        <v>2640</v>
      </c>
      <c r="H553" s="212" t="s">
        <v>2641</v>
      </c>
      <c r="I553" s="212" t="s">
        <v>432</v>
      </c>
      <c r="J553" s="475">
        <v>90888000</v>
      </c>
      <c r="K553" s="212" t="s">
        <v>342</v>
      </c>
      <c r="L553" s="212" t="s">
        <v>351</v>
      </c>
      <c r="M553" s="212" t="s">
        <v>44</v>
      </c>
      <c r="N553" s="212" t="s">
        <v>4401</v>
      </c>
      <c r="O553" s="212" t="s">
        <v>255</v>
      </c>
      <c r="P553" s="212" t="s">
        <v>4407</v>
      </c>
      <c r="R553" s="329">
        <v>603</v>
      </c>
      <c r="S553" s="490">
        <v>44328</v>
      </c>
      <c r="T553" s="486" t="s">
        <v>4403</v>
      </c>
      <c r="U553" s="475">
        <v>90888000</v>
      </c>
      <c r="V553" s="406"/>
      <c r="W553" s="362"/>
      <c r="X553" s="483" t="s">
        <v>4404</v>
      </c>
      <c r="Y553" s="484">
        <v>44334</v>
      </c>
      <c r="Z553" s="484">
        <v>44334</v>
      </c>
      <c r="AA553" s="484">
        <v>44561</v>
      </c>
      <c r="AB553" s="486" t="s">
        <v>3106</v>
      </c>
      <c r="AC553" s="483" t="s">
        <v>3683</v>
      </c>
      <c r="AD553" s="486" t="s">
        <v>4405</v>
      </c>
      <c r="AE553" s="486" t="s">
        <v>4406</v>
      </c>
      <c r="AF553" s="473">
        <v>90888000</v>
      </c>
      <c r="AG553" s="474">
        <f t="shared" si="9"/>
        <v>0</v>
      </c>
      <c r="AM553" s="306">
        <v>90888000</v>
      </c>
    </row>
    <row r="554" spans="1:39" hidden="1" x14ac:dyDescent="0.3">
      <c r="C554" s="212" t="s">
        <v>4400</v>
      </c>
      <c r="D554" s="386">
        <v>545</v>
      </c>
      <c r="E554" s="478">
        <v>20213000025353</v>
      </c>
      <c r="F554" s="479">
        <v>44326</v>
      </c>
      <c r="G554" s="478" t="s">
        <v>2640</v>
      </c>
      <c r="H554" s="212" t="s">
        <v>2641</v>
      </c>
      <c r="I554" s="212" t="s">
        <v>432</v>
      </c>
      <c r="J554" s="475">
        <v>23964000</v>
      </c>
      <c r="K554" s="212" t="s">
        <v>342</v>
      </c>
      <c r="L554" s="212" t="s">
        <v>351</v>
      </c>
      <c r="M554" s="212" t="s">
        <v>44</v>
      </c>
      <c r="N554" s="212" t="s">
        <v>4401</v>
      </c>
      <c r="O554" s="212" t="s">
        <v>255</v>
      </c>
      <c r="P554" s="212" t="s">
        <v>4408</v>
      </c>
      <c r="R554" s="329">
        <v>603</v>
      </c>
      <c r="S554" s="490">
        <v>44328</v>
      </c>
      <c r="T554" s="486" t="s">
        <v>4403</v>
      </c>
      <c r="U554" s="475">
        <v>23964000</v>
      </c>
      <c r="V554" s="406"/>
      <c r="W554" s="362"/>
      <c r="X554" s="483" t="s">
        <v>4404</v>
      </c>
      <c r="Y554" s="484">
        <v>44334</v>
      </c>
      <c r="Z554" s="484">
        <v>44334</v>
      </c>
      <c r="AA554" s="484">
        <v>44561</v>
      </c>
      <c r="AB554" s="486" t="s">
        <v>3106</v>
      </c>
      <c r="AC554" s="483" t="s">
        <v>3683</v>
      </c>
      <c r="AD554" s="486" t="s">
        <v>4405</v>
      </c>
      <c r="AE554" s="486" t="s">
        <v>4406</v>
      </c>
      <c r="AF554" s="473">
        <v>23964000</v>
      </c>
      <c r="AG554" s="474">
        <f t="shared" si="9"/>
        <v>0</v>
      </c>
      <c r="AM554" s="306">
        <v>23964000</v>
      </c>
    </row>
    <row r="555" spans="1:39" hidden="1" x14ac:dyDescent="0.3">
      <c r="A555" s="476" t="s">
        <v>2441</v>
      </c>
      <c r="B555" s="477">
        <v>37500000</v>
      </c>
      <c r="C555" s="212" t="s">
        <v>2646</v>
      </c>
      <c r="D555" s="478">
        <v>546</v>
      </c>
      <c r="E555" s="478">
        <v>20215000025453</v>
      </c>
      <c r="F555" s="479">
        <v>44326</v>
      </c>
      <c r="G555" s="478" t="s">
        <v>2640</v>
      </c>
      <c r="H555" s="212" t="s">
        <v>2641</v>
      </c>
      <c r="I555" s="210" t="s">
        <v>228</v>
      </c>
      <c r="J555" s="475">
        <v>37500000</v>
      </c>
      <c r="K555" s="212" t="s">
        <v>223</v>
      </c>
      <c r="L555" s="212" t="s">
        <v>2758</v>
      </c>
      <c r="M555" s="212" t="s">
        <v>44</v>
      </c>
      <c r="N555" s="212" t="s">
        <v>45</v>
      </c>
      <c r="O555" s="212" t="s">
        <v>63</v>
      </c>
      <c r="P555" s="212" t="s">
        <v>674</v>
      </c>
      <c r="R555" s="212">
        <v>601</v>
      </c>
      <c r="S555" s="490">
        <v>44328</v>
      </c>
      <c r="T555" s="486" t="s">
        <v>4409</v>
      </c>
      <c r="U555" s="475">
        <f>37500000-400000</f>
        <v>37100000</v>
      </c>
      <c r="V555" s="406">
        <v>400000</v>
      </c>
      <c r="W555" s="678" t="s">
        <v>1509</v>
      </c>
      <c r="X555" s="483" t="s">
        <v>4410</v>
      </c>
      <c r="Y555" s="484">
        <v>44344</v>
      </c>
      <c r="Z555" s="484">
        <v>44344</v>
      </c>
      <c r="AA555" s="484">
        <v>44557</v>
      </c>
      <c r="AB555" s="486" t="s">
        <v>2650</v>
      </c>
      <c r="AC555" s="483" t="s">
        <v>4034</v>
      </c>
      <c r="AD555" s="486" t="s">
        <v>4411</v>
      </c>
      <c r="AE555" s="486" t="s">
        <v>4412</v>
      </c>
      <c r="AF555" s="473">
        <v>37100000</v>
      </c>
      <c r="AG555" s="474">
        <f t="shared" si="9"/>
        <v>0</v>
      </c>
      <c r="AM555" s="212"/>
    </row>
    <row r="556" spans="1:39" hidden="1" x14ac:dyDescent="0.3">
      <c r="A556" s="466" t="s">
        <v>2027</v>
      </c>
      <c r="B556" s="467">
        <v>58872500</v>
      </c>
      <c r="C556" s="212" t="s">
        <v>2646</v>
      </c>
      <c r="D556" s="469">
        <v>547</v>
      </c>
      <c r="E556" s="469">
        <v>20217000025233</v>
      </c>
      <c r="F556" s="470">
        <v>44326</v>
      </c>
      <c r="G556" s="469" t="s">
        <v>2647</v>
      </c>
      <c r="H556" s="468" t="s">
        <v>2648</v>
      </c>
      <c r="I556" s="468" t="s">
        <v>164</v>
      </c>
      <c r="J556" s="471">
        <v>50877456</v>
      </c>
      <c r="K556" s="468" t="s">
        <v>138</v>
      </c>
      <c r="L556" s="468" t="s">
        <v>139</v>
      </c>
      <c r="M556" s="468" t="s">
        <v>44</v>
      </c>
      <c r="N556" s="468" t="s">
        <v>45</v>
      </c>
      <c r="O556" s="468" t="s">
        <v>142</v>
      </c>
      <c r="P556" s="468" t="s">
        <v>43</v>
      </c>
      <c r="Q556" s="468"/>
      <c r="R556" s="468">
        <v>600</v>
      </c>
      <c r="S556" s="528">
        <v>44328</v>
      </c>
      <c r="T556" s="529" t="s">
        <v>4413</v>
      </c>
      <c r="U556" s="471">
        <v>50877456</v>
      </c>
      <c r="V556" s="414"/>
      <c r="X556" s="483" t="s">
        <v>4414</v>
      </c>
      <c r="Y556" s="484">
        <v>44351</v>
      </c>
      <c r="Z556" s="484">
        <v>44351</v>
      </c>
      <c r="AA556" s="696">
        <v>44558</v>
      </c>
      <c r="AB556" s="486" t="s">
        <v>2650</v>
      </c>
      <c r="AC556" s="483" t="s">
        <v>3561</v>
      </c>
      <c r="AD556" s="486" t="s">
        <v>3826</v>
      </c>
      <c r="AE556" s="486" t="s">
        <v>3827</v>
      </c>
      <c r="AF556" s="496">
        <v>49666088</v>
      </c>
      <c r="AG556" s="474">
        <f t="shared" si="9"/>
        <v>1211368</v>
      </c>
      <c r="AI556" s="471"/>
      <c r="AJ556" s="471"/>
      <c r="AK556" s="471"/>
      <c r="AL556" s="471"/>
      <c r="AM556" s="212"/>
    </row>
    <row r="557" spans="1:39" hidden="1" x14ac:dyDescent="0.3">
      <c r="A557" s="476" t="s">
        <v>2300</v>
      </c>
      <c r="B557" s="477">
        <v>59000000</v>
      </c>
      <c r="C557" s="212" t="s">
        <v>4415</v>
      </c>
      <c r="D557" s="478">
        <v>548</v>
      </c>
      <c r="E557" s="478">
        <v>20211400025543</v>
      </c>
      <c r="F557" s="479">
        <v>44327</v>
      </c>
      <c r="G557" s="478" t="s">
        <v>2647</v>
      </c>
      <c r="H557" s="212" t="s">
        <v>2648</v>
      </c>
      <c r="I557" s="212" t="s">
        <v>184</v>
      </c>
      <c r="J557" s="475">
        <v>59000000</v>
      </c>
      <c r="K557" s="212" t="s">
        <v>138</v>
      </c>
      <c r="L557" s="212" t="s">
        <v>181</v>
      </c>
      <c r="M557" s="212" t="s">
        <v>2842</v>
      </c>
      <c r="N557" s="212" t="s">
        <v>157</v>
      </c>
      <c r="O557" s="212" t="s">
        <v>158</v>
      </c>
      <c r="P557" s="212" t="s">
        <v>43</v>
      </c>
      <c r="R557" s="212">
        <v>594</v>
      </c>
      <c r="S557" s="490">
        <v>44327</v>
      </c>
      <c r="T557" s="486" t="s">
        <v>4416</v>
      </c>
      <c r="U557" s="475">
        <v>59000000</v>
      </c>
      <c r="V557" s="406"/>
      <c r="W557" s="362"/>
      <c r="AG557" s="474">
        <f t="shared" si="9"/>
        <v>59000000</v>
      </c>
      <c r="AM557" s="212"/>
    </row>
    <row r="558" spans="1:39" hidden="1" x14ac:dyDescent="0.3">
      <c r="A558" s="476" t="s">
        <v>2443</v>
      </c>
      <c r="B558" s="477">
        <v>292754108</v>
      </c>
      <c r="C558" s="212" t="s">
        <v>4417</v>
      </c>
      <c r="D558" s="478">
        <v>549</v>
      </c>
      <c r="E558" s="478">
        <v>20211400025523</v>
      </c>
      <c r="F558" s="479">
        <v>44327</v>
      </c>
      <c r="G558" s="478" t="s">
        <v>2647</v>
      </c>
      <c r="H558" s="212" t="s">
        <v>2648</v>
      </c>
      <c r="I558" s="212" t="s">
        <v>184</v>
      </c>
      <c r="J558" s="475">
        <v>292754108</v>
      </c>
      <c r="K558" s="212" t="s">
        <v>138</v>
      </c>
      <c r="L558" s="212" t="s">
        <v>181</v>
      </c>
      <c r="M558" s="212" t="s">
        <v>2842</v>
      </c>
      <c r="N558" s="212" t="s">
        <v>157</v>
      </c>
      <c r="O558" s="212" t="s">
        <v>158</v>
      </c>
      <c r="P558" s="212" t="s">
        <v>43</v>
      </c>
      <c r="R558" s="212">
        <v>593</v>
      </c>
      <c r="S558" s="490">
        <v>44327</v>
      </c>
      <c r="T558" s="486" t="s">
        <v>4418</v>
      </c>
      <c r="U558" s="475">
        <v>292754108</v>
      </c>
      <c r="V558" s="406"/>
      <c r="X558" s="530" t="s">
        <v>4419</v>
      </c>
      <c r="Y558" s="491">
        <v>44372</v>
      </c>
      <c r="Z558" s="491">
        <v>44372</v>
      </c>
      <c r="AA558" s="697">
        <v>44561</v>
      </c>
      <c r="AB558" s="493" t="s">
        <v>3281</v>
      </c>
      <c r="AC558" s="530" t="s">
        <v>3449</v>
      </c>
      <c r="AD558" s="486" t="s">
        <v>3283</v>
      </c>
      <c r="AE558" s="486" t="s">
        <v>2843</v>
      </c>
      <c r="AF558" s="496">
        <v>292754108</v>
      </c>
      <c r="AG558" s="474">
        <f t="shared" si="9"/>
        <v>0</v>
      </c>
      <c r="AM558" s="212"/>
    </row>
    <row r="559" spans="1:39" ht="15.6" hidden="1" x14ac:dyDescent="0.3">
      <c r="A559" s="476" t="s">
        <v>2581</v>
      </c>
      <c r="B559" s="477">
        <v>52500000</v>
      </c>
      <c r="C559" s="212" t="s">
        <v>2646</v>
      </c>
      <c r="D559" s="478">
        <v>550</v>
      </c>
      <c r="E559" s="478">
        <v>20214000025633</v>
      </c>
      <c r="F559" s="479">
        <v>44327</v>
      </c>
      <c r="G559" s="478" t="s">
        <v>2680</v>
      </c>
      <c r="H559" s="212" t="s">
        <v>2681</v>
      </c>
      <c r="I559" s="212" t="s">
        <v>47</v>
      </c>
      <c r="J559" s="480">
        <v>49000000</v>
      </c>
      <c r="K559" s="212" t="s">
        <v>37</v>
      </c>
      <c r="L559" s="515" t="s">
        <v>2682</v>
      </c>
      <c r="M559" s="212" t="s">
        <v>44</v>
      </c>
      <c r="N559" s="212" t="s">
        <v>45</v>
      </c>
      <c r="O559" s="212" t="s">
        <v>310</v>
      </c>
      <c r="P559" s="212" t="s">
        <v>43</v>
      </c>
      <c r="R559" s="212">
        <v>597</v>
      </c>
      <c r="S559" s="490">
        <v>44327</v>
      </c>
      <c r="T559" s="486" t="s">
        <v>4420</v>
      </c>
      <c r="U559" s="475">
        <v>49000000</v>
      </c>
      <c r="V559" s="406"/>
      <c r="W559" s="362"/>
      <c r="X559" s="483" t="s">
        <v>4421</v>
      </c>
      <c r="Y559" s="484">
        <v>44336</v>
      </c>
      <c r="Z559" s="484">
        <v>44336</v>
      </c>
      <c r="AA559" s="484">
        <v>44549</v>
      </c>
      <c r="AB559" s="486" t="s">
        <v>2650</v>
      </c>
      <c r="AC559" s="483" t="s">
        <v>4172</v>
      </c>
      <c r="AD559" s="486" t="s">
        <v>4422</v>
      </c>
      <c r="AE559" s="486" t="s">
        <v>4423</v>
      </c>
      <c r="AF559" s="473">
        <v>49000000</v>
      </c>
      <c r="AG559" s="474">
        <f t="shared" si="9"/>
        <v>0</v>
      </c>
      <c r="AM559" s="306">
        <v>2566667</v>
      </c>
    </row>
    <row r="560" spans="1:39" hidden="1" x14ac:dyDescent="0.3">
      <c r="A560" s="466" t="s">
        <v>2448</v>
      </c>
      <c r="B560" s="467">
        <v>18600000</v>
      </c>
      <c r="C560" s="212" t="s">
        <v>2646</v>
      </c>
      <c r="D560" s="469">
        <v>551</v>
      </c>
      <c r="E560" s="469">
        <v>20217000025593</v>
      </c>
      <c r="F560" s="470">
        <v>44327</v>
      </c>
      <c r="G560" s="469" t="s">
        <v>2647</v>
      </c>
      <c r="H560" s="468" t="s">
        <v>2648</v>
      </c>
      <c r="I560" s="468" t="s">
        <v>164</v>
      </c>
      <c r="J560" s="471">
        <v>14536416</v>
      </c>
      <c r="K560" s="468" t="s">
        <v>138</v>
      </c>
      <c r="L560" s="468" t="s">
        <v>139</v>
      </c>
      <c r="M560" s="468" t="s">
        <v>44</v>
      </c>
      <c r="N560" s="468" t="s">
        <v>45</v>
      </c>
      <c r="O560" s="468" t="s">
        <v>142</v>
      </c>
      <c r="P560" s="468" t="s">
        <v>43</v>
      </c>
      <c r="Q560" s="468"/>
      <c r="R560" s="468">
        <v>595</v>
      </c>
      <c r="S560" s="528">
        <v>44327</v>
      </c>
      <c r="T560" s="529" t="s">
        <v>4424</v>
      </c>
      <c r="U560" s="471">
        <v>14536416</v>
      </c>
      <c r="V560" s="414"/>
      <c r="X560" s="483" t="s">
        <v>4425</v>
      </c>
      <c r="Y560" s="484">
        <v>44351</v>
      </c>
      <c r="Z560" s="484">
        <v>44351</v>
      </c>
      <c r="AA560" s="696">
        <v>44472</v>
      </c>
      <c r="AB560" s="486" t="s">
        <v>2650</v>
      </c>
      <c r="AC560" s="483" t="s">
        <v>3777</v>
      </c>
      <c r="AD560" s="486" t="s">
        <v>3963</v>
      </c>
      <c r="AE560" s="486" t="s">
        <v>3964</v>
      </c>
      <c r="AF560" s="496">
        <v>14536416</v>
      </c>
      <c r="AG560" s="474">
        <f t="shared" si="9"/>
        <v>0</v>
      </c>
      <c r="AI560" s="471"/>
      <c r="AJ560" s="471"/>
      <c r="AK560" s="471"/>
      <c r="AL560" s="471"/>
      <c r="AM560" s="212"/>
    </row>
    <row r="561" spans="1:39" hidden="1" x14ac:dyDescent="0.3">
      <c r="A561" s="476" t="s">
        <v>2203</v>
      </c>
      <c r="B561" s="477">
        <v>40000000</v>
      </c>
      <c r="C561" s="212" t="s">
        <v>2646</v>
      </c>
      <c r="D561" s="478">
        <v>552</v>
      </c>
      <c r="E561" s="478">
        <v>20211200025623</v>
      </c>
      <c r="F561" s="479">
        <v>44327</v>
      </c>
      <c r="G561" s="478" t="s">
        <v>2647</v>
      </c>
      <c r="H561" s="212" t="s">
        <v>2648</v>
      </c>
      <c r="I561" s="212" t="s">
        <v>143</v>
      </c>
      <c r="J561" s="475">
        <v>15000000</v>
      </c>
      <c r="K561" s="212" t="s">
        <v>138</v>
      </c>
      <c r="L561" s="212" t="s">
        <v>139</v>
      </c>
      <c r="M561" s="212" t="s">
        <v>44</v>
      </c>
      <c r="N561" s="212" t="s">
        <v>45</v>
      </c>
      <c r="O561" s="212" t="s">
        <v>142</v>
      </c>
      <c r="P561" s="212" t="s">
        <v>43</v>
      </c>
      <c r="R561" s="212">
        <v>596</v>
      </c>
      <c r="S561" s="490">
        <v>44327</v>
      </c>
      <c r="T561" s="486" t="s">
        <v>4426</v>
      </c>
      <c r="U561" s="475">
        <v>15000000</v>
      </c>
      <c r="V561" s="406"/>
      <c r="W561" s="362"/>
      <c r="X561" s="483" t="s">
        <v>4427</v>
      </c>
      <c r="Y561" s="484">
        <v>44337</v>
      </c>
      <c r="Z561" s="484">
        <v>44337</v>
      </c>
      <c r="AA561" s="484">
        <v>44428</v>
      </c>
      <c r="AB561" s="486" t="s">
        <v>2650</v>
      </c>
      <c r="AC561" s="483" t="s">
        <v>3584</v>
      </c>
      <c r="AD561" s="486" t="s">
        <v>4428</v>
      </c>
      <c r="AE561" s="486" t="s">
        <v>4429</v>
      </c>
      <c r="AF561" s="473">
        <v>15000000</v>
      </c>
      <c r="AG561" s="474">
        <f t="shared" si="9"/>
        <v>0</v>
      </c>
      <c r="AM561" s="306">
        <v>1666667</v>
      </c>
    </row>
    <row r="562" spans="1:39" hidden="1" x14ac:dyDescent="0.3">
      <c r="A562" s="476" t="s">
        <v>1944</v>
      </c>
      <c r="B562" s="477">
        <v>34850000</v>
      </c>
      <c r="C562" s="212" t="s">
        <v>2646</v>
      </c>
      <c r="D562" s="478">
        <v>553</v>
      </c>
      <c r="E562" s="478">
        <v>20212000025663</v>
      </c>
      <c r="F562" s="479">
        <v>44327</v>
      </c>
      <c r="G562" s="478" t="s">
        <v>2640</v>
      </c>
      <c r="H562" s="212" t="s">
        <v>2641</v>
      </c>
      <c r="I562" s="212" t="s">
        <v>391</v>
      </c>
      <c r="J562" s="475">
        <v>30660000</v>
      </c>
      <c r="K562" s="210" t="s">
        <v>2711</v>
      </c>
      <c r="L562" s="212" t="s">
        <v>2712</v>
      </c>
      <c r="M562" s="210" t="s">
        <v>44</v>
      </c>
      <c r="N562" s="210" t="s">
        <v>45</v>
      </c>
      <c r="O562" s="212" t="s">
        <v>63</v>
      </c>
      <c r="P562" s="212" t="s">
        <v>674</v>
      </c>
      <c r="R562" s="212">
        <v>607</v>
      </c>
      <c r="S562" s="490">
        <v>44329</v>
      </c>
      <c r="T562" s="486" t="s">
        <v>4430</v>
      </c>
      <c r="U562" s="475">
        <v>30660000</v>
      </c>
      <c r="V562" s="406"/>
      <c r="W562" s="362"/>
      <c r="X562" s="308">
        <v>557</v>
      </c>
      <c r="Y562" s="472">
        <v>44343</v>
      </c>
      <c r="Z562" s="484">
        <v>44343</v>
      </c>
      <c r="AA562" s="484">
        <v>44556</v>
      </c>
      <c r="AB562" s="486" t="s">
        <v>2650</v>
      </c>
      <c r="AC562" s="483" t="s">
        <v>4046</v>
      </c>
      <c r="AD562" s="486" t="s">
        <v>4431</v>
      </c>
      <c r="AE562" s="486" t="s">
        <v>4432</v>
      </c>
      <c r="AF562" s="473">
        <v>28616000</v>
      </c>
      <c r="AG562" s="474">
        <f t="shared" si="9"/>
        <v>2044000</v>
      </c>
      <c r="AM562" s="212"/>
    </row>
    <row r="563" spans="1:39" hidden="1" x14ac:dyDescent="0.3">
      <c r="A563" s="466" t="s">
        <v>2450</v>
      </c>
      <c r="B563" s="467">
        <v>17025000</v>
      </c>
      <c r="C563" s="212" t="s">
        <v>2646</v>
      </c>
      <c r="D563" s="469">
        <v>554</v>
      </c>
      <c r="E563" s="469">
        <v>20212000025673</v>
      </c>
      <c r="F563" s="470">
        <v>44327</v>
      </c>
      <c r="G563" s="469" t="s">
        <v>2640</v>
      </c>
      <c r="H563" s="468" t="s">
        <v>2641</v>
      </c>
      <c r="I563" s="468" t="s">
        <v>391</v>
      </c>
      <c r="J563" s="471">
        <v>17025000</v>
      </c>
      <c r="K563" s="377" t="s">
        <v>2711</v>
      </c>
      <c r="L563" s="468" t="s">
        <v>2712</v>
      </c>
      <c r="M563" s="377" t="s">
        <v>44</v>
      </c>
      <c r="N563" s="377" t="s">
        <v>45</v>
      </c>
      <c r="O563" s="468" t="s">
        <v>63</v>
      </c>
      <c r="P563" s="212" t="s">
        <v>674</v>
      </c>
      <c r="Q563" s="468"/>
      <c r="R563" s="468">
        <v>608</v>
      </c>
      <c r="S563" s="528">
        <v>44329</v>
      </c>
      <c r="T563" s="529" t="s">
        <v>4433</v>
      </c>
      <c r="U563" s="471">
        <v>17025000</v>
      </c>
      <c r="V563" s="414"/>
      <c r="X563" s="483" t="s">
        <v>4434</v>
      </c>
      <c r="Y563" s="484">
        <v>44355</v>
      </c>
      <c r="Z563" s="484">
        <v>44355</v>
      </c>
      <c r="AA563" s="696">
        <v>44554</v>
      </c>
      <c r="AB563" s="486" t="s">
        <v>2650</v>
      </c>
      <c r="AC563" s="483" t="s">
        <v>4001</v>
      </c>
      <c r="AD563" s="486" t="s">
        <v>4435</v>
      </c>
      <c r="AE563" s="486" t="s">
        <v>4436</v>
      </c>
      <c r="AF563" s="496">
        <v>14755000</v>
      </c>
      <c r="AG563" s="474">
        <f t="shared" si="9"/>
        <v>2270000</v>
      </c>
      <c r="AI563" s="471"/>
      <c r="AJ563" s="471"/>
      <c r="AK563" s="471"/>
      <c r="AL563" s="471"/>
      <c r="AM563" s="212"/>
    </row>
    <row r="564" spans="1:39" hidden="1" x14ac:dyDescent="0.3">
      <c r="A564" s="476" t="s">
        <v>2451</v>
      </c>
      <c r="B564" s="477">
        <v>42075000</v>
      </c>
      <c r="C564" s="212" t="s">
        <v>2646</v>
      </c>
      <c r="D564" s="478">
        <v>555</v>
      </c>
      <c r="E564" s="478">
        <v>20212000025683</v>
      </c>
      <c r="F564" s="479">
        <v>44327</v>
      </c>
      <c r="G564" s="478" t="s">
        <v>2640</v>
      </c>
      <c r="H564" s="212" t="s">
        <v>2641</v>
      </c>
      <c r="I564" s="212" t="s">
        <v>391</v>
      </c>
      <c r="J564" s="475">
        <v>42075000</v>
      </c>
      <c r="K564" s="210" t="s">
        <v>2711</v>
      </c>
      <c r="L564" s="212" t="s">
        <v>2712</v>
      </c>
      <c r="M564" s="210" t="s">
        <v>44</v>
      </c>
      <c r="N564" s="210" t="s">
        <v>45</v>
      </c>
      <c r="O564" s="212" t="s">
        <v>63</v>
      </c>
      <c r="P564" s="212" t="s">
        <v>674</v>
      </c>
      <c r="R564" s="212">
        <v>609</v>
      </c>
      <c r="S564" s="490">
        <v>44329</v>
      </c>
      <c r="T564" s="486" t="s">
        <v>4437</v>
      </c>
      <c r="U564" s="475">
        <v>42075000</v>
      </c>
      <c r="V564" s="406"/>
      <c r="X564" s="483" t="s">
        <v>4438</v>
      </c>
      <c r="Y564" s="484">
        <v>44355</v>
      </c>
      <c r="Z564" s="484">
        <v>44355</v>
      </c>
      <c r="AA564" s="696">
        <v>44553</v>
      </c>
      <c r="AB564" s="486" t="s">
        <v>2650</v>
      </c>
      <c r="AC564" s="483" t="s">
        <v>3608</v>
      </c>
      <c r="AD564" s="486" t="s">
        <v>4439</v>
      </c>
      <c r="AE564" s="486" t="s">
        <v>4440</v>
      </c>
      <c r="AF564" s="496">
        <v>36465000</v>
      </c>
      <c r="AG564" s="474">
        <f t="shared" si="9"/>
        <v>5610000</v>
      </c>
      <c r="AM564" s="212"/>
    </row>
    <row r="565" spans="1:39" hidden="1" x14ac:dyDescent="0.3">
      <c r="A565" s="476" t="s">
        <v>1930</v>
      </c>
      <c r="B565" s="477">
        <v>44517774</v>
      </c>
      <c r="C565" s="212" t="s">
        <v>2646</v>
      </c>
      <c r="D565" s="478">
        <v>556</v>
      </c>
      <c r="E565" s="478">
        <v>20217000025743</v>
      </c>
      <c r="F565" s="479">
        <v>44327</v>
      </c>
      <c r="G565" s="478" t="s">
        <v>2647</v>
      </c>
      <c r="H565" s="212" t="s">
        <v>2648</v>
      </c>
      <c r="I565" s="212" t="s">
        <v>164</v>
      </c>
      <c r="J565" s="475">
        <v>17530120</v>
      </c>
      <c r="K565" s="212" t="s">
        <v>138</v>
      </c>
      <c r="L565" s="212" t="s">
        <v>139</v>
      </c>
      <c r="M565" s="212" t="s">
        <v>44</v>
      </c>
      <c r="N565" s="212" t="s">
        <v>45</v>
      </c>
      <c r="O565" s="212" t="s">
        <v>142</v>
      </c>
      <c r="P565" s="212" t="s">
        <v>43</v>
      </c>
      <c r="R565" s="212">
        <v>610</v>
      </c>
      <c r="S565" s="490">
        <v>44329</v>
      </c>
      <c r="T565" s="486" t="s">
        <v>4441</v>
      </c>
      <c r="U565" s="475">
        <v>17530120</v>
      </c>
      <c r="V565" s="406"/>
      <c r="W565" s="362"/>
      <c r="X565" s="483" t="s">
        <v>4442</v>
      </c>
      <c r="Y565" s="484">
        <v>44341</v>
      </c>
      <c r="Z565" s="484">
        <v>44341</v>
      </c>
      <c r="AA565" s="484">
        <v>44463</v>
      </c>
      <c r="AB565" s="486" t="s">
        <v>2650</v>
      </c>
      <c r="AC565" s="483" t="s">
        <v>3097</v>
      </c>
      <c r="AD565" s="486" t="s">
        <v>3255</v>
      </c>
      <c r="AE565" s="486" t="s">
        <v>3256</v>
      </c>
      <c r="AF565" s="473">
        <v>17530120</v>
      </c>
      <c r="AG565" s="474">
        <f t="shared" si="9"/>
        <v>0</v>
      </c>
      <c r="AM565" s="212"/>
    </row>
    <row r="566" spans="1:39" hidden="1" x14ac:dyDescent="0.3">
      <c r="A566" s="476" t="s">
        <v>2403</v>
      </c>
      <c r="B566" s="477">
        <v>19078983</v>
      </c>
      <c r="C566" s="212" t="s">
        <v>2646</v>
      </c>
      <c r="D566" s="478">
        <v>557</v>
      </c>
      <c r="E566" s="478">
        <v>20211400025823</v>
      </c>
      <c r="F566" s="479">
        <v>44328</v>
      </c>
      <c r="G566" s="478" t="s">
        <v>2647</v>
      </c>
      <c r="H566" s="212" t="s">
        <v>2648</v>
      </c>
      <c r="I566" s="212" t="s">
        <v>184</v>
      </c>
      <c r="J566" s="475">
        <v>19078983</v>
      </c>
      <c r="K566" s="212" t="s">
        <v>138</v>
      </c>
      <c r="L566" s="212" t="s">
        <v>181</v>
      </c>
      <c r="M566" s="212" t="s">
        <v>44</v>
      </c>
      <c r="N566" s="212" t="s">
        <v>45</v>
      </c>
      <c r="O566" s="212" t="s">
        <v>142</v>
      </c>
      <c r="P566" s="212" t="s">
        <v>43</v>
      </c>
      <c r="R566" s="212">
        <v>604</v>
      </c>
      <c r="S566" s="490">
        <v>44328</v>
      </c>
      <c r="T566" s="486" t="s">
        <v>4443</v>
      </c>
      <c r="U566" s="475">
        <v>19078983</v>
      </c>
      <c r="V566" s="406"/>
      <c r="W566" s="362"/>
      <c r="X566" s="483" t="s">
        <v>4444</v>
      </c>
      <c r="Y566" s="484">
        <v>44341</v>
      </c>
      <c r="Z566" s="484">
        <v>44341</v>
      </c>
      <c r="AA566" s="484">
        <v>44554</v>
      </c>
      <c r="AB566" s="486" t="s">
        <v>2650</v>
      </c>
      <c r="AC566" s="483" t="s">
        <v>3118</v>
      </c>
      <c r="AD566" s="486" t="s">
        <v>4126</v>
      </c>
      <c r="AE566" s="486" t="s">
        <v>4127</v>
      </c>
      <c r="AF566" s="473">
        <v>19078983</v>
      </c>
      <c r="AG566" s="474">
        <f t="shared" si="9"/>
        <v>0</v>
      </c>
      <c r="AM566" s="212"/>
    </row>
    <row r="567" spans="1:39" hidden="1" x14ac:dyDescent="0.3">
      <c r="A567" s="476" t="s">
        <v>1826</v>
      </c>
      <c r="B567" s="477">
        <v>56000000</v>
      </c>
      <c r="C567" s="212" t="s">
        <v>2646</v>
      </c>
      <c r="D567" s="478">
        <v>558</v>
      </c>
      <c r="E567" s="478">
        <v>20215000025853</v>
      </c>
      <c r="F567" s="479">
        <v>44328</v>
      </c>
      <c r="G567" s="478" t="s">
        <v>2640</v>
      </c>
      <c r="H567" s="212" t="s">
        <v>2641</v>
      </c>
      <c r="I567" s="210" t="s">
        <v>228</v>
      </c>
      <c r="J567" s="475">
        <v>53900000</v>
      </c>
      <c r="K567" s="212" t="s">
        <v>223</v>
      </c>
      <c r="L567" s="212" t="s">
        <v>2758</v>
      </c>
      <c r="M567" s="212" t="s">
        <v>44</v>
      </c>
      <c r="N567" s="212" t="s">
        <v>45</v>
      </c>
      <c r="O567" s="212" t="s">
        <v>63</v>
      </c>
      <c r="P567" s="212" t="s">
        <v>674</v>
      </c>
      <c r="R567" s="212">
        <v>605</v>
      </c>
      <c r="S567" s="490">
        <v>44328</v>
      </c>
      <c r="T567" s="486" t="s">
        <v>4445</v>
      </c>
      <c r="U567" s="475">
        <v>53900000</v>
      </c>
      <c r="V567" s="406"/>
      <c r="W567" s="362"/>
      <c r="X567" s="483" t="s">
        <v>4446</v>
      </c>
      <c r="Y567" s="484">
        <v>44335</v>
      </c>
      <c r="Z567" s="484">
        <v>44335</v>
      </c>
      <c r="AA567" s="484">
        <v>44548</v>
      </c>
      <c r="AB567" s="486" t="s">
        <v>2650</v>
      </c>
      <c r="AC567" s="483" t="s">
        <v>4149</v>
      </c>
      <c r="AD567" s="486" t="s">
        <v>4447</v>
      </c>
      <c r="AE567" s="486" t="s">
        <v>4448</v>
      </c>
      <c r="AF567" s="473">
        <v>53900000</v>
      </c>
      <c r="AG567" s="474">
        <f t="shared" si="9"/>
        <v>0</v>
      </c>
      <c r="AM567" s="212"/>
    </row>
    <row r="568" spans="1:39" hidden="1" x14ac:dyDescent="0.3">
      <c r="A568" s="466" t="s">
        <v>2127</v>
      </c>
      <c r="B568" s="467">
        <v>42400000</v>
      </c>
      <c r="C568" s="212" t="s">
        <v>2646</v>
      </c>
      <c r="D568" s="469">
        <v>559</v>
      </c>
      <c r="E568" s="469">
        <v>20215000025873</v>
      </c>
      <c r="F568" s="470">
        <v>44328</v>
      </c>
      <c r="G568" s="378" t="s">
        <v>2640</v>
      </c>
      <c r="H568" s="377" t="s">
        <v>2641</v>
      </c>
      <c r="I568" s="377" t="s">
        <v>228</v>
      </c>
      <c r="J568" s="425">
        <v>42400000</v>
      </c>
      <c r="K568" s="377" t="s">
        <v>223</v>
      </c>
      <c r="L568" s="468" t="s">
        <v>236</v>
      </c>
      <c r="M568" s="377" t="s">
        <v>44</v>
      </c>
      <c r="N568" s="377" t="s">
        <v>45</v>
      </c>
      <c r="O568" s="377" t="s">
        <v>63</v>
      </c>
      <c r="P568" s="212" t="s">
        <v>674</v>
      </c>
      <c r="Q568" s="468"/>
      <c r="R568" s="468">
        <v>606</v>
      </c>
      <c r="S568" s="528">
        <v>44328</v>
      </c>
      <c r="T568" s="529" t="s">
        <v>4449</v>
      </c>
      <c r="U568" s="475">
        <f>42400000-18400000</f>
        <v>24000000</v>
      </c>
      <c r="V568" s="414">
        <v>18400000</v>
      </c>
      <c r="W568" s="680" t="s">
        <v>1509</v>
      </c>
      <c r="X568" s="483">
        <v>593</v>
      </c>
      <c r="Y568" s="484">
        <v>44362</v>
      </c>
      <c r="Z568" s="484">
        <v>44362</v>
      </c>
      <c r="AA568" s="484">
        <v>44544</v>
      </c>
      <c r="AB568" s="486" t="s">
        <v>2650</v>
      </c>
      <c r="AC568" s="483" t="s">
        <v>3882</v>
      </c>
      <c r="AD568" s="486" t="s">
        <v>4450</v>
      </c>
      <c r="AE568" s="486" t="s">
        <v>4451</v>
      </c>
      <c r="AF568" s="473">
        <v>24000000</v>
      </c>
      <c r="AG568" s="474">
        <f t="shared" si="9"/>
        <v>0</v>
      </c>
      <c r="AI568" s="471"/>
      <c r="AJ568" s="471"/>
      <c r="AK568" s="471"/>
      <c r="AL568" s="471"/>
      <c r="AM568" s="212"/>
    </row>
    <row r="569" spans="1:39" s="312" customFormat="1" hidden="1" x14ac:dyDescent="0.3">
      <c r="A569" s="361" t="s">
        <v>4452</v>
      </c>
      <c r="B569" s="417">
        <v>34000000</v>
      </c>
      <c r="C569" s="312" t="s">
        <v>2762</v>
      </c>
      <c r="D569" s="325">
        <v>560</v>
      </c>
      <c r="E569" s="325">
        <v>20211200025723</v>
      </c>
      <c r="F569" s="315">
        <v>44329</v>
      </c>
      <c r="G569" s="325" t="s">
        <v>2647</v>
      </c>
      <c r="H569" s="312" t="s">
        <v>2648</v>
      </c>
      <c r="I569" s="312" t="s">
        <v>143</v>
      </c>
      <c r="J569" s="405">
        <v>34000000</v>
      </c>
      <c r="K569" s="312" t="s">
        <v>138</v>
      </c>
      <c r="L569" s="312" t="s">
        <v>139</v>
      </c>
      <c r="M569" s="312" t="s">
        <v>44</v>
      </c>
      <c r="N569" s="312" t="s">
        <v>45</v>
      </c>
      <c r="O569" s="312" t="s">
        <v>142</v>
      </c>
      <c r="P569" s="312" t="s">
        <v>43</v>
      </c>
      <c r="R569" s="312">
        <v>611</v>
      </c>
      <c r="S569" s="363">
        <v>44330</v>
      </c>
      <c r="T569" s="360" t="s">
        <v>4453</v>
      </c>
      <c r="U569" s="405">
        <f>34000000</f>
        <v>34000000</v>
      </c>
      <c r="V569" s="406" t="s">
        <v>4454</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3">
      <c r="A570" s="476" t="s">
        <v>1981</v>
      </c>
      <c r="B570" s="477">
        <v>32706936</v>
      </c>
      <c r="C570" s="212" t="s">
        <v>2646</v>
      </c>
      <c r="D570" s="478">
        <v>561</v>
      </c>
      <c r="E570" s="478">
        <v>20217000025973</v>
      </c>
      <c r="F570" s="479">
        <v>44329</v>
      </c>
      <c r="G570" s="478" t="s">
        <v>2647</v>
      </c>
      <c r="H570" s="212" t="s">
        <v>2648</v>
      </c>
      <c r="I570" s="212" t="s">
        <v>164</v>
      </c>
      <c r="J570" s="475">
        <v>21804624</v>
      </c>
      <c r="K570" s="212" t="s">
        <v>138</v>
      </c>
      <c r="L570" s="212" t="s">
        <v>139</v>
      </c>
      <c r="M570" s="212" t="s">
        <v>44</v>
      </c>
      <c r="N570" s="212" t="s">
        <v>45</v>
      </c>
      <c r="O570" s="212" t="s">
        <v>142</v>
      </c>
      <c r="P570" s="212" t="s">
        <v>43</v>
      </c>
      <c r="R570" s="212">
        <v>612</v>
      </c>
      <c r="S570" s="490">
        <v>44330</v>
      </c>
      <c r="T570" s="486" t="s">
        <v>4455</v>
      </c>
      <c r="U570" s="475">
        <v>21804624</v>
      </c>
      <c r="V570" s="406"/>
      <c r="W570" s="362"/>
      <c r="X570" s="483" t="s">
        <v>4456</v>
      </c>
      <c r="Y570" s="472">
        <v>44343</v>
      </c>
      <c r="Z570" s="484">
        <v>44343</v>
      </c>
      <c r="AA570" s="484">
        <v>44526</v>
      </c>
      <c r="AB570" s="486" t="s">
        <v>2650</v>
      </c>
      <c r="AC570" s="483" t="s">
        <v>4457</v>
      </c>
      <c r="AD570" s="486" t="s">
        <v>3858</v>
      </c>
      <c r="AE570" s="486" t="s">
        <v>3859</v>
      </c>
      <c r="AF570" s="473">
        <v>21804624</v>
      </c>
      <c r="AG570" s="474">
        <f t="shared" si="9"/>
        <v>0</v>
      </c>
      <c r="AM570" s="212"/>
    </row>
    <row r="571" spans="1:39" s="210" customFormat="1" hidden="1" x14ac:dyDescent="0.3">
      <c r="A571" s="313" t="s">
        <v>2519</v>
      </c>
      <c r="B571" s="419">
        <v>96000000</v>
      </c>
      <c r="C571" s="212" t="s">
        <v>2646</v>
      </c>
      <c r="D571" s="309">
        <v>562</v>
      </c>
      <c r="E571" s="366">
        <v>20213000026013</v>
      </c>
      <c r="F571" s="310">
        <v>44330</v>
      </c>
      <c r="G571" s="309" t="s">
        <v>2640</v>
      </c>
      <c r="H571" s="210" t="s">
        <v>2641</v>
      </c>
      <c r="I571" s="210" t="s">
        <v>432</v>
      </c>
      <c r="J571" s="407">
        <v>95340000</v>
      </c>
      <c r="K571" s="212" t="s">
        <v>342</v>
      </c>
      <c r="L571" s="210" t="s">
        <v>351</v>
      </c>
      <c r="M571" s="210" t="s">
        <v>44</v>
      </c>
      <c r="N571" s="210" t="s">
        <v>45</v>
      </c>
      <c r="O571" s="210" t="s">
        <v>63</v>
      </c>
      <c r="P571" s="212" t="s">
        <v>674</v>
      </c>
      <c r="R571" s="210">
        <v>613</v>
      </c>
      <c r="S571" s="490">
        <v>44330</v>
      </c>
      <c r="T571" s="486" t="s">
        <v>2519</v>
      </c>
      <c r="U571" s="407">
        <v>95340000</v>
      </c>
      <c r="V571" s="415"/>
      <c r="W571" s="401"/>
      <c r="X571" s="483" t="s">
        <v>4458</v>
      </c>
      <c r="Y571" s="484">
        <v>44336</v>
      </c>
      <c r="Z571" s="484">
        <v>44336</v>
      </c>
      <c r="AA571" s="484">
        <v>44549</v>
      </c>
      <c r="AB571" s="486" t="s">
        <v>2650</v>
      </c>
      <c r="AC571" s="483" t="s">
        <v>3899</v>
      </c>
      <c r="AD571" s="486" t="s">
        <v>4459</v>
      </c>
      <c r="AE571" s="486" t="s">
        <v>4460</v>
      </c>
      <c r="AF571" s="473">
        <v>95340000</v>
      </c>
      <c r="AG571" s="474">
        <f t="shared" si="9"/>
        <v>0</v>
      </c>
      <c r="AH571" s="407"/>
      <c r="AI571" s="407"/>
      <c r="AJ571" s="407"/>
      <c r="AK571" s="407"/>
      <c r="AL571" s="475"/>
      <c r="AM571" s="212"/>
    </row>
    <row r="572" spans="1:39" hidden="1" x14ac:dyDescent="0.3">
      <c r="A572" s="387" t="s">
        <v>2542</v>
      </c>
      <c r="B572" s="422">
        <v>90000000</v>
      </c>
      <c r="C572" s="212" t="s">
        <v>2646</v>
      </c>
      <c r="D572" s="469">
        <v>563</v>
      </c>
      <c r="E572" s="469">
        <v>20213000026073</v>
      </c>
      <c r="F572" s="385">
        <v>44330</v>
      </c>
      <c r="G572" s="378" t="s">
        <v>2640</v>
      </c>
      <c r="H572" s="377" t="s">
        <v>2641</v>
      </c>
      <c r="I572" s="377" t="s">
        <v>432</v>
      </c>
      <c r="J572" s="424">
        <v>90000000</v>
      </c>
      <c r="K572" s="468" t="s">
        <v>342</v>
      </c>
      <c r="L572" s="377" t="s">
        <v>351</v>
      </c>
      <c r="M572" s="377" t="s">
        <v>44</v>
      </c>
      <c r="N572" s="377" t="s">
        <v>45</v>
      </c>
      <c r="O572" s="377" t="s">
        <v>63</v>
      </c>
      <c r="P572" s="212" t="s">
        <v>674</v>
      </c>
      <c r="Q572" s="468"/>
      <c r="R572" s="468">
        <v>614</v>
      </c>
      <c r="S572" s="528">
        <v>44330</v>
      </c>
      <c r="T572" s="529" t="s">
        <v>2542</v>
      </c>
      <c r="U572" s="471">
        <v>90000000</v>
      </c>
      <c r="V572" s="414"/>
      <c r="W572" s="379"/>
      <c r="AG572" s="474">
        <f t="shared" si="9"/>
        <v>90000000</v>
      </c>
      <c r="AI572" s="471"/>
      <c r="AJ572" s="471"/>
      <c r="AK572" s="471"/>
      <c r="AL572" s="471"/>
      <c r="AM572" s="212"/>
    </row>
    <row r="573" spans="1:39" hidden="1" x14ac:dyDescent="0.3">
      <c r="A573" s="313" t="s">
        <v>2449</v>
      </c>
      <c r="B573" s="419">
        <v>18000000</v>
      </c>
      <c r="C573" s="212" t="s">
        <v>2646</v>
      </c>
      <c r="D573" s="478">
        <v>564</v>
      </c>
      <c r="E573" s="478">
        <v>20217000025983</v>
      </c>
      <c r="F573" s="310">
        <v>44334</v>
      </c>
      <c r="G573" s="478" t="s">
        <v>2647</v>
      </c>
      <c r="H573" s="212" t="s">
        <v>2648</v>
      </c>
      <c r="I573" s="212" t="s">
        <v>164</v>
      </c>
      <c r="J573" s="475">
        <v>17928246</v>
      </c>
      <c r="K573" s="212" t="s">
        <v>138</v>
      </c>
      <c r="L573" s="212" t="s">
        <v>139</v>
      </c>
      <c r="M573" s="212" t="s">
        <v>44</v>
      </c>
      <c r="N573" s="212" t="s">
        <v>45</v>
      </c>
      <c r="O573" s="212" t="s">
        <v>142</v>
      </c>
      <c r="P573" s="212" t="s">
        <v>43</v>
      </c>
      <c r="R573" s="212">
        <v>615</v>
      </c>
      <c r="S573" s="490">
        <v>44335</v>
      </c>
      <c r="T573" s="212" t="s">
        <v>2449</v>
      </c>
      <c r="U573" s="475">
        <v>17928246</v>
      </c>
      <c r="V573" s="406"/>
      <c r="X573" s="483" t="s">
        <v>4461</v>
      </c>
      <c r="Y573" s="484">
        <v>44351</v>
      </c>
      <c r="Z573" s="484">
        <v>44351</v>
      </c>
      <c r="AA573" s="484">
        <v>44489</v>
      </c>
      <c r="AB573" s="486" t="s">
        <v>2650</v>
      </c>
      <c r="AC573" s="483" t="s">
        <v>4165</v>
      </c>
      <c r="AD573" s="486" t="s">
        <v>3328</v>
      </c>
      <c r="AE573" s="486" t="s">
        <v>3329</v>
      </c>
      <c r="AF573" s="496">
        <v>16353468</v>
      </c>
      <c r="AG573" s="474">
        <f t="shared" si="9"/>
        <v>1574778</v>
      </c>
      <c r="AM573" s="212"/>
    </row>
    <row r="574" spans="1:39" hidden="1" x14ac:dyDescent="0.3">
      <c r="B574" s="477" t="s">
        <v>4390</v>
      </c>
      <c r="C574" s="212" t="s">
        <v>4462</v>
      </c>
      <c r="D574" s="478">
        <v>565</v>
      </c>
      <c r="E574" s="478">
        <v>20217000026343</v>
      </c>
      <c r="F574" s="310">
        <v>44336</v>
      </c>
      <c r="G574" s="478" t="s">
        <v>2647</v>
      </c>
      <c r="H574" s="212" t="s">
        <v>2648</v>
      </c>
      <c r="I574" s="212" t="s">
        <v>164</v>
      </c>
      <c r="J574" s="475">
        <v>3474800</v>
      </c>
      <c r="K574" s="212" t="s">
        <v>138</v>
      </c>
      <c r="L574" s="212" t="s">
        <v>4327</v>
      </c>
      <c r="M574" s="212" t="s">
        <v>44</v>
      </c>
      <c r="N574" s="212" t="s">
        <v>45</v>
      </c>
      <c r="O574" s="212" t="s">
        <v>310</v>
      </c>
      <c r="P574" s="212" t="s">
        <v>43</v>
      </c>
      <c r="R574" s="486">
        <v>618</v>
      </c>
      <c r="S574" s="490">
        <v>44337</v>
      </c>
      <c r="T574" s="486" t="s">
        <v>4463</v>
      </c>
      <c r="U574" s="475">
        <v>3474800</v>
      </c>
      <c r="V574" s="406"/>
      <c r="X574" s="483" t="s">
        <v>4464</v>
      </c>
      <c r="Y574" s="484">
        <v>44362</v>
      </c>
      <c r="Z574" s="484">
        <v>44383</v>
      </c>
      <c r="AA574" s="484">
        <v>44444</v>
      </c>
      <c r="AB574" s="486" t="s">
        <v>2650</v>
      </c>
      <c r="AC574" s="483" t="s">
        <v>4465</v>
      </c>
      <c r="AD574" s="486" t="s">
        <v>4466</v>
      </c>
      <c r="AE574" s="486" t="s">
        <v>4467</v>
      </c>
      <c r="AF574" s="496">
        <v>3474800</v>
      </c>
      <c r="AG574" s="474">
        <f t="shared" si="9"/>
        <v>0</v>
      </c>
      <c r="AM574" s="212"/>
    </row>
    <row r="575" spans="1:39" hidden="1" x14ac:dyDescent="0.3">
      <c r="A575" s="476" t="s">
        <v>2371</v>
      </c>
      <c r="B575" s="417">
        <v>21000000</v>
      </c>
      <c r="C575" s="212" t="s">
        <v>2646</v>
      </c>
      <c r="D575" s="478">
        <v>566</v>
      </c>
      <c r="E575" s="478">
        <v>20211200026553</v>
      </c>
      <c r="F575" s="310">
        <v>44336</v>
      </c>
      <c r="G575" s="478" t="s">
        <v>2647</v>
      </c>
      <c r="H575" s="212" t="s">
        <v>2648</v>
      </c>
      <c r="I575" s="212" t="s">
        <v>143</v>
      </c>
      <c r="J575" s="475">
        <v>21000000</v>
      </c>
      <c r="K575" s="212" t="s">
        <v>138</v>
      </c>
      <c r="L575" s="212" t="s">
        <v>139</v>
      </c>
      <c r="M575" s="212" t="s">
        <v>44</v>
      </c>
      <c r="N575" s="212" t="s">
        <v>45</v>
      </c>
      <c r="O575" s="212" t="s">
        <v>142</v>
      </c>
      <c r="P575" s="212" t="s">
        <v>43</v>
      </c>
      <c r="R575" s="486">
        <v>619</v>
      </c>
      <c r="S575" s="490">
        <v>44337</v>
      </c>
      <c r="T575" s="486" t="s">
        <v>4468</v>
      </c>
      <c r="U575" s="475">
        <v>21000000</v>
      </c>
      <c r="V575" s="406"/>
      <c r="W575" s="362"/>
      <c r="X575" s="483" t="s">
        <v>4469</v>
      </c>
      <c r="Y575" s="484">
        <v>44347</v>
      </c>
      <c r="Z575" s="484">
        <v>44347</v>
      </c>
      <c r="AA575" s="484">
        <v>44560</v>
      </c>
      <c r="AB575" s="486" t="s">
        <v>2650</v>
      </c>
      <c r="AC575" s="483" t="s">
        <v>4162</v>
      </c>
      <c r="AD575" s="486" t="s">
        <v>4470</v>
      </c>
      <c r="AE575" s="486" t="s">
        <v>3172</v>
      </c>
      <c r="AF575" s="473">
        <v>21000000</v>
      </c>
      <c r="AG575" s="474">
        <f t="shared" si="9"/>
        <v>0</v>
      </c>
      <c r="AM575" s="212"/>
    </row>
    <row r="576" spans="1:39" hidden="1" x14ac:dyDescent="0.3">
      <c r="A576" s="466" t="s">
        <v>1980</v>
      </c>
      <c r="B576" s="467">
        <v>36795303</v>
      </c>
      <c r="C576" s="212" t="s">
        <v>2646</v>
      </c>
      <c r="D576" s="469">
        <v>567</v>
      </c>
      <c r="E576" s="469">
        <v>20217000026563</v>
      </c>
      <c r="F576" s="385">
        <v>44336</v>
      </c>
      <c r="G576" s="469" t="s">
        <v>2647</v>
      </c>
      <c r="H576" s="468" t="s">
        <v>2648</v>
      </c>
      <c r="I576" s="468" t="s">
        <v>164</v>
      </c>
      <c r="J576" s="471">
        <v>24530202</v>
      </c>
      <c r="K576" s="468" t="s">
        <v>138</v>
      </c>
      <c r="L576" s="468" t="s">
        <v>139</v>
      </c>
      <c r="M576" s="468" t="s">
        <v>44</v>
      </c>
      <c r="N576" s="468" t="s">
        <v>45</v>
      </c>
      <c r="O576" s="468" t="s">
        <v>142</v>
      </c>
      <c r="P576" s="468" t="s">
        <v>43</v>
      </c>
      <c r="Q576" s="468"/>
      <c r="R576" s="529">
        <v>620</v>
      </c>
      <c r="S576" s="528">
        <v>44337</v>
      </c>
      <c r="T576" s="529" t="s">
        <v>4471</v>
      </c>
      <c r="U576" s="475">
        <v>24530202</v>
      </c>
      <c r="V576" s="414"/>
      <c r="X576" s="483" t="s">
        <v>4472</v>
      </c>
      <c r="Y576" s="484">
        <v>44349</v>
      </c>
      <c r="Z576" s="484">
        <v>44349</v>
      </c>
      <c r="AA576" s="484">
        <v>44532</v>
      </c>
      <c r="AB576" s="486" t="s">
        <v>2650</v>
      </c>
      <c r="AC576" s="483" t="s">
        <v>3935</v>
      </c>
      <c r="AD576" s="486" t="s">
        <v>3879</v>
      </c>
      <c r="AE576" s="486" t="s">
        <v>3880</v>
      </c>
      <c r="AF576" s="496">
        <v>24530202</v>
      </c>
      <c r="AG576" s="474">
        <f t="shared" si="9"/>
        <v>0</v>
      </c>
      <c r="AI576" s="471"/>
      <c r="AJ576" s="471"/>
      <c r="AK576" s="471"/>
      <c r="AL576" s="471"/>
      <c r="AM576" s="212"/>
    </row>
    <row r="577" spans="1:39" hidden="1" x14ac:dyDescent="0.3">
      <c r="A577" s="476" t="s">
        <v>2453</v>
      </c>
      <c r="B577" s="477">
        <v>14536416</v>
      </c>
      <c r="C577" s="212" t="s">
        <v>2646</v>
      </c>
      <c r="D577" s="478">
        <v>568</v>
      </c>
      <c r="E577" s="478">
        <v>20211300026663</v>
      </c>
      <c r="F577" s="310">
        <v>44336</v>
      </c>
      <c r="G577" s="478" t="s">
        <v>2647</v>
      </c>
      <c r="H577" s="212" t="s">
        <v>2648</v>
      </c>
      <c r="I577" s="212" t="s">
        <v>210</v>
      </c>
      <c r="J577" s="475">
        <v>14536416</v>
      </c>
      <c r="K577" s="212" t="s">
        <v>138</v>
      </c>
      <c r="L577" s="212" t="s">
        <v>139</v>
      </c>
      <c r="M577" s="212" t="s">
        <v>44</v>
      </c>
      <c r="N577" s="212" t="s">
        <v>45</v>
      </c>
      <c r="O577" s="212" t="s">
        <v>142</v>
      </c>
      <c r="P577" s="212" t="s">
        <v>43</v>
      </c>
      <c r="R577" s="486">
        <v>621</v>
      </c>
      <c r="S577" s="490">
        <v>44337</v>
      </c>
      <c r="T577" s="486" t="s">
        <v>4473</v>
      </c>
      <c r="U577" s="475">
        <v>14536416</v>
      </c>
      <c r="V577" s="406"/>
      <c r="X577" s="483" t="s">
        <v>4474</v>
      </c>
      <c r="Y577" s="484">
        <v>44355</v>
      </c>
      <c r="Z577" s="484">
        <v>44355</v>
      </c>
      <c r="AA577" s="484">
        <v>44476</v>
      </c>
      <c r="AB577" s="486" t="s">
        <v>2650</v>
      </c>
      <c r="AC577" s="483" t="s">
        <v>3772</v>
      </c>
      <c r="AD577" s="486" t="s">
        <v>4086</v>
      </c>
      <c r="AE577" s="486" t="s">
        <v>4087</v>
      </c>
      <c r="AF577" s="496">
        <v>14536416</v>
      </c>
      <c r="AG577" s="474">
        <f t="shared" si="9"/>
        <v>0</v>
      </c>
      <c r="AM577" s="212"/>
    </row>
    <row r="578" spans="1:39" hidden="1" x14ac:dyDescent="0.3">
      <c r="A578" s="476" t="s">
        <v>2452</v>
      </c>
      <c r="B578" s="477">
        <v>35432514</v>
      </c>
      <c r="C578" s="212" t="s">
        <v>2646</v>
      </c>
      <c r="D578" s="478">
        <v>569</v>
      </c>
      <c r="E578" s="478">
        <v>20211300026673</v>
      </c>
      <c r="F578" s="310">
        <v>44336</v>
      </c>
      <c r="G578" s="478" t="s">
        <v>2647</v>
      </c>
      <c r="H578" s="212" t="s">
        <v>2648</v>
      </c>
      <c r="I578" s="212" t="s">
        <v>210</v>
      </c>
      <c r="J578" s="475">
        <v>29527095</v>
      </c>
      <c r="K578" s="212" t="s">
        <v>138</v>
      </c>
      <c r="L578" s="212" t="s">
        <v>139</v>
      </c>
      <c r="M578" s="212" t="s">
        <v>44</v>
      </c>
      <c r="N578" s="212" t="s">
        <v>45</v>
      </c>
      <c r="O578" s="212" t="s">
        <v>142</v>
      </c>
      <c r="P578" s="212" t="s">
        <v>43</v>
      </c>
      <c r="R578" s="486">
        <v>622</v>
      </c>
      <c r="S578" s="490">
        <v>44337</v>
      </c>
      <c r="T578" s="486" t="s">
        <v>4475</v>
      </c>
      <c r="U578" s="475">
        <v>29527095</v>
      </c>
      <c r="V578" s="406"/>
      <c r="X578" s="483" t="s">
        <v>4476</v>
      </c>
      <c r="Y578" s="484">
        <v>44355</v>
      </c>
      <c r="Z578" s="484">
        <v>44355</v>
      </c>
      <c r="AA578" s="484">
        <v>44507</v>
      </c>
      <c r="AB578" s="486" t="s">
        <v>2650</v>
      </c>
      <c r="AC578" s="483" t="s">
        <v>3624</v>
      </c>
      <c r="AD578" s="486" t="s">
        <v>4063</v>
      </c>
      <c r="AE578" s="486" t="s">
        <v>4064</v>
      </c>
      <c r="AF578" s="496">
        <v>29527095</v>
      </c>
      <c r="AG578" s="474">
        <f t="shared" si="9"/>
        <v>0</v>
      </c>
      <c r="AM578" s="212"/>
    </row>
    <row r="579" spans="1:39" s="210" customFormat="1" hidden="1" x14ac:dyDescent="0.3">
      <c r="A579" s="313" t="s">
        <v>2380</v>
      </c>
      <c r="B579" s="419">
        <v>32706936</v>
      </c>
      <c r="C579" s="212" t="s">
        <v>2646</v>
      </c>
      <c r="D579" s="309">
        <v>570</v>
      </c>
      <c r="E579" s="309">
        <v>20217000026753</v>
      </c>
      <c r="F579" s="310">
        <v>44336</v>
      </c>
      <c r="G579" s="309" t="s">
        <v>2647</v>
      </c>
      <c r="H579" s="210" t="s">
        <v>2648</v>
      </c>
      <c r="I579" s="210" t="s">
        <v>164</v>
      </c>
      <c r="J579" s="407">
        <v>22081128</v>
      </c>
      <c r="K579" s="210" t="s">
        <v>138</v>
      </c>
      <c r="L579" s="210" t="s">
        <v>139</v>
      </c>
      <c r="M579" s="210" t="s">
        <v>44</v>
      </c>
      <c r="N579" s="210" t="s">
        <v>45</v>
      </c>
      <c r="O579" s="210" t="s">
        <v>142</v>
      </c>
      <c r="P579" s="210" t="s">
        <v>43</v>
      </c>
      <c r="R579" s="486">
        <v>623</v>
      </c>
      <c r="S579" s="490">
        <v>44337</v>
      </c>
      <c r="T579" s="486" t="s">
        <v>4477</v>
      </c>
      <c r="U579" s="475">
        <v>22081128</v>
      </c>
      <c r="V579" s="415"/>
      <c r="W579" s="463"/>
      <c r="X579" s="483" t="s">
        <v>4478</v>
      </c>
      <c r="Y579" s="484">
        <v>44351</v>
      </c>
      <c r="Z579" s="484">
        <v>44351</v>
      </c>
      <c r="AA579" s="484">
        <v>44533</v>
      </c>
      <c r="AB579" s="486" t="s">
        <v>2650</v>
      </c>
      <c r="AC579" s="483" t="s">
        <v>3594</v>
      </c>
      <c r="AD579" s="486" t="s">
        <v>3887</v>
      </c>
      <c r="AE579" s="486" t="s">
        <v>3888</v>
      </c>
      <c r="AF579" s="496">
        <v>21804624</v>
      </c>
      <c r="AG579" s="474">
        <f t="shared" si="9"/>
        <v>276504</v>
      </c>
      <c r="AH579" s="407"/>
      <c r="AI579" s="407"/>
      <c r="AJ579" s="407"/>
      <c r="AK579" s="407"/>
      <c r="AL579" s="475"/>
      <c r="AM579" s="212"/>
    </row>
    <row r="580" spans="1:39" hidden="1" x14ac:dyDescent="0.3">
      <c r="C580" s="212" t="s">
        <v>4479</v>
      </c>
      <c r="D580" s="478">
        <v>571</v>
      </c>
      <c r="E580" s="478">
        <v>20213000026803</v>
      </c>
      <c r="F580" s="310">
        <v>44337</v>
      </c>
      <c r="G580" s="478" t="s">
        <v>2640</v>
      </c>
      <c r="H580" s="212" t="s">
        <v>2641</v>
      </c>
      <c r="I580" s="212" t="s">
        <v>432</v>
      </c>
      <c r="J580" s="407">
        <v>22516000</v>
      </c>
      <c r="K580" s="212" t="s">
        <v>342</v>
      </c>
      <c r="L580" s="212" t="s">
        <v>343</v>
      </c>
      <c r="M580" s="212" t="s">
        <v>44</v>
      </c>
      <c r="N580" s="212" t="s">
        <v>45</v>
      </c>
      <c r="O580" s="212" t="s">
        <v>310</v>
      </c>
      <c r="P580" s="212" t="s">
        <v>674</v>
      </c>
      <c r="R580" s="698">
        <v>625</v>
      </c>
      <c r="S580" s="490">
        <v>44337</v>
      </c>
      <c r="T580" s="486" t="s">
        <v>4480</v>
      </c>
      <c r="U580" s="475">
        <v>22516000</v>
      </c>
      <c r="V580" s="406"/>
      <c r="W580" s="362"/>
      <c r="AG580" s="474">
        <f t="shared" si="9"/>
        <v>22516000</v>
      </c>
      <c r="AM580" s="212"/>
    </row>
    <row r="581" spans="1:39" hidden="1" x14ac:dyDescent="0.3">
      <c r="A581" s="313" t="s">
        <v>2083</v>
      </c>
      <c r="B581" s="419">
        <v>36000000</v>
      </c>
      <c r="C581" s="212" t="s">
        <v>2646</v>
      </c>
      <c r="D581" s="478">
        <v>572</v>
      </c>
      <c r="E581" s="478">
        <v>20214000026953</v>
      </c>
      <c r="F581" s="310">
        <v>44337</v>
      </c>
      <c r="G581" s="478" t="s">
        <v>2680</v>
      </c>
      <c r="H581" s="212" t="s">
        <v>2681</v>
      </c>
      <c r="I581" s="212" t="s">
        <v>47</v>
      </c>
      <c r="J581" s="475">
        <v>36000000</v>
      </c>
      <c r="K581" s="212" t="s">
        <v>37</v>
      </c>
      <c r="L581" s="212" t="s">
        <v>2682</v>
      </c>
      <c r="M581" s="212" t="s">
        <v>44</v>
      </c>
      <c r="N581" s="212" t="s">
        <v>45</v>
      </c>
      <c r="O581" s="212" t="s">
        <v>310</v>
      </c>
      <c r="P581" s="212" t="s">
        <v>43</v>
      </c>
      <c r="R581" s="536">
        <v>626</v>
      </c>
      <c r="S581" s="490">
        <v>44337</v>
      </c>
      <c r="T581" s="486" t="s">
        <v>4481</v>
      </c>
      <c r="U581" s="475">
        <v>36000000</v>
      </c>
      <c r="V581" s="406"/>
      <c r="X581" s="483" t="s">
        <v>4482</v>
      </c>
      <c r="Y581" s="484">
        <v>44358</v>
      </c>
      <c r="Z581" s="484">
        <v>44358</v>
      </c>
      <c r="AA581" s="484">
        <v>44540</v>
      </c>
      <c r="AB581" s="486" t="s">
        <v>2650</v>
      </c>
      <c r="AC581" s="483" t="s">
        <v>3943</v>
      </c>
      <c r="AD581" s="486" t="s">
        <v>4483</v>
      </c>
      <c r="AE581" s="486" t="s">
        <v>4484</v>
      </c>
      <c r="AF581" s="496">
        <v>30857142</v>
      </c>
      <c r="AG581" s="474">
        <f t="shared" si="9"/>
        <v>5142858</v>
      </c>
      <c r="AM581" s="212"/>
    </row>
    <row r="582" spans="1:39" hidden="1" x14ac:dyDescent="0.3">
      <c r="A582" s="313" t="s">
        <v>2177</v>
      </c>
      <c r="B582" s="419">
        <v>310700000</v>
      </c>
      <c r="C582" s="212" t="s">
        <v>4335</v>
      </c>
      <c r="D582" s="478">
        <v>573</v>
      </c>
      <c r="E582" s="478">
        <v>20215000027033</v>
      </c>
      <c r="F582" s="310">
        <v>44337</v>
      </c>
      <c r="G582" s="309" t="s">
        <v>2640</v>
      </c>
      <c r="H582" s="210" t="s">
        <v>2641</v>
      </c>
      <c r="I582" s="210" t="s">
        <v>228</v>
      </c>
      <c r="J582" s="415">
        <v>150000000</v>
      </c>
      <c r="K582" s="210" t="s">
        <v>223</v>
      </c>
      <c r="L582" s="212" t="s">
        <v>236</v>
      </c>
      <c r="M582" s="210" t="s">
        <v>44</v>
      </c>
      <c r="N582" s="210" t="s">
        <v>45</v>
      </c>
      <c r="O582" s="210" t="s">
        <v>265</v>
      </c>
      <c r="P582" s="212" t="s">
        <v>674</v>
      </c>
      <c r="R582" s="536">
        <v>627</v>
      </c>
      <c r="S582" s="490">
        <v>44337</v>
      </c>
      <c r="T582" s="486" t="s">
        <v>4336</v>
      </c>
      <c r="U582" s="693">
        <v>150000000</v>
      </c>
      <c r="V582" s="406"/>
      <c r="W582" s="362"/>
      <c r="AG582" s="474">
        <f t="shared" si="9"/>
        <v>150000000</v>
      </c>
      <c r="AM582" s="212"/>
    </row>
    <row r="583" spans="1:39" s="312" customFormat="1" hidden="1" x14ac:dyDescent="0.3">
      <c r="A583" s="361"/>
      <c r="B583" s="417" t="s">
        <v>4390</v>
      </c>
      <c r="C583" s="312" t="s">
        <v>4485</v>
      </c>
      <c r="D583" s="325">
        <v>574</v>
      </c>
      <c r="E583" s="325">
        <v>20215000027133</v>
      </c>
      <c r="F583" s="315">
        <v>44342</v>
      </c>
      <c r="G583" s="325" t="s">
        <v>2640</v>
      </c>
      <c r="H583" s="312" t="s">
        <v>2641</v>
      </c>
      <c r="I583" s="312" t="s">
        <v>228</v>
      </c>
      <c r="J583" s="406">
        <v>57120000</v>
      </c>
      <c r="K583" s="312" t="s">
        <v>223</v>
      </c>
      <c r="L583" s="312" t="s">
        <v>236</v>
      </c>
      <c r="M583" s="312" t="s">
        <v>44</v>
      </c>
      <c r="N583" s="312" t="s">
        <v>45</v>
      </c>
      <c r="O583" s="312" t="s">
        <v>63</v>
      </c>
      <c r="P583" s="312" t="s">
        <v>674</v>
      </c>
      <c r="R583" s="388">
        <v>630</v>
      </c>
      <c r="S583" s="315">
        <v>44343</v>
      </c>
      <c r="T583" s="312" t="s">
        <v>4485</v>
      </c>
      <c r="U583" s="405">
        <f>57120000-57120000</f>
        <v>0</v>
      </c>
      <c r="V583" s="406">
        <v>57120000</v>
      </c>
      <c r="W583" s="362" t="s">
        <v>1509</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3">
      <c r="A584" s="361" t="s">
        <v>4486</v>
      </c>
      <c r="B584" s="417">
        <v>20000000</v>
      </c>
      <c r="C584" s="312" t="s">
        <v>4487</v>
      </c>
      <c r="D584" s="325">
        <v>575</v>
      </c>
      <c r="E584" s="325">
        <v>20213000027343</v>
      </c>
      <c r="F584" s="315">
        <v>44342</v>
      </c>
      <c r="G584" s="325" t="s">
        <v>2640</v>
      </c>
      <c r="H584" s="312" t="s">
        <v>2641</v>
      </c>
      <c r="I584" s="312" t="s">
        <v>432</v>
      </c>
      <c r="J584" s="406">
        <v>20000000</v>
      </c>
      <c r="K584" s="312" t="s">
        <v>342</v>
      </c>
      <c r="L584" s="312" t="s">
        <v>351</v>
      </c>
      <c r="M584" s="312" t="s">
        <v>44</v>
      </c>
      <c r="N584" s="312" t="s">
        <v>45</v>
      </c>
      <c r="O584" s="312" t="s">
        <v>63</v>
      </c>
      <c r="P584" s="312" t="s">
        <v>4488</v>
      </c>
      <c r="Q584" s="312" t="s">
        <v>3300</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3">
      <c r="A585" s="361" t="s">
        <v>4489</v>
      </c>
      <c r="B585" s="417">
        <v>100000000</v>
      </c>
      <c r="C585" s="312" t="s">
        <v>4490</v>
      </c>
      <c r="D585" s="325">
        <v>576</v>
      </c>
      <c r="E585" s="325">
        <v>20213000027353</v>
      </c>
      <c r="F585" s="315">
        <v>44342</v>
      </c>
      <c r="G585" s="325" t="s">
        <v>2640</v>
      </c>
      <c r="H585" s="312" t="s">
        <v>2641</v>
      </c>
      <c r="I585" s="312" t="s">
        <v>432</v>
      </c>
      <c r="J585" s="406">
        <v>100000000</v>
      </c>
      <c r="K585" s="312" t="s">
        <v>342</v>
      </c>
      <c r="L585" s="312" t="s">
        <v>351</v>
      </c>
      <c r="M585" s="312" t="s">
        <v>44</v>
      </c>
      <c r="N585" s="312" t="s">
        <v>45</v>
      </c>
      <c r="O585" s="312" t="s">
        <v>63</v>
      </c>
      <c r="P585" s="312" t="s">
        <v>4488</v>
      </c>
      <c r="Q585" s="312" t="s">
        <v>3300</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3">
      <c r="A586" s="313" t="s">
        <v>2216</v>
      </c>
      <c r="B586" s="419">
        <v>29072832</v>
      </c>
      <c r="C586" s="212" t="s">
        <v>2646</v>
      </c>
      <c r="D586" s="478">
        <v>577</v>
      </c>
      <c r="E586" s="478">
        <v>20211300027503</v>
      </c>
      <c r="F586" s="310">
        <v>44342</v>
      </c>
      <c r="G586" s="478" t="s">
        <v>2647</v>
      </c>
      <c r="H586" s="212" t="s">
        <v>2648</v>
      </c>
      <c r="I586" s="212" t="s">
        <v>210</v>
      </c>
      <c r="J586" s="475">
        <v>29072832</v>
      </c>
      <c r="K586" s="212" t="s">
        <v>138</v>
      </c>
      <c r="L586" s="212" t="s">
        <v>139</v>
      </c>
      <c r="M586" s="212" t="s">
        <v>44</v>
      </c>
      <c r="N586" s="212" t="s">
        <v>45</v>
      </c>
      <c r="O586" s="212" t="s">
        <v>142</v>
      </c>
      <c r="P586" s="212" t="s">
        <v>43</v>
      </c>
      <c r="R586" s="212">
        <v>631</v>
      </c>
      <c r="S586" s="479">
        <v>44343</v>
      </c>
      <c r="T586" s="212" t="s">
        <v>2216</v>
      </c>
      <c r="U586" s="475">
        <v>29072832</v>
      </c>
      <c r="V586" s="406"/>
      <c r="W586" s="362"/>
      <c r="AG586" s="474">
        <f t="shared" si="9"/>
        <v>29072832</v>
      </c>
      <c r="AM586" s="212"/>
    </row>
    <row r="587" spans="1:39" hidden="1" x14ac:dyDescent="0.3">
      <c r="A587" s="313" t="s">
        <v>2078</v>
      </c>
      <c r="B587" s="419">
        <v>28800000</v>
      </c>
      <c r="C587" s="212" t="s">
        <v>2646</v>
      </c>
      <c r="D587" s="478">
        <v>578</v>
      </c>
      <c r="E587" s="478">
        <v>20215000027553</v>
      </c>
      <c r="F587" s="310">
        <v>44342</v>
      </c>
      <c r="G587" s="309" t="s">
        <v>2640</v>
      </c>
      <c r="H587" s="210" t="s">
        <v>2641</v>
      </c>
      <c r="I587" s="210" t="s">
        <v>228</v>
      </c>
      <c r="J587" s="415">
        <v>13666667</v>
      </c>
      <c r="K587" s="210" t="s">
        <v>223</v>
      </c>
      <c r="L587" s="212" t="s">
        <v>236</v>
      </c>
      <c r="M587" s="210" t="s">
        <v>44</v>
      </c>
      <c r="N587" s="210" t="s">
        <v>45</v>
      </c>
      <c r="O587" s="210" t="s">
        <v>63</v>
      </c>
      <c r="P587" s="212" t="s">
        <v>674</v>
      </c>
      <c r="R587" s="212">
        <v>632</v>
      </c>
      <c r="S587" s="479">
        <v>44343</v>
      </c>
      <c r="T587" s="212" t="s">
        <v>2078</v>
      </c>
      <c r="U587" s="475">
        <f>13666667-666667</f>
        <v>13000000</v>
      </c>
      <c r="V587" s="406">
        <v>666667</v>
      </c>
      <c r="W587" s="680" t="s">
        <v>1509</v>
      </c>
      <c r="X587" s="483" t="s">
        <v>4491</v>
      </c>
      <c r="Y587" s="484">
        <v>44363</v>
      </c>
      <c r="Z587" s="484">
        <v>44363</v>
      </c>
      <c r="AA587" s="484">
        <v>44560</v>
      </c>
      <c r="AB587" s="486" t="s">
        <v>2650</v>
      </c>
      <c r="AC587" s="483" t="s">
        <v>4179</v>
      </c>
      <c r="AD587" s="486" t="s">
        <v>4492</v>
      </c>
      <c r="AE587" s="486" t="s">
        <v>4493</v>
      </c>
      <c r="AF587" s="496">
        <v>13000000</v>
      </c>
      <c r="AG587" s="474">
        <f t="shared" si="9"/>
        <v>0</v>
      </c>
      <c r="AM587" s="212"/>
    </row>
    <row r="588" spans="1:39" hidden="1" x14ac:dyDescent="0.3">
      <c r="A588" s="313" t="s">
        <v>2249</v>
      </c>
      <c r="B588" s="419">
        <v>39900000</v>
      </c>
      <c r="C588" s="212" t="s">
        <v>2646</v>
      </c>
      <c r="D588" s="478">
        <v>579</v>
      </c>
      <c r="E588" s="478">
        <v>20214000027603</v>
      </c>
      <c r="F588" s="310">
        <v>44344</v>
      </c>
      <c r="G588" s="311" t="s">
        <v>2673</v>
      </c>
      <c r="H588" s="441" t="s">
        <v>2674</v>
      </c>
      <c r="I588" s="441" t="s">
        <v>117</v>
      </c>
      <c r="J588" s="426">
        <v>34972000</v>
      </c>
      <c r="K588" s="441" t="s">
        <v>112</v>
      </c>
      <c r="L588" s="441" t="s">
        <v>2675</v>
      </c>
      <c r="M588" s="441" t="s">
        <v>44</v>
      </c>
      <c r="N588" s="441" t="s">
        <v>45</v>
      </c>
      <c r="O588" s="441" t="s">
        <v>63</v>
      </c>
      <c r="P588" s="441" t="s">
        <v>43</v>
      </c>
      <c r="R588" s="212">
        <v>634</v>
      </c>
      <c r="S588" s="490">
        <v>44347</v>
      </c>
      <c r="T588" s="486" t="s">
        <v>4494</v>
      </c>
      <c r="U588" s="475">
        <v>34972000</v>
      </c>
      <c r="V588" s="406"/>
      <c r="X588" s="483" t="s">
        <v>4495</v>
      </c>
      <c r="Y588" s="484">
        <v>44355</v>
      </c>
      <c r="Z588" s="484">
        <v>44355</v>
      </c>
      <c r="AA588" s="484">
        <v>44557</v>
      </c>
      <c r="AB588" s="486" t="s">
        <v>2650</v>
      </c>
      <c r="AC588" s="483" t="s">
        <v>3927</v>
      </c>
      <c r="AD588" s="486" t="s">
        <v>4496</v>
      </c>
      <c r="AE588" s="486" t="s">
        <v>2770</v>
      </c>
      <c r="AF588" s="496">
        <v>33306666</v>
      </c>
      <c r="AG588" s="474">
        <f t="shared" si="9"/>
        <v>1665334</v>
      </c>
      <c r="AM588" s="212"/>
    </row>
    <row r="589" spans="1:39" hidden="1" x14ac:dyDescent="0.3">
      <c r="A589" s="313" t="s">
        <v>2219</v>
      </c>
      <c r="B589" s="419">
        <v>32704000</v>
      </c>
      <c r="C589" s="212" t="s">
        <v>2646</v>
      </c>
      <c r="D589" s="478">
        <v>580</v>
      </c>
      <c r="E589" s="478">
        <v>20214000027783</v>
      </c>
      <c r="F589" s="310">
        <v>44344</v>
      </c>
      <c r="G589" s="311" t="s">
        <v>2673</v>
      </c>
      <c r="H589" s="441" t="s">
        <v>2674</v>
      </c>
      <c r="I589" s="441" t="s">
        <v>117</v>
      </c>
      <c r="J589" s="426">
        <v>24528000</v>
      </c>
      <c r="K589" s="441" t="s">
        <v>112</v>
      </c>
      <c r="L589" s="441" t="s">
        <v>2675</v>
      </c>
      <c r="M589" s="441" t="s">
        <v>44</v>
      </c>
      <c r="N589" s="441" t="s">
        <v>45</v>
      </c>
      <c r="O589" s="441" t="s">
        <v>63</v>
      </c>
      <c r="P589" s="441" t="s">
        <v>43</v>
      </c>
      <c r="R589" s="212">
        <v>636</v>
      </c>
      <c r="S589" s="490">
        <v>44347</v>
      </c>
      <c r="T589" s="486" t="s">
        <v>4497</v>
      </c>
      <c r="U589" s="475">
        <v>24528000</v>
      </c>
      <c r="V589" s="406"/>
      <c r="W589" s="464"/>
      <c r="X589" s="483" t="s">
        <v>4498</v>
      </c>
      <c r="Y589" s="484">
        <v>44358</v>
      </c>
      <c r="Z589" s="484">
        <v>44358</v>
      </c>
      <c r="AA589" s="484">
        <v>44540</v>
      </c>
      <c r="AB589" s="486" t="s">
        <v>2650</v>
      </c>
      <c r="AC589" s="483" t="s">
        <v>4076</v>
      </c>
      <c r="AD589" s="486" t="s">
        <v>4499</v>
      </c>
      <c r="AE589" s="486" t="s">
        <v>4500</v>
      </c>
      <c r="AF589" s="496">
        <v>24528000</v>
      </c>
      <c r="AG589" s="474">
        <f t="shared" si="9"/>
        <v>0</v>
      </c>
      <c r="AM589" s="212"/>
    </row>
    <row r="590" spans="1:39" hidden="1" x14ac:dyDescent="0.3">
      <c r="A590" s="313" t="s">
        <v>2339</v>
      </c>
      <c r="B590" s="419">
        <v>85500000</v>
      </c>
      <c r="C590" s="212" t="s">
        <v>2646</v>
      </c>
      <c r="D590" s="478">
        <v>581</v>
      </c>
      <c r="E590" s="478">
        <v>20216000027703</v>
      </c>
      <c r="F590" s="310">
        <v>44344</v>
      </c>
      <c r="G590" s="478" t="s">
        <v>2647</v>
      </c>
      <c r="H590" s="212" t="s">
        <v>2648</v>
      </c>
      <c r="I590" s="212" t="s">
        <v>214</v>
      </c>
      <c r="J590" s="480">
        <v>56000000</v>
      </c>
      <c r="K590" s="212" t="s">
        <v>138</v>
      </c>
      <c r="L590" s="212" t="s">
        <v>139</v>
      </c>
      <c r="M590" s="212" t="s">
        <v>44</v>
      </c>
      <c r="N590" s="212" t="s">
        <v>45</v>
      </c>
      <c r="O590" s="212" t="s">
        <v>142</v>
      </c>
      <c r="P590" s="212" t="s">
        <v>43</v>
      </c>
      <c r="R590" s="212">
        <v>635</v>
      </c>
      <c r="S590" s="490">
        <v>44347</v>
      </c>
      <c r="T590" s="486" t="s">
        <v>4501</v>
      </c>
      <c r="U590" s="475">
        <v>56000000</v>
      </c>
      <c r="V590" s="406"/>
      <c r="X590" s="483" t="s">
        <v>4502</v>
      </c>
      <c r="Y590" s="484">
        <v>44370</v>
      </c>
      <c r="Z590" s="484">
        <v>44370</v>
      </c>
      <c r="AA590" s="484">
        <v>44552</v>
      </c>
      <c r="AB590" s="486" t="s">
        <v>2650</v>
      </c>
      <c r="AC590" s="483" t="s">
        <v>4264</v>
      </c>
      <c r="AD590" s="486" t="s">
        <v>4503</v>
      </c>
      <c r="AE590" s="486" t="s">
        <v>4504</v>
      </c>
      <c r="AF590" s="496">
        <v>48000000</v>
      </c>
      <c r="AG590" s="474">
        <f t="shared" si="9"/>
        <v>8000000</v>
      </c>
      <c r="AM590" s="212"/>
    </row>
    <row r="591" spans="1:39" hidden="1" x14ac:dyDescent="0.3">
      <c r="A591" s="313" t="s">
        <v>2213</v>
      </c>
      <c r="B591" s="419">
        <v>41337934</v>
      </c>
      <c r="C591" s="212" t="s">
        <v>2646</v>
      </c>
      <c r="D591" s="478">
        <v>582</v>
      </c>
      <c r="E591" s="478">
        <v>20211300027863</v>
      </c>
      <c r="F591" s="310">
        <v>44344</v>
      </c>
      <c r="G591" s="478" t="s">
        <v>2647</v>
      </c>
      <c r="H591" s="212" t="s">
        <v>2648</v>
      </c>
      <c r="I591" s="212" t="s">
        <v>210</v>
      </c>
      <c r="J591" s="480">
        <v>29527096</v>
      </c>
      <c r="K591" s="212" t="s">
        <v>138</v>
      </c>
      <c r="L591" s="212" t="s">
        <v>139</v>
      </c>
      <c r="M591" s="212" t="s">
        <v>44</v>
      </c>
      <c r="N591" s="212" t="s">
        <v>45</v>
      </c>
      <c r="O591" s="212" t="s">
        <v>142</v>
      </c>
      <c r="P591" s="212" t="s">
        <v>43</v>
      </c>
      <c r="R591" s="212">
        <v>637</v>
      </c>
      <c r="S591" s="490">
        <v>44347</v>
      </c>
      <c r="T591" s="486" t="s">
        <v>4505</v>
      </c>
      <c r="U591" s="475">
        <v>29527096</v>
      </c>
      <c r="V591" s="406"/>
      <c r="X591" s="483" t="s">
        <v>4506</v>
      </c>
      <c r="Y591" s="484">
        <v>44365</v>
      </c>
      <c r="Z591" s="484">
        <v>44365</v>
      </c>
      <c r="AA591" s="484">
        <v>44517</v>
      </c>
      <c r="AB591" s="486" t="s">
        <v>2650</v>
      </c>
      <c r="AC591" s="483" t="s">
        <v>4041</v>
      </c>
      <c r="AD591" s="486" t="s">
        <v>3731</v>
      </c>
      <c r="AE591" s="486" t="s">
        <v>3732</v>
      </c>
      <c r="AF591" s="496">
        <v>29527095</v>
      </c>
      <c r="AG591" s="474">
        <f t="shared" si="9"/>
        <v>1</v>
      </c>
      <c r="AM591" s="212"/>
    </row>
    <row r="592" spans="1:39" hidden="1" x14ac:dyDescent="0.3">
      <c r="A592" s="313" t="s">
        <v>2214</v>
      </c>
      <c r="B592" s="419">
        <v>41337934</v>
      </c>
      <c r="C592" s="212" t="s">
        <v>2646</v>
      </c>
      <c r="D592" s="478">
        <v>583</v>
      </c>
      <c r="E592" s="478">
        <v>20211300027883</v>
      </c>
      <c r="F592" s="310">
        <v>44344</v>
      </c>
      <c r="G592" s="478" t="s">
        <v>2647</v>
      </c>
      <c r="H592" s="212" t="s">
        <v>2648</v>
      </c>
      <c r="I592" s="212" t="s">
        <v>210</v>
      </c>
      <c r="J592" s="480">
        <v>29527096</v>
      </c>
      <c r="K592" s="212" t="s">
        <v>138</v>
      </c>
      <c r="L592" s="212" t="s">
        <v>139</v>
      </c>
      <c r="M592" s="212" t="s">
        <v>44</v>
      </c>
      <c r="N592" s="212" t="s">
        <v>45</v>
      </c>
      <c r="O592" s="212" t="s">
        <v>142</v>
      </c>
      <c r="P592" s="212" t="s">
        <v>43</v>
      </c>
      <c r="R592" s="212">
        <v>638</v>
      </c>
      <c r="S592" s="490">
        <v>44347</v>
      </c>
      <c r="T592" s="486" t="s">
        <v>4507</v>
      </c>
      <c r="U592" s="475">
        <v>29527096</v>
      </c>
      <c r="V592" s="406"/>
      <c r="X592" s="483" t="s">
        <v>4508</v>
      </c>
      <c r="Y592" s="484">
        <v>44369</v>
      </c>
      <c r="Z592" s="484">
        <v>44369</v>
      </c>
      <c r="AA592" s="484">
        <v>44521</v>
      </c>
      <c r="AB592" s="486" t="s">
        <v>2650</v>
      </c>
      <c r="AC592" s="483" t="s">
        <v>4117</v>
      </c>
      <c r="AD592" s="486" t="s">
        <v>3988</v>
      </c>
      <c r="AE592" s="486" t="s">
        <v>3989</v>
      </c>
      <c r="AF592" s="496">
        <v>29527095</v>
      </c>
      <c r="AG592" s="474">
        <f t="shared" si="9"/>
        <v>1</v>
      </c>
      <c r="AM592" s="212"/>
    </row>
    <row r="593" spans="1:39" hidden="1" x14ac:dyDescent="0.3">
      <c r="C593" s="212" t="s">
        <v>4509</v>
      </c>
      <c r="D593" s="478">
        <v>584</v>
      </c>
      <c r="E593" s="478">
        <v>20217000027903</v>
      </c>
      <c r="F593" s="310">
        <v>44347</v>
      </c>
      <c r="G593" s="478" t="s">
        <v>2647</v>
      </c>
      <c r="H593" s="212" t="s">
        <v>2648</v>
      </c>
      <c r="I593" s="210" t="s">
        <v>164</v>
      </c>
      <c r="J593" s="475">
        <v>234069437</v>
      </c>
      <c r="K593" s="212" t="s">
        <v>138</v>
      </c>
      <c r="L593" s="212" t="s">
        <v>139</v>
      </c>
      <c r="M593" s="212" t="s">
        <v>44</v>
      </c>
      <c r="N593" s="212" t="s">
        <v>45</v>
      </c>
      <c r="O593" s="212" t="s">
        <v>142</v>
      </c>
      <c r="P593" s="212" t="s">
        <v>43</v>
      </c>
      <c r="R593" s="212">
        <v>639</v>
      </c>
      <c r="S593" s="490">
        <v>44347</v>
      </c>
      <c r="T593" s="212" t="s">
        <v>4509</v>
      </c>
      <c r="U593" s="475">
        <v>234069437</v>
      </c>
      <c r="V593" s="406"/>
      <c r="X593" s="483" t="s">
        <v>4510</v>
      </c>
      <c r="Y593" s="484">
        <v>44348</v>
      </c>
      <c r="Z593" s="484">
        <v>44348</v>
      </c>
      <c r="AA593" s="484">
        <v>44408</v>
      </c>
      <c r="AB593" s="486" t="s">
        <v>4511</v>
      </c>
      <c r="AC593" s="483" t="s">
        <v>3949</v>
      </c>
      <c r="AD593" s="486" t="s">
        <v>4512</v>
      </c>
      <c r="AE593" s="486" t="s">
        <v>4513</v>
      </c>
      <c r="AF593" s="699">
        <v>212260942</v>
      </c>
      <c r="AG593" s="474">
        <f t="shared" si="9"/>
        <v>21808495</v>
      </c>
      <c r="AM593" s="212"/>
    </row>
    <row r="594" spans="1:39" hidden="1" x14ac:dyDescent="0.3">
      <c r="C594" s="212" t="s">
        <v>4509</v>
      </c>
      <c r="D594" s="386">
        <v>584</v>
      </c>
      <c r="E594" s="478">
        <v>20217000027903</v>
      </c>
      <c r="F594" s="310">
        <v>44347</v>
      </c>
      <c r="G594" s="478" t="s">
        <v>2680</v>
      </c>
      <c r="H594" s="212" t="s">
        <v>2681</v>
      </c>
      <c r="I594" s="212" t="s">
        <v>47</v>
      </c>
      <c r="J594" s="475">
        <v>59008248</v>
      </c>
      <c r="K594" s="212" t="s">
        <v>37</v>
      </c>
      <c r="L594" s="212" t="s">
        <v>3180</v>
      </c>
      <c r="M594" s="212" t="s">
        <v>44</v>
      </c>
      <c r="N594" s="212" t="s">
        <v>45</v>
      </c>
      <c r="O594" s="212" t="s">
        <v>142</v>
      </c>
      <c r="P594" s="212" t="s">
        <v>43</v>
      </c>
      <c r="R594" s="329">
        <v>639</v>
      </c>
      <c r="S594" s="490">
        <v>44347</v>
      </c>
      <c r="T594" s="212" t="s">
        <v>4509</v>
      </c>
      <c r="U594" s="475">
        <v>59008248</v>
      </c>
      <c r="V594" s="406"/>
      <c r="X594" s="483" t="s">
        <v>4510</v>
      </c>
      <c r="Y594" s="484">
        <v>44348</v>
      </c>
      <c r="Z594" s="484">
        <v>44348</v>
      </c>
      <c r="AA594" s="484">
        <v>44408</v>
      </c>
      <c r="AB594" s="486" t="s">
        <v>4511</v>
      </c>
      <c r="AC594" s="483" t="s">
        <v>3949</v>
      </c>
      <c r="AD594" s="486" t="s">
        <v>4512</v>
      </c>
      <c r="AE594" s="486" t="s">
        <v>4513</v>
      </c>
      <c r="AF594" s="496">
        <v>53510388</v>
      </c>
      <c r="AG594" s="474">
        <f t="shared" si="9"/>
        <v>5497860</v>
      </c>
      <c r="AM594" s="212"/>
    </row>
    <row r="595" spans="1:39" hidden="1" x14ac:dyDescent="0.3">
      <c r="A595" s="476" t="s">
        <v>1952</v>
      </c>
      <c r="B595" s="477">
        <v>59500000</v>
      </c>
      <c r="C595" s="212" t="s">
        <v>2646</v>
      </c>
      <c r="D595" s="478">
        <v>585</v>
      </c>
      <c r="E595" s="478">
        <v>20216000028303</v>
      </c>
      <c r="F595" s="479">
        <v>44349</v>
      </c>
      <c r="G595" s="478" t="s">
        <v>2647</v>
      </c>
      <c r="H595" s="212" t="s">
        <v>2648</v>
      </c>
      <c r="I595" s="212" t="s">
        <v>214</v>
      </c>
      <c r="J595" s="475">
        <v>59500000</v>
      </c>
      <c r="K595" s="212" t="s">
        <v>138</v>
      </c>
      <c r="L595" s="212" t="s">
        <v>139</v>
      </c>
      <c r="M595" s="212" t="s">
        <v>44</v>
      </c>
      <c r="N595" s="212" t="s">
        <v>45</v>
      </c>
      <c r="O595" s="212" t="s">
        <v>142</v>
      </c>
      <c r="P595" s="212" t="s">
        <v>43</v>
      </c>
      <c r="R595" s="212">
        <v>641</v>
      </c>
      <c r="S595" s="490">
        <v>44349</v>
      </c>
      <c r="T595" s="212" t="s">
        <v>4514</v>
      </c>
      <c r="U595" s="480">
        <v>59500000</v>
      </c>
      <c r="V595" s="406"/>
      <c r="X595" s="483" t="s">
        <v>4150</v>
      </c>
      <c r="Y595" s="490">
        <v>44377</v>
      </c>
      <c r="Z595" s="490">
        <v>44377</v>
      </c>
      <c r="AA595" s="490">
        <v>44559</v>
      </c>
      <c r="AB595" s="486" t="s">
        <v>2650</v>
      </c>
      <c r="AC595" s="483" t="s">
        <v>4243</v>
      </c>
      <c r="AD595" s="486" t="s">
        <v>4515</v>
      </c>
      <c r="AE595" s="486" t="s">
        <v>4516</v>
      </c>
      <c r="AF595" s="496">
        <v>51000000</v>
      </c>
      <c r="AG595" s="474">
        <f t="shared" si="9"/>
        <v>8500000</v>
      </c>
      <c r="AM595" s="212"/>
    </row>
    <row r="596" spans="1:39" s="312" customFormat="1" hidden="1" x14ac:dyDescent="0.3">
      <c r="A596" s="361" t="s">
        <v>1969</v>
      </c>
      <c r="B596" s="417">
        <v>45500000</v>
      </c>
      <c r="C596" s="312" t="s">
        <v>2762</v>
      </c>
      <c r="D596" s="325">
        <v>586</v>
      </c>
      <c r="E596" s="325">
        <v>20216000028283</v>
      </c>
      <c r="F596" s="315">
        <v>44349</v>
      </c>
      <c r="G596" s="325" t="s">
        <v>2647</v>
      </c>
      <c r="H596" s="312" t="s">
        <v>2648</v>
      </c>
      <c r="I596" s="312" t="s">
        <v>214</v>
      </c>
      <c r="J596" s="405">
        <v>42000000</v>
      </c>
      <c r="K596" s="312" t="s">
        <v>138</v>
      </c>
      <c r="L596" s="312" t="s">
        <v>139</v>
      </c>
      <c r="M596" s="312" t="s">
        <v>44</v>
      </c>
      <c r="N596" s="312" t="s">
        <v>45</v>
      </c>
      <c r="O596" s="312" t="s">
        <v>142</v>
      </c>
      <c r="P596" s="312" t="s">
        <v>43</v>
      </c>
      <c r="R596" s="312">
        <v>642</v>
      </c>
      <c r="S596" s="363">
        <v>44349</v>
      </c>
      <c r="T596" s="312" t="s">
        <v>4517</v>
      </c>
      <c r="U596" s="406">
        <f>42000000-42000000</f>
        <v>0</v>
      </c>
      <c r="V596" s="406">
        <v>42000000</v>
      </c>
      <c r="W596" s="362" t="s">
        <v>1509</v>
      </c>
      <c r="X596" s="314"/>
      <c r="Y596" s="358"/>
      <c r="Z596" s="358"/>
      <c r="AA596" s="358"/>
      <c r="AB596" s="317"/>
      <c r="AC596" s="316"/>
      <c r="AD596" s="317"/>
      <c r="AF596" s="410"/>
      <c r="AG596" s="318">
        <f t="shared" si="9"/>
        <v>0</v>
      </c>
      <c r="AH596" s="405"/>
      <c r="AI596" s="405"/>
      <c r="AJ596" s="405"/>
      <c r="AK596" s="405"/>
      <c r="AL596" s="405"/>
      <c r="AM596" s="212"/>
    </row>
    <row r="597" spans="1:39" hidden="1" x14ac:dyDescent="0.3">
      <c r="A597" s="313" t="s">
        <v>2385</v>
      </c>
      <c r="B597" s="419">
        <v>35000000</v>
      </c>
      <c r="C597" s="212" t="s">
        <v>2646</v>
      </c>
      <c r="D597" s="478">
        <v>587</v>
      </c>
      <c r="E597" s="478">
        <v>20216000028273</v>
      </c>
      <c r="F597" s="479">
        <v>44349</v>
      </c>
      <c r="G597" s="478" t="s">
        <v>2647</v>
      </c>
      <c r="H597" s="212" t="s">
        <v>2648</v>
      </c>
      <c r="I597" s="212" t="s">
        <v>214</v>
      </c>
      <c r="J597" s="480">
        <v>35000000</v>
      </c>
      <c r="K597" s="212" t="s">
        <v>138</v>
      </c>
      <c r="L597" s="212" t="s">
        <v>139</v>
      </c>
      <c r="M597" s="212" t="s">
        <v>44</v>
      </c>
      <c r="N597" s="212" t="s">
        <v>45</v>
      </c>
      <c r="O597" s="212" t="s">
        <v>142</v>
      </c>
      <c r="P597" s="212" t="s">
        <v>43</v>
      </c>
      <c r="R597" s="212">
        <v>643</v>
      </c>
      <c r="S597" s="479">
        <v>44349</v>
      </c>
      <c r="T597" s="212" t="s">
        <v>4518</v>
      </c>
      <c r="U597" s="480">
        <v>35000000</v>
      </c>
      <c r="V597" s="406"/>
      <c r="X597" s="483" t="s">
        <v>4519</v>
      </c>
      <c r="Y597" s="484">
        <v>44355</v>
      </c>
      <c r="Z597" s="484">
        <v>44355</v>
      </c>
      <c r="AA597" s="484">
        <v>44554</v>
      </c>
      <c r="AB597" s="486" t="s">
        <v>2650</v>
      </c>
      <c r="AC597" s="483" t="s">
        <v>3978</v>
      </c>
      <c r="AD597" s="486" t="s">
        <v>4520</v>
      </c>
      <c r="AE597" s="486" t="s">
        <v>4521</v>
      </c>
      <c r="AF597" s="496">
        <v>31330000</v>
      </c>
      <c r="AG597" s="474">
        <f t="shared" si="9"/>
        <v>3670000</v>
      </c>
      <c r="AM597" s="212"/>
    </row>
    <row r="598" spans="1:39" hidden="1" x14ac:dyDescent="0.3">
      <c r="A598" s="313"/>
      <c r="B598" s="419"/>
      <c r="C598" s="212" t="s">
        <v>4522</v>
      </c>
      <c r="D598" s="478">
        <v>588</v>
      </c>
      <c r="E598" s="478">
        <v>20212000028203</v>
      </c>
      <c r="F598" s="479">
        <v>44349</v>
      </c>
      <c r="G598" s="478" t="s">
        <v>2640</v>
      </c>
      <c r="H598" s="212" t="s">
        <v>2641</v>
      </c>
      <c r="I598" s="212" t="s">
        <v>391</v>
      </c>
      <c r="J598" s="480">
        <v>490454490</v>
      </c>
      <c r="K598" s="212" t="s">
        <v>2711</v>
      </c>
      <c r="L598" s="212" t="s">
        <v>4523</v>
      </c>
      <c r="M598" s="212" t="s">
        <v>44</v>
      </c>
      <c r="N598" s="212" t="s">
        <v>2936</v>
      </c>
      <c r="O598" s="212" t="s">
        <v>255</v>
      </c>
      <c r="P598" s="212" t="s">
        <v>4407</v>
      </c>
      <c r="R598" s="212">
        <v>644</v>
      </c>
      <c r="S598" s="479">
        <v>44349</v>
      </c>
      <c r="T598" s="212" t="s">
        <v>4524</v>
      </c>
      <c r="U598" s="475">
        <v>490454490</v>
      </c>
      <c r="V598" s="406"/>
      <c r="X598" s="483" t="s">
        <v>4525</v>
      </c>
      <c r="Y598" s="484">
        <v>44355</v>
      </c>
      <c r="Z598" s="484">
        <v>44355</v>
      </c>
      <c r="AA598" s="484">
        <v>44561</v>
      </c>
      <c r="AB598" s="486" t="s">
        <v>3106</v>
      </c>
      <c r="AC598" s="483" t="s">
        <v>3520</v>
      </c>
      <c r="AD598" s="486" t="s">
        <v>3543</v>
      </c>
      <c r="AE598" s="486" t="s">
        <v>3544</v>
      </c>
      <c r="AF598" s="496">
        <v>490454490</v>
      </c>
      <c r="AG598" s="474">
        <f t="shared" si="9"/>
        <v>0</v>
      </c>
      <c r="AM598" s="306">
        <v>490454490</v>
      </c>
    </row>
    <row r="599" spans="1:39" hidden="1" x14ac:dyDescent="0.3">
      <c r="A599" s="313" t="s">
        <v>1736</v>
      </c>
      <c r="B599" s="419">
        <v>20000000</v>
      </c>
      <c r="C599" s="212" t="s">
        <v>4526</v>
      </c>
      <c r="D599" s="478">
        <v>589</v>
      </c>
      <c r="E599" s="478">
        <v>20213000027343</v>
      </c>
      <c r="F599" s="479">
        <v>44349</v>
      </c>
      <c r="G599" s="378" t="s">
        <v>2640</v>
      </c>
      <c r="H599" s="377" t="s">
        <v>2641</v>
      </c>
      <c r="I599" s="377" t="s">
        <v>432</v>
      </c>
      <c r="J599" s="424">
        <v>20000000</v>
      </c>
      <c r="K599" s="468" t="s">
        <v>342</v>
      </c>
      <c r="L599" s="377" t="s">
        <v>351</v>
      </c>
      <c r="M599" s="377" t="s">
        <v>44</v>
      </c>
      <c r="N599" s="377" t="s">
        <v>45</v>
      </c>
      <c r="O599" s="377" t="s">
        <v>63</v>
      </c>
      <c r="P599" s="377" t="s">
        <v>4488</v>
      </c>
      <c r="Q599" s="468"/>
      <c r="R599" s="212">
        <v>647</v>
      </c>
      <c r="S599" s="479">
        <v>44349</v>
      </c>
      <c r="T599" s="212" t="s">
        <v>1736</v>
      </c>
      <c r="U599" s="475">
        <v>20000000</v>
      </c>
      <c r="V599" s="406"/>
      <c r="W599" s="362"/>
      <c r="AF599" s="496"/>
      <c r="AG599" s="474">
        <f t="shared" si="9"/>
        <v>20000000</v>
      </c>
      <c r="AM599" s="212"/>
    </row>
    <row r="600" spans="1:39" hidden="1" x14ac:dyDescent="0.3">
      <c r="A600" s="313" t="s">
        <v>2275</v>
      </c>
      <c r="B600" s="419">
        <v>100000000</v>
      </c>
      <c r="C600" s="212" t="s">
        <v>4527</v>
      </c>
      <c r="D600" s="478">
        <v>590</v>
      </c>
      <c r="E600" s="478">
        <v>20213000027353</v>
      </c>
      <c r="F600" s="479">
        <v>44349</v>
      </c>
      <c r="G600" s="378" t="s">
        <v>2640</v>
      </c>
      <c r="H600" s="377" t="s">
        <v>2641</v>
      </c>
      <c r="I600" s="377" t="s">
        <v>432</v>
      </c>
      <c r="J600" s="424">
        <v>100000000</v>
      </c>
      <c r="K600" s="468" t="s">
        <v>342</v>
      </c>
      <c r="L600" s="377" t="s">
        <v>351</v>
      </c>
      <c r="M600" s="377" t="s">
        <v>44</v>
      </c>
      <c r="N600" s="377" t="s">
        <v>45</v>
      </c>
      <c r="O600" s="377" t="s">
        <v>63</v>
      </c>
      <c r="P600" s="377" t="s">
        <v>4488</v>
      </c>
      <c r="R600" s="212">
        <v>646</v>
      </c>
      <c r="S600" s="479">
        <v>44349</v>
      </c>
      <c r="T600" s="212" t="s">
        <v>2275</v>
      </c>
      <c r="U600" s="475">
        <v>100000000</v>
      </c>
      <c r="V600" s="406"/>
      <c r="W600" s="362"/>
      <c r="AF600" s="496"/>
      <c r="AG600" s="474">
        <f t="shared" si="9"/>
        <v>100000000</v>
      </c>
      <c r="AM600" s="212"/>
    </row>
    <row r="601" spans="1:39" hidden="1" x14ac:dyDescent="0.3">
      <c r="A601" s="313" t="s">
        <v>2464</v>
      </c>
      <c r="B601" s="419">
        <v>24589800</v>
      </c>
      <c r="C601" s="212" t="s">
        <v>2646</v>
      </c>
      <c r="D601" s="478">
        <v>591</v>
      </c>
      <c r="E601" s="478">
        <v>20213000027953</v>
      </c>
      <c r="F601" s="479">
        <v>44349</v>
      </c>
      <c r="G601" s="378" t="s">
        <v>2640</v>
      </c>
      <c r="H601" s="377" t="s">
        <v>2641</v>
      </c>
      <c r="I601" s="377" t="s">
        <v>432</v>
      </c>
      <c r="J601" s="424">
        <v>24530202</v>
      </c>
      <c r="K601" s="468" t="s">
        <v>342</v>
      </c>
      <c r="L601" s="377" t="s">
        <v>351</v>
      </c>
      <c r="M601" s="377" t="s">
        <v>44</v>
      </c>
      <c r="N601" s="377" t="s">
        <v>45</v>
      </c>
      <c r="O601" s="377" t="s">
        <v>63</v>
      </c>
      <c r="P601" s="377" t="s">
        <v>674</v>
      </c>
      <c r="R601" s="212">
        <v>645</v>
      </c>
      <c r="S601" s="479">
        <v>44349</v>
      </c>
      <c r="T601" s="212" t="s">
        <v>2464</v>
      </c>
      <c r="U601" s="475">
        <v>24530202</v>
      </c>
      <c r="V601" s="406"/>
      <c r="X601" s="483" t="s">
        <v>4528</v>
      </c>
      <c r="Y601" s="484">
        <v>44362</v>
      </c>
      <c r="Z601" s="484">
        <v>44362</v>
      </c>
      <c r="AA601" s="484">
        <v>44544</v>
      </c>
      <c r="AB601" s="486" t="s">
        <v>2650</v>
      </c>
      <c r="AC601" s="483" t="s">
        <v>4529</v>
      </c>
      <c r="AD601" s="486" t="s">
        <v>4530</v>
      </c>
      <c r="AE601" s="486" t="s">
        <v>2979</v>
      </c>
      <c r="AF601" s="496">
        <v>24530202</v>
      </c>
      <c r="AG601" s="474">
        <f t="shared" si="9"/>
        <v>0</v>
      </c>
      <c r="AM601" s="212"/>
    </row>
    <row r="602" spans="1:39" s="312" customFormat="1" hidden="1" x14ac:dyDescent="0.3">
      <c r="A602" s="361"/>
      <c r="B602" s="417"/>
      <c r="C602" s="312" t="s">
        <v>4531</v>
      </c>
      <c r="D602" s="325">
        <v>592</v>
      </c>
      <c r="E602" s="325">
        <v>20213000028183</v>
      </c>
      <c r="F602" s="315">
        <v>44349</v>
      </c>
      <c r="G602" s="381" t="s">
        <v>2640</v>
      </c>
      <c r="H602" s="364" t="s">
        <v>2641</v>
      </c>
      <c r="I602" s="364" t="s">
        <v>432</v>
      </c>
      <c r="J602" s="408">
        <v>8176734</v>
      </c>
      <c r="K602" s="364" t="s">
        <v>342</v>
      </c>
      <c r="L602" s="364" t="s">
        <v>351</v>
      </c>
      <c r="M602" s="364" t="s">
        <v>44</v>
      </c>
      <c r="N602" s="364" t="s">
        <v>45</v>
      </c>
      <c r="O602" s="364" t="s">
        <v>63</v>
      </c>
      <c r="P602" s="364" t="s">
        <v>674</v>
      </c>
      <c r="Q602" s="312" t="s">
        <v>3300</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3">
      <c r="A603" s="313" t="s">
        <v>4144</v>
      </c>
      <c r="B603" s="419">
        <v>117952800</v>
      </c>
      <c r="C603" s="212" t="s">
        <v>4532</v>
      </c>
      <c r="D603" s="478">
        <v>593</v>
      </c>
      <c r="E603" s="478">
        <v>20215000028213</v>
      </c>
      <c r="F603" s="479">
        <v>44350</v>
      </c>
      <c r="G603" s="309" t="s">
        <v>2640</v>
      </c>
      <c r="H603" s="210" t="s">
        <v>2641</v>
      </c>
      <c r="I603" s="210" t="s">
        <v>228</v>
      </c>
      <c r="J603" s="415">
        <v>117952800</v>
      </c>
      <c r="K603" s="212" t="s">
        <v>223</v>
      </c>
      <c r="L603" s="212" t="s">
        <v>257</v>
      </c>
      <c r="M603" s="212" t="s">
        <v>44</v>
      </c>
      <c r="N603" s="212" t="s">
        <v>45</v>
      </c>
      <c r="O603" s="212" t="s">
        <v>46</v>
      </c>
      <c r="P603" s="212" t="s">
        <v>674</v>
      </c>
      <c r="R603" s="212">
        <v>650</v>
      </c>
      <c r="S603" s="479">
        <v>44350</v>
      </c>
      <c r="T603" s="212" t="s">
        <v>4533</v>
      </c>
      <c r="U603" s="415">
        <v>117952800</v>
      </c>
      <c r="V603" s="406"/>
      <c r="W603" s="362"/>
      <c r="AF603" s="496"/>
      <c r="AG603" s="474"/>
      <c r="AM603" s="212"/>
    </row>
    <row r="604" spans="1:39" hidden="1" x14ac:dyDescent="0.3">
      <c r="A604" s="313"/>
      <c r="B604" s="419" t="s">
        <v>4390</v>
      </c>
      <c r="C604" s="212" t="s">
        <v>4485</v>
      </c>
      <c r="D604" s="478">
        <v>594</v>
      </c>
      <c r="E604" s="478">
        <v>20215000028503</v>
      </c>
      <c r="F604" s="479">
        <v>44350</v>
      </c>
      <c r="G604" s="309" t="s">
        <v>2640</v>
      </c>
      <c r="H604" s="210" t="s">
        <v>2641</v>
      </c>
      <c r="I604" s="210" t="s">
        <v>228</v>
      </c>
      <c r="J604" s="415">
        <v>114240000</v>
      </c>
      <c r="K604" s="212" t="s">
        <v>223</v>
      </c>
      <c r="L604" s="212" t="s">
        <v>236</v>
      </c>
      <c r="M604" s="212" t="s">
        <v>44</v>
      </c>
      <c r="N604" s="212" t="s">
        <v>45</v>
      </c>
      <c r="O604" s="212" t="s">
        <v>63</v>
      </c>
      <c r="P604" s="212" t="s">
        <v>674</v>
      </c>
      <c r="R604" s="212">
        <v>652</v>
      </c>
      <c r="S604" s="479">
        <v>44350</v>
      </c>
      <c r="T604" s="212" t="s">
        <v>4534</v>
      </c>
      <c r="U604" s="693">
        <v>114240000</v>
      </c>
      <c r="V604" s="406"/>
      <c r="X604" s="483" t="s">
        <v>4535</v>
      </c>
      <c r="Y604" s="484">
        <v>44352</v>
      </c>
      <c r="Z604" s="484">
        <v>44322</v>
      </c>
      <c r="AA604" s="484">
        <v>44535</v>
      </c>
      <c r="AB604" s="486" t="s">
        <v>4042</v>
      </c>
      <c r="AC604" s="483" t="s">
        <v>4054</v>
      </c>
      <c r="AD604" s="486" t="s">
        <v>4536</v>
      </c>
      <c r="AE604" s="486" t="s">
        <v>4537</v>
      </c>
      <c r="AF604" s="496">
        <v>114240000</v>
      </c>
      <c r="AG604" s="474">
        <f t="shared" ref="AG604:AG617" si="10">+U604-AF604</f>
        <v>0</v>
      </c>
      <c r="AM604" s="212"/>
    </row>
    <row r="605" spans="1:39" hidden="1" x14ac:dyDescent="0.3">
      <c r="A605" s="313" t="s">
        <v>1855</v>
      </c>
      <c r="B605" s="419">
        <v>120000000</v>
      </c>
      <c r="C605" s="212" t="s">
        <v>4538</v>
      </c>
      <c r="D605" s="478">
        <v>595</v>
      </c>
      <c r="E605" s="478">
        <v>20215000028193</v>
      </c>
      <c r="F605" s="479">
        <v>44350</v>
      </c>
      <c r="G605" s="309" t="s">
        <v>2640</v>
      </c>
      <c r="H605" s="210" t="s">
        <v>2641</v>
      </c>
      <c r="I605" s="210" t="s">
        <v>228</v>
      </c>
      <c r="J605" s="415">
        <v>120000000</v>
      </c>
      <c r="K605" s="212" t="s">
        <v>223</v>
      </c>
      <c r="L605" s="212" t="s">
        <v>236</v>
      </c>
      <c r="M605" s="212" t="s">
        <v>44</v>
      </c>
      <c r="N605" s="212" t="s">
        <v>45</v>
      </c>
      <c r="O605" s="212" t="s">
        <v>63</v>
      </c>
      <c r="P605" s="212" t="s">
        <v>674</v>
      </c>
      <c r="R605" s="212">
        <v>649</v>
      </c>
      <c r="S605" s="479">
        <v>44350</v>
      </c>
      <c r="T605" s="212" t="s">
        <v>4539</v>
      </c>
      <c r="U605" s="693">
        <v>120000000</v>
      </c>
      <c r="V605" s="406"/>
      <c r="W605" s="362"/>
      <c r="AF605" s="496"/>
      <c r="AG605" s="474">
        <f t="shared" si="10"/>
        <v>120000000</v>
      </c>
      <c r="AM605" s="212"/>
    </row>
    <row r="606" spans="1:39" hidden="1" x14ac:dyDescent="0.3">
      <c r="A606" s="313"/>
      <c r="B606" s="419"/>
      <c r="C606" s="212" t="s">
        <v>4531</v>
      </c>
      <c r="D606" s="478">
        <v>596</v>
      </c>
      <c r="E606" s="478">
        <v>20213000028523</v>
      </c>
      <c r="F606" s="479">
        <v>44350</v>
      </c>
      <c r="G606" s="478" t="s">
        <v>2640</v>
      </c>
      <c r="H606" s="212" t="s">
        <v>2641</v>
      </c>
      <c r="I606" s="212" t="s">
        <v>432</v>
      </c>
      <c r="J606" s="480">
        <v>8176734</v>
      </c>
      <c r="K606" s="212" t="s">
        <v>358</v>
      </c>
      <c r="L606" s="212" t="s">
        <v>4305</v>
      </c>
      <c r="M606" s="212" t="s">
        <v>44</v>
      </c>
      <c r="N606" s="212" t="s">
        <v>45</v>
      </c>
      <c r="O606" s="212" t="s">
        <v>63</v>
      </c>
      <c r="P606" s="212" t="s">
        <v>674</v>
      </c>
      <c r="R606" s="212">
        <v>653</v>
      </c>
      <c r="S606" s="479">
        <v>44350</v>
      </c>
      <c r="T606" s="212" t="s">
        <v>4540</v>
      </c>
      <c r="U606" s="480">
        <v>8176734</v>
      </c>
      <c r="V606" s="406"/>
      <c r="X606" s="483" t="s">
        <v>4541</v>
      </c>
      <c r="Y606" s="484">
        <v>44356</v>
      </c>
      <c r="Z606" s="484">
        <v>44356</v>
      </c>
      <c r="AA606" s="484">
        <v>44416</v>
      </c>
      <c r="AB606" s="486" t="s">
        <v>2650</v>
      </c>
      <c r="AC606" s="483" t="s">
        <v>4542</v>
      </c>
      <c r="AD606" s="486" t="s">
        <v>4543</v>
      </c>
      <c r="AE606" s="486" t="s">
        <v>2981</v>
      </c>
      <c r="AF606" s="496">
        <v>8176734</v>
      </c>
      <c r="AG606" s="474">
        <f t="shared" si="10"/>
        <v>0</v>
      </c>
      <c r="AM606" s="212"/>
    </row>
    <row r="607" spans="1:39" hidden="1" x14ac:dyDescent="0.3">
      <c r="A607" s="313" t="s">
        <v>2087</v>
      </c>
      <c r="B607" s="419">
        <v>24000000</v>
      </c>
      <c r="C607" s="212" t="s">
        <v>2646</v>
      </c>
      <c r="D607" s="478">
        <v>597</v>
      </c>
      <c r="E607" s="478">
        <v>20213000028423</v>
      </c>
      <c r="F607" s="479">
        <v>44350</v>
      </c>
      <c r="G607" s="478" t="s">
        <v>2640</v>
      </c>
      <c r="H607" s="212" t="s">
        <v>2641</v>
      </c>
      <c r="I607" s="212" t="s">
        <v>432</v>
      </c>
      <c r="J607" s="480">
        <v>24000000</v>
      </c>
      <c r="K607" s="212" t="s">
        <v>342</v>
      </c>
      <c r="L607" s="212" t="s">
        <v>351</v>
      </c>
      <c r="M607" s="212" t="s">
        <v>44</v>
      </c>
      <c r="N607" s="212" t="s">
        <v>45</v>
      </c>
      <c r="O607" s="212" t="s">
        <v>63</v>
      </c>
      <c r="P607" s="212" t="s">
        <v>674</v>
      </c>
      <c r="R607" s="212">
        <v>651</v>
      </c>
      <c r="S607" s="479">
        <v>44350</v>
      </c>
      <c r="T607" s="212" t="s">
        <v>4544</v>
      </c>
      <c r="U607" s="480">
        <v>24000000</v>
      </c>
      <c r="V607" s="406"/>
      <c r="X607" s="530" t="s">
        <v>4545</v>
      </c>
      <c r="Y607" s="491">
        <v>44371</v>
      </c>
      <c r="Z607" s="491">
        <v>44371</v>
      </c>
      <c r="AA607" s="491">
        <v>44553</v>
      </c>
      <c r="AB607" s="493" t="s">
        <v>2650</v>
      </c>
      <c r="AC607" s="530" t="s">
        <v>2945</v>
      </c>
      <c r="AD607" s="493" t="s">
        <v>4546</v>
      </c>
      <c r="AE607" s="493" t="s">
        <v>4547</v>
      </c>
      <c r="AF607" s="496">
        <v>24000000</v>
      </c>
      <c r="AG607" s="474">
        <f t="shared" si="10"/>
        <v>0</v>
      </c>
      <c r="AM607" s="212"/>
    </row>
    <row r="608" spans="1:39" hidden="1" x14ac:dyDescent="0.3">
      <c r="A608" s="313" t="s">
        <v>1866</v>
      </c>
      <c r="B608" s="419">
        <v>18000000</v>
      </c>
      <c r="C608" s="212" t="s">
        <v>2646</v>
      </c>
      <c r="D608" s="478">
        <v>598</v>
      </c>
      <c r="E608" s="478">
        <v>20213000027333</v>
      </c>
      <c r="F608" s="479">
        <v>44350</v>
      </c>
      <c r="G608" s="478" t="s">
        <v>2640</v>
      </c>
      <c r="H608" s="212" t="s">
        <v>2641</v>
      </c>
      <c r="I608" s="212" t="s">
        <v>432</v>
      </c>
      <c r="J608" s="480">
        <v>18000000</v>
      </c>
      <c r="K608" s="212" t="s">
        <v>342</v>
      </c>
      <c r="L608" s="212" t="s">
        <v>351</v>
      </c>
      <c r="M608" s="212" t="s">
        <v>44</v>
      </c>
      <c r="N608" s="212" t="s">
        <v>45</v>
      </c>
      <c r="O608" s="212" t="s">
        <v>63</v>
      </c>
      <c r="P608" s="212" t="s">
        <v>674</v>
      </c>
      <c r="R608" s="212">
        <v>648</v>
      </c>
      <c r="S608" s="479">
        <v>44350</v>
      </c>
      <c r="T608" s="212" t="s">
        <v>4548</v>
      </c>
      <c r="U608" s="480">
        <v>18000000</v>
      </c>
      <c r="V608" s="406"/>
      <c r="X608" s="483" t="s">
        <v>4549</v>
      </c>
      <c r="Y608" s="484">
        <v>44363</v>
      </c>
      <c r="Z608" s="484">
        <v>44364</v>
      </c>
      <c r="AA608" s="484">
        <v>44546</v>
      </c>
      <c r="AB608" s="486" t="s">
        <v>2650</v>
      </c>
      <c r="AC608" s="483" t="s">
        <v>4089</v>
      </c>
      <c r="AD608" s="486" t="s">
        <v>4550</v>
      </c>
      <c r="AE608" s="486" t="s">
        <v>4551</v>
      </c>
      <c r="AF608" s="496">
        <v>18000000</v>
      </c>
      <c r="AG608" s="474">
        <f t="shared" si="10"/>
        <v>0</v>
      </c>
      <c r="AM608" s="212"/>
    </row>
    <row r="609" spans="1:39" hidden="1" x14ac:dyDescent="0.3">
      <c r="A609" s="313" t="s">
        <v>2589</v>
      </c>
      <c r="B609" s="419">
        <v>21000000</v>
      </c>
      <c r="C609" s="212" t="s">
        <v>2646</v>
      </c>
      <c r="D609" s="478">
        <v>599</v>
      </c>
      <c r="E609" s="478">
        <v>20214000029113</v>
      </c>
      <c r="F609" s="479">
        <v>44356</v>
      </c>
      <c r="G609" s="478" t="s">
        <v>2673</v>
      </c>
      <c r="H609" s="212" t="s">
        <v>2674</v>
      </c>
      <c r="I609" s="212" t="s">
        <v>117</v>
      </c>
      <c r="J609" s="480">
        <v>15000000</v>
      </c>
      <c r="K609" s="212" t="s">
        <v>112</v>
      </c>
      <c r="L609" s="212" t="s">
        <v>2675</v>
      </c>
      <c r="M609" s="212" t="s">
        <v>44</v>
      </c>
      <c r="N609" s="212" t="s">
        <v>45</v>
      </c>
      <c r="O609" s="212" t="s">
        <v>63</v>
      </c>
      <c r="P609" s="212" t="s">
        <v>43</v>
      </c>
      <c r="R609" s="212">
        <v>661</v>
      </c>
      <c r="S609" s="479">
        <v>44357</v>
      </c>
      <c r="T609" s="212" t="s">
        <v>4552</v>
      </c>
      <c r="U609" s="480">
        <v>15000000</v>
      </c>
      <c r="V609" s="406"/>
      <c r="X609" s="483" t="s">
        <v>4553</v>
      </c>
      <c r="Y609" s="490">
        <v>44376</v>
      </c>
      <c r="Z609" s="490">
        <v>44376</v>
      </c>
      <c r="AA609" s="490">
        <v>44528</v>
      </c>
      <c r="AB609" s="486" t="s">
        <v>2650</v>
      </c>
      <c r="AC609" s="483" t="s">
        <v>3913</v>
      </c>
      <c r="AD609" s="486" t="s">
        <v>4554</v>
      </c>
      <c r="AE609" s="486" t="s">
        <v>3021</v>
      </c>
      <c r="AF609" s="692">
        <v>15000000</v>
      </c>
      <c r="AG609" s="474">
        <f t="shared" si="10"/>
        <v>0</v>
      </c>
      <c r="AM609" s="212"/>
    </row>
    <row r="610" spans="1:39" hidden="1" x14ac:dyDescent="0.3">
      <c r="A610" s="313" t="s">
        <v>2223</v>
      </c>
      <c r="B610" s="419">
        <v>42000000</v>
      </c>
      <c r="C610" s="212" t="s">
        <v>2646</v>
      </c>
      <c r="D610" s="478">
        <v>600</v>
      </c>
      <c r="E610" s="478">
        <v>20214000029123</v>
      </c>
      <c r="F610" s="479">
        <v>44356</v>
      </c>
      <c r="G610" s="478" t="s">
        <v>2680</v>
      </c>
      <c r="H610" s="212" t="s">
        <v>2681</v>
      </c>
      <c r="I610" s="212" t="s">
        <v>47</v>
      </c>
      <c r="J610" s="480">
        <v>30000000</v>
      </c>
      <c r="K610" s="212" t="s">
        <v>37</v>
      </c>
      <c r="L610" s="212" t="s">
        <v>2682</v>
      </c>
      <c r="M610" s="212" t="s">
        <v>44</v>
      </c>
      <c r="N610" s="212" t="s">
        <v>45</v>
      </c>
      <c r="O610" s="212" t="s">
        <v>310</v>
      </c>
      <c r="P610" s="212" t="s">
        <v>43</v>
      </c>
      <c r="R610" s="212">
        <v>658</v>
      </c>
      <c r="S610" s="479">
        <v>44357</v>
      </c>
      <c r="T610" s="212" t="s">
        <v>4555</v>
      </c>
      <c r="U610" s="480">
        <v>30000000</v>
      </c>
      <c r="V610" s="406"/>
      <c r="W610" s="362"/>
      <c r="AF610" s="496"/>
      <c r="AG610" s="474">
        <f t="shared" si="10"/>
        <v>30000000</v>
      </c>
      <c r="AM610" s="212"/>
    </row>
    <row r="611" spans="1:39" hidden="1" x14ac:dyDescent="0.3">
      <c r="A611" s="313" t="s">
        <v>2240</v>
      </c>
      <c r="B611" s="419">
        <v>39900000</v>
      </c>
      <c r="C611" s="212" t="s">
        <v>2646</v>
      </c>
      <c r="D611" s="212">
        <v>601</v>
      </c>
      <c r="E611" s="478">
        <v>20214000029133</v>
      </c>
      <c r="F611" s="479">
        <v>44356</v>
      </c>
      <c r="G611" s="478" t="s">
        <v>2673</v>
      </c>
      <c r="H611" s="212" t="s">
        <v>2674</v>
      </c>
      <c r="I611" s="212" t="s">
        <v>117</v>
      </c>
      <c r="J611" s="475">
        <v>28500000</v>
      </c>
      <c r="K611" s="212" t="s">
        <v>112</v>
      </c>
      <c r="L611" s="212" t="s">
        <v>2675</v>
      </c>
      <c r="M611" s="212" t="s">
        <v>44</v>
      </c>
      <c r="N611" s="212" t="s">
        <v>45</v>
      </c>
      <c r="O611" s="212" t="s">
        <v>63</v>
      </c>
      <c r="P611" s="212" t="s">
        <v>43</v>
      </c>
      <c r="R611" s="212">
        <v>659</v>
      </c>
      <c r="S611" s="479">
        <v>44357</v>
      </c>
      <c r="T611" s="212" t="s">
        <v>4556</v>
      </c>
      <c r="U611" s="475">
        <v>28500000</v>
      </c>
      <c r="V611" s="539"/>
      <c r="W611" s="212"/>
      <c r="X611" s="483" t="s">
        <v>4557</v>
      </c>
      <c r="Y611" s="484">
        <v>44365</v>
      </c>
      <c r="Z611" s="484">
        <v>44365</v>
      </c>
      <c r="AA611" s="484">
        <v>44517</v>
      </c>
      <c r="AB611" s="486" t="s">
        <v>2650</v>
      </c>
      <c r="AC611" s="483" t="s">
        <v>4092</v>
      </c>
      <c r="AD611" s="486" t="s">
        <v>4558</v>
      </c>
      <c r="AE611" s="486" t="s">
        <v>3064</v>
      </c>
      <c r="AF611" s="496">
        <v>28500000</v>
      </c>
      <c r="AG611" s="474">
        <f t="shared" si="10"/>
        <v>0</v>
      </c>
      <c r="AM611" s="212"/>
    </row>
    <row r="612" spans="1:39" s="312" customFormat="1" hidden="1" x14ac:dyDescent="0.3">
      <c r="A612" s="361" t="s">
        <v>2004</v>
      </c>
      <c r="B612" s="417">
        <v>39975144</v>
      </c>
      <c r="C612" s="312" t="s">
        <v>2762</v>
      </c>
      <c r="D612" s="312">
        <v>602</v>
      </c>
      <c r="E612" s="325">
        <v>20217000029143</v>
      </c>
      <c r="F612" s="315">
        <v>44356</v>
      </c>
      <c r="G612" s="325" t="s">
        <v>2647</v>
      </c>
      <c r="H612" s="312" t="s">
        <v>2648</v>
      </c>
      <c r="I612" s="312" t="s">
        <v>164</v>
      </c>
      <c r="J612" s="406">
        <v>19079046</v>
      </c>
      <c r="K612" s="312" t="s">
        <v>138</v>
      </c>
      <c r="L612" s="312" t="s">
        <v>139</v>
      </c>
      <c r="M612" s="312" t="s">
        <v>44</v>
      </c>
      <c r="N612" s="312" t="s">
        <v>45</v>
      </c>
      <c r="O612" s="312" t="s">
        <v>142</v>
      </c>
      <c r="P612" s="312" t="s">
        <v>43</v>
      </c>
      <c r="R612" s="312">
        <v>660</v>
      </c>
      <c r="S612" s="315">
        <v>44357</v>
      </c>
      <c r="T612" s="312" t="s">
        <v>4559</v>
      </c>
      <c r="U612" s="406">
        <f>19079046-19079046</f>
        <v>0</v>
      </c>
      <c r="V612" s="406">
        <v>19079046</v>
      </c>
      <c r="W612" s="388" t="s">
        <v>1509</v>
      </c>
      <c r="X612" s="316"/>
      <c r="Y612" s="316"/>
      <c r="Z612" s="316"/>
      <c r="AA612" s="316"/>
      <c r="AC612" s="316"/>
      <c r="AF612" s="496"/>
      <c r="AG612" s="318">
        <f t="shared" si="10"/>
        <v>0</v>
      </c>
      <c r="AH612" s="405"/>
      <c r="AI612" s="405"/>
      <c r="AJ612" s="405"/>
      <c r="AK612" s="405"/>
      <c r="AL612" s="405"/>
      <c r="AM612" s="212"/>
    </row>
    <row r="613" spans="1:39" hidden="1" x14ac:dyDescent="0.3">
      <c r="A613" s="313" t="s">
        <v>1969</v>
      </c>
      <c r="B613" s="419">
        <v>45500000</v>
      </c>
      <c r="C613" s="212" t="s">
        <v>2646</v>
      </c>
      <c r="D613" s="212">
        <v>603</v>
      </c>
      <c r="E613" s="478">
        <v>20216000029073</v>
      </c>
      <c r="F613" s="479">
        <v>44356</v>
      </c>
      <c r="G613" s="311" t="s">
        <v>2647</v>
      </c>
      <c r="H613" s="441" t="s">
        <v>2648</v>
      </c>
      <c r="I613" s="441" t="s">
        <v>214</v>
      </c>
      <c r="J613" s="480">
        <v>42000000</v>
      </c>
      <c r="K613" s="212" t="s">
        <v>138</v>
      </c>
      <c r="L613" s="212" t="s">
        <v>139</v>
      </c>
      <c r="M613" s="212" t="s">
        <v>44</v>
      </c>
      <c r="N613" s="212" t="s">
        <v>45</v>
      </c>
      <c r="O613" s="212" t="s">
        <v>142</v>
      </c>
      <c r="P613" s="212" t="s">
        <v>43</v>
      </c>
      <c r="R613" s="212">
        <v>656</v>
      </c>
      <c r="S613" s="479">
        <v>44357</v>
      </c>
      <c r="T613" s="212" t="s">
        <v>4560</v>
      </c>
      <c r="U613" s="480">
        <v>42000000</v>
      </c>
      <c r="V613" s="539"/>
      <c r="W613" s="212"/>
      <c r="X613" s="483" t="s">
        <v>4561</v>
      </c>
      <c r="Y613" s="484">
        <v>44362</v>
      </c>
      <c r="Z613" s="484">
        <v>44362</v>
      </c>
      <c r="AA613" s="484">
        <v>44559</v>
      </c>
      <c r="AB613" s="486" t="s">
        <v>2650</v>
      </c>
      <c r="AC613" s="483" t="s">
        <v>3701</v>
      </c>
      <c r="AD613" s="486" t="s">
        <v>4562</v>
      </c>
      <c r="AE613" s="486" t="s">
        <v>4563</v>
      </c>
      <c r="AF613" s="496">
        <v>39000000</v>
      </c>
      <c r="AG613" s="474">
        <f t="shared" si="10"/>
        <v>3000000</v>
      </c>
      <c r="AM613" s="212"/>
    </row>
    <row r="614" spans="1:39" hidden="1" x14ac:dyDescent="0.3">
      <c r="A614" s="313" t="s">
        <v>2211</v>
      </c>
      <c r="B614" s="419">
        <v>41337934</v>
      </c>
      <c r="C614" s="212" t="s">
        <v>2646</v>
      </c>
      <c r="D614" s="212">
        <v>604</v>
      </c>
      <c r="E614" s="478">
        <v>20211300029263</v>
      </c>
      <c r="F614" s="479">
        <v>44357</v>
      </c>
      <c r="G614" s="311" t="s">
        <v>2647</v>
      </c>
      <c r="H614" s="441" t="s">
        <v>2648</v>
      </c>
      <c r="I614" s="441" t="s">
        <v>210</v>
      </c>
      <c r="J614" s="480">
        <v>29527095</v>
      </c>
      <c r="K614" s="212" t="s">
        <v>138</v>
      </c>
      <c r="L614" s="212" t="s">
        <v>139</v>
      </c>
      <c r="M614" s="212" t="s">
        <v>44</v>
      </c>
      <c r="N614" s="212" t="s">
        <v>45</v>
      </c>
      <c r="O614" s="212" t="s">
        <v>142</v>
      </c>
      <c r="P614" s="212" t="s">
        <v>43</v>
      </c>
      <c r="R614" s="212">
        <v>664</v>
      </c>
      <c r="S614" s="479">
        <v>44358</v>
      </c>
      <c r="T614" s="212" t="s">
        <v>4564</v>
      </c>
      <c r="U614" s="480">
        <v>29527095</v>
      </c>
      <c r="V614" s="539"/>
      <c r="W614" s="540"/>
      <c r="X614" s="211"/>
      <c r="Y614" s="211"/>
      <c r="Z614" s="211"/>
      <c r="AA614" s="211"/>
      <c r="AB614" s="212"/>
      <c r="AD614" s="212"/>
      <c r="AF614" s="496"/>
      <c r="AG614" s="474">
        <f t="shared" si="10"/>
        <v>29527095</v>
      </c>
      <c r="AM614" s="212"/>
    </row>
    <row r="615" spans="1:39" hidden="1" x14ac:dyDescent="0.3">
      <c r="A615" s="313" t="s">
        <v>1809</v>
      </c>
      <c r="B615" s="419">
        <v>300000000</v>
      </c>
      <c r="C615" s="212" t="s">
        <v>4565</v>
      </c>
      <c r="D615" s="212">
        <v>605</v>
      </c>
      <c r="E615" s="478">
        <v>20213000029273</v>
      </c>
      <c r="F615" s="479">
        <v>44357</v>
      </c>
      <c r="G615" s="478" t="s">
        <v>2640</v>
      </c>
      <c r="H615" s="212" t="s">
        <v>2641</v>
      </c>
      <c r="I615" s="212" t="s">
        <v>432</v>
      </c>
      <c r="J615" s="480">
        <v>300000000</v>
      </c>
      <c r="K615" s="212" t="s">
        <v>342</v>
      </c>
      <c r="L615" s="212" t="s">
        <v>351</v>
      </c>
      <c r="M615" s="212" t="s">
        <v>44</v>
      </c>
      <c r="N615" s="212" t="s">
        <v>45</v>
      </c>
      <c r="O615" s="212" t="s">
        <v>63</v>
      </c>
      <c r="P615" s="212" t="s">
        <v>4566</v>
      </c>
      <c r="R615" s="212">
        <v>665</v>
      </c>
      <c r="S615" s="479">
        <v>44358</v>
      </c>
      <c r="T615" s="212" t="s">
        <v>4567</v>
      </c>
      <c r="U615" s="480">
        <v>300000000</v>
      </c>
      <c r="V615" s="539"/>
      <c r="W615" s="540"/>
      <c r="X615" s="211"/>
      <c r="Y615" s="211"/>
      <c r="Z615" s="211"/>
      <c r="AA615" s="211"/>
      <c r="AB615" s="212"/>
      <c r="AD615" s="212"/>
      <c r="AF615" s="496"/>
      <c r="AG615" s="474">
        <f t="shared" si="10"/>
        <v>300000000</v>
      </c>
      <c r="AM615" s="212"/>
    </row>
    <row r="616" spans="1:39" x14ac:dyDescent="0.3">
      <c r="A616" s="313" t="s">
        <v>1918</v>
      </c>
      <c r="B616" s="419">
        <v>42500000</v>
      </c>
      <c r="C616" s="212" t="s">
        <v>2646</v>
      </c>
      <c r="D616" s="212">
        <v>606</v>
      </c>
      <c r="E616" s="478">
        <v>20215000029803</v>
      </c>
      <c r="F616" s="479">
        <v>44362</v>
      </c>
      <c r="G616" s="478" t="s">
        <v>2640</v>
      </c>
      <c r="H616" s="212" t="s">
        <v>2641</v>
      </c>
      <c r="I616" s="212" t="s">
        <v>228</v>
      </c>
      <c r="J616" s="480">
        <v>42500000</v>
      </c>
      <c r="K616" s="212" t="s">
        <v>223</v>
      </c>
      <c r="L616" s="212" t="s">
        <v>236</v>
      </c>
      <c r="M616" s="212" t="s">
        <v>44</v>
      </c>
      <c r="N616" s="212" t="s">
        <v>45</v>
      </c>
      <c r="O616" s="212" t="s">
        <v>63</v>
      </c>
      <c r="P616" s="212" t="s">
        <v>674</v>
      </c>
      <c r="R616" s="212">
        <v>674</v>
      </c>
      <c r="S616" s="479">
        <v>44363</v>
      </c>
      <c r="T616" s="212" t="s">
        <v>4568</v>
      </c>
      <c r="U616" s="480">
        <v>42500000</v>
      </c>
      <c r="V616" s="539"/>
      <c r="W616" s="212"/>
      <c r="X616" s="483" t="s">
        <v>4569</v>
      </c>
      <c r="Y616" s="490">
        <v>44377</v>
      </c>
      <c r="Z616" s="490">
        <v>44377</v>
      </c>
      <c r="AA616" s="490">
        <v>44559</v>
      </c>
      <c r="AB616" s="486" t="s">
        <v>2650</v>
      </c>
      <c r="AC616" s="483" t="s">
        <v>3907</v>
      </c>
      <c r="AD616" s="486" t="s">
        <v>4570</v>
      </c>
      <c r="AE616" s="486" t="s">
        <v>4571</v>
      </c>
      <c r="AF616" s="692">
        <v>24000000</v>
      </c>
      <c r="AG616" s="474">
        <f t="shared" si="10"/>
        <v>18500000</v>
      </c>
      <c r="AM616" s="212"/>
    </row>
    <row r="617" spans="1:39" x14ac:dyDescent="0.3">
      <c r="A617" s="313" t="s">
        <v>2279</v>
      </c>
      <c r="B617" s="419">
        <v>50000000</v>
      </c>
      <c r="C617" s="212" t="s">
        <v>4572</v>
      </c>
      <c r="D617" s="212">
        <v>607</v>
      </c>
      <c r="E617" s="478">
        <v>20213000029723</v>
      </c>
      <c r="F617" s="479">
        <v>44362</v>
      </c>
      <c r="G617" s="478" t="s">
        <v>2640</v>
      </c>
      <c r="H617" s="212" t="s">
        <v>2641</v>
      </c>
      <c r="I617" s="212" t="s">
        <v>432</v>
      </c>
      <c r="J617" s="480">
        <v>50000000</v>
      </c>
      <c r="K617" s="212" t="s">
        <v>342</v>
      </c>
      <c r="L617" s="212" t="s">
        <v>351</v>
      </c>
      <c r="M617" s="212" t="s">
        <v>44</v>
      </c>
      <c r="N617" s="212" t="s">
        <v>45</v>
      </c>
      <c r="O617" s="212" t="s">
        <v>63</v>
      </c>
      <c r="P617" s="212" t="s">
        <v>4566</v>
      </c>
      <c r="R617" s="212">
        <v>668</v>
      </c>
      <c r="S617" s="479">
        <v>44363</v>
      </c>
      <c r="T617" s="212" t="s">
        <v>4573</v>
      </c>
      <c r="U617" s="480">
        <v>50000000</v>
      </c>
      <c r="V617" s="539"/>
      <c r="W617" s="540"/>
      <c r="X617" s="211"/>
      <c r="Y617" s="211"/>
      <c r="Z617" s="211"/>
      <c r="AA617" s="211"/>
      <c r="AB617" s="212"/>
      <c r="AD617" s="212"/>
      <c r="AF617" s="496"/>
      <c r="AG617" s="474">
        <f t="shared" si="10"/>
        <v>50000000</v>
      </c>
      <c r="AM617" s="212"/>
    </row>
    <row r="618" spans="1:39" x14ac:dyDescent="0.3">
      <c r="A618" s="313" t="s">
        <v>2273</v>
      </c>
      <c r="B618" s="419">
        <v>50000000</v>
      </c>
      <c r="C618" s="212" t="s">
        <v>4574</v>
      </c>
      <c r="D618" s="212">
        <v>608</v>
      </c>
      <c r="E618" s="478">
        <v>20213000029733</v>
      </c>
      <c r="F618" s="479">
        <v>44362</v>
      </c>
      <c r="G618" s="478" t="s">
        <v>2640</v>
      </c>
      <c r="H618" s="212" t="s">
        <v>2641</v>
      </c>
      <c r="I618" s="212" t="s">
        <v>432</v>
      </c>
      <c r="J618" s="480">
        <v>50000000</v>
      </c>
      <c r="K618" s="212" t="s">
        <v>342</v>
      </c>
      <c r="L618" s="212" t="s">
        <v>351</v>
      </c>
      <c r="M618" s="212" t="s">
        <v>44</v>
      </c>
      <c r="N618" s="212" t="s">
        <v>45</v>
      </c>
      <c r="O618" s="212" t="s">
        <v>63</v>
      </c>
      <c r="P618" s="212" t="s">
        <v>4566</v>
      </c>
      <c r="R618" s="212">
        <v>669</v>
      </c>
      <c r="S618" s="479">
        <v>44363</v>
      </c>
      <c r="T618" s="212" t="s">
        <v>2273</v>
      </c>
      <c r="U618" s="480">
        <v>50000000</v>
      </c>
      <c r="V618" s="539"/>
      <c r="W618" s="540"/>
      <c r="X618" s="211"/>
      <c r="Y618" s="211"/>
      <c r="Z618" s="211"/>
      <c r="AA618" s="211"/>
      <c r="AB618" s="212"/>
      <c r="AD618" s="212"/>
      <c r="AF618" s="496"/>
      <c r="AM618" s="212"/>
    </row>
    <row r="619" spans="1:39" x14ac:dyDescent="0.3">
      <c r="A619" s="313" t="s">
        <v>1819</v>
      </c>
      <c r="B619" s="419">
        <v>210000000</v>
      </c>
      <c r="C619" s="212" t="s">
        <v>4575</v>
      </c>
      <c r="D619" s="212">
        <v>609</v>
      </c>
      <c r="E619" s="478">
        <v>20213000029743</v>
      </c>
      <c r="F619" s="479">
        <v>44362</v>
      </c>
      <c r="G619" s="478" t="s">
        <v>2640</v>
      </c>
      <c r="H619" s="212" t="s">
        <v>2641</v>
      </c>
      <c r="I619" s="212" t="s">
        <v>432</v>
      </c>
      <c r="J619" s="480">
        <v>200000000</v>
      </c>
      <c r="K619" s="212" t="s">
        <v>342</v>
      </c>
      <c r="L619" s="212" t="s">
        <v>351</v>
      </c>
      <c r="M619" s="212" t="s">
        <v>44</v>
      </c>
      <c r="N619" s="212" t="s">
        <v>45</v>
      </c>
      <c r="O619" s="212" t="s">
        <v>63</v>
      </c>
      <c r="P619" s="212" t="s">
        <v>4576</v>
      </c>
      <c r="R619" s="212">
        <v>670</v>
      </c>
      <c r="S619" s="479">
        <v>44363</v>
      </c>
      <c r="T619" s="212" t="s">
        <v>4577</v>
      </c>
      <c r="U619" s="480">
        <v>200000000</v>
      </c>
      <c r="V619" s="539"/>
      <c r="W619" s="540"/>
      <c r="X619" s="211"/>
      <c r="Y619" s="211"/>
      <c r="Z619" s="211"/>
      <c r="AA619" s="211"/>
      <c r="AB619" s="212"/>
      <c r="AD619" s="212"/>
      <c r="AF619" s="496"/>
      <c r="AM619" s="212"/>
    </row>
    <row r="620" spans="1:39" x14ac:dyDescent="0.3">
      <c r="A620" s="313" t="s">
        <v>1888</v>
      </c>
      <c r="B620" s="419">
        <v>370678608</v>
      </c>
      <c r="C620" s="212" t="s">
        <v>4341</v>
      </c>
      <c r="D620" s="212">
        <v>610</v>
      </c>
      <c r="E620" s="478">
        <v>20213000029823</v>
      </c>
      <c r="F620" s="479">
        <v>44362</v>
      </c>
      <c r="G620" s="478" t="s">
        <v>2640</v>
      </c>
      <c r="H620" s="212" t="s">
        <v>2641</v>
      </c>
      <c r="I620" s="212" t="s">
        <v>432</v>
      </c>
      <c r="J620" s="480">
        <v>370678608</v>
      </c>
      <c r="K620" s="212" t="s">
        <v>342</v>
      </c>
      <c r="L620" s="212" t="s">
        <v>351</v>
      </c>
      <c r="M620" s="212" t="s">
        <v>44</v>
      </c>
      <c r="N620" s="212" t="s">
        <v>45</v>
      </c>
      <c r="O620" s="212" t="s">
        <v>63</v>
      </c>
      <c r="P620" s="212" t="s">
        <v>674</v>
      </c>
      <c r="R620" s="212">
        <v>671</v>
      </c>
      <c r="S620" s="479">
        <v>44363</v>
      </c>
      <c r="T620" s="212" t="s">
        <v>4578</v>
      </c>
      <c r="U620" s="480">
        <v>370678608</v>
      </c>
      <c r="V620" s="539"/>
      <c r="W620" s="540"/>
      <c r="X620" s="211"/>
      <c r="Y620" s="211"/>
      <c r="Z620" s="211"/>
      <c r="AA620" s="211"/>
      <c r="AB620" s="212"/>
      <c r="AD620" s="212"/>
      <c r="AF620" s="496"/>
      <c r="AM620" s="212"/>
    </row>
    <row r="621" spans="1:39" x14ac:dyDescent="0.3">
      <c r="A621" s="313" t="s">
        <v>1886</v>
      </c>
      <c r="B621" s="419">
        <v>648968200</v>
      </c>
      <c r="C621" s="212" t="s">
        <v>4333</v>
      </c>
      <c r="D621" s="478">
        <v>611</v>
      </c>
      <c r="E621" s="478">
        <v>20213000029833</v>
      </c>
      <c r="F621" s="479">
        <v>44362</v>
      </c>
      <c r="G621" s="478" t="s">
        <v>2640</v>
      </c>
      <c r="H621" s="212" t="s">
        <v>2641</v>
      </c>
      <c r="I621" s="212" t="s">
        <v>432</v>
      </c>
      <c r="J621" s="475">
        <v>648968200</v>
      </c>
      <c r="K621" s="212" t="s">
        <v>342</v>
      </c>
      <c r="L621" s="212" t="s">
        <v>351</v>
      </c>
      <c r="M621" s="212" t="s">
        <v>44</v>
      </c>
      <c r="N621" s="212" t="s">
        <v>45</v>
      </c>
      <c r="O621" s="212" t="s">
        <v>63</v>
      </c>
      <c r="P621" s="212" t="s">
        <v>674</v>
      </c>
      <c r="R621" s="212">
        <v>672</v>
      </c>
      <c r="S621" s="479">
        <v>44363</v>
      </c>
      <c r="T621" s="212" t="s">
        <v>4579</v>
      </c>
      <c r="U621" s="475">
        <v>648968200</v>
      </c>
      <c r="V621" s="539"/>
      <c r="W621" s="540"/>
      <c r="X621" s="211"/>
      <c r="Y621" s="211"/>
      <c r="Z621" s="211"/>
      <c r="AA621" s="211"/>
      <c r="AB621" s="212"/>
      <c r="AD621" s="212"/>
      <c r="AF621" s="496"/>
      <c r="AM621" s="212"/>
    </row>
    <row r="622" spans="1:39" x14ac:dyDescent="0.3">
      <c r="A622" s="313" t="s">
        <v>2378</v>
      </c>
      <c r="B622" s="419">
        <v>65394432</v>
      </c>
      <c r="C622" s="212" t="s">
        <v>2646</v>
      </c>
      <c r="D622" s="309">
        <v>612</v>
      </c>
      <c r="E622" s="309">
        <v>20217000029893</v>
      </c>
      <c r="F622" s="479">
        <v>44362</v>
      </c>
      <c r="G622" s="309" t="s">
        <v>2647</v>
      </c>
      <c r="H622" s="210" t="s">
        <v>2648</v>
      </c>
      <c r="I622" s="210" t="s">
        <v>164</v>
      </c>
      <c r="J622" s="415">
        <v>35000000</v>
      </c>
      <c r="K622" s="210" t="s">
        <v>138</v>
      </c>
      <c r="L622" s="210" t="s">
        <v>139</v>
      </c>
      <c r="M622" s="210" t="s">
        <v>44</v>
      </c>
      <c r="N622" s="210" t="s">
        <v>45</v>
      </c>
      <c r="O622" s="210" t="s">
        <v>142</v>
      </c>
      <c r="P622" s="210" t="s">
        <v>43</v>
      </c>
      <c r="Q622" s="312"/>
      <c r="R622" s="212">
        <v>673</v>
      </c>
      <c r="S622" s="479">
        <v>44363</v>
      </c>
      <c r="T622" s="212" t="s">
        <v>4580</v>
      </c>
      <c r="U622" s="539">
        <v>35000000</v>
      </c>
      <c r="V622" s="539"/>
      <c r="W622" s="540"/>
      <c r="X622" s="211"/>
      <c r="Y622" s="211"/>
      <c r="Z622" s="211"/>
      <c r="AA622" s="211"/>
      <c r="AB622" s="212"/>
      <c r="AD622" s="212"/>
      <c r="AF622" s="496"/>
      <c r="AM622" s="212"/>
    </row>
    <row r="623" spans="1:39" x14ac:dyDescent="0.3">
      <c r="A623" s="313" t="s">
        <v>1792</v>
      </c>
      <c r="B623" s="419">
        <v>25000000</v>
      </c>
      <c r="C623" s="212" t="s">
        <v>2646</v>
      </c>
      <c r="D623" s="212">
        <v>613</v>
      </c>
      <c r="E623" s="309">
        <v>20217000030013</v>
      </c>
      <c r="F623" s="479">
        <v>44363</v>
      </c>
      <c r="G623" s="311" t="s">
        <v>2647</v>
      </c>
      <c r="H623" s="441" t="s">
        <v>2648</v>
      </c>
      <c r="I623" s="441" t="s">
        <v>164</v>
      </c>
      <c r="J623" s="480">
        <v>19998000</v>
      </c>
      <c r="K623" s="212" t="s">
        <v>138</v>
      </c>
      <c r="L623" s="212" t="s">
        <v>139</v>
      </c>
      <c r="M623" s="212" t="s">
        <v>44</v>
      </c>
      <c r="N623" s="212" t="s">
        <v>45</v>
      </c>
      <c r="O623" s="212" t="s">
        <v>142</v>
      </c>
      <c r="P623" s="427" t="s">
        <v>116</v>
      </c>
      <c r="R623" s="212">
        <v>679</v>
      </c>
      <c r="S623" s="479">
        <v>44364</v>
      </c>
      <c r="T623" s="212" t="s">
        <v>4581</v>
      </c>
      <c r="U623" s="539">
        <v>19998000</v>
      </c>
      <c r="V623" s="539"/>
      <c r="W623" s="212"/>
      <c r="X623" s="530" t="s">
        <v>4582</v>
      </c>
      <c r="Y623" s="491">
        <v>44375</v>
      </c>
      <c r="Z623" s="491">
        <v>44375</v>
      </c>
      <c r="AA623" s="491">
        <v>44466</v>
      </c>
      <c r="AB623" s="493" t="s">
        <v>2650</v>
      </c>
      <c r="AC623" s="530" t="s">
        <v>4168</v>
      </c>
      <c r="AD623" s="493" t="s">
        <v>4583</v>
      </c>
      <c r="AE623" s="493" t="s">
        <v>4584</v>
      </c>
      <c r="AF623" s="496">
        <v>19998000</v>
      </c>
      <c r="AG623" s="474"/>
      <c r="AM623" s="212"/>
    </row>
    <row r="624" spans="1:39" x14ac:dyDescent="0.3">
      <c r="A624" s="313" t="s">
        <v>2057</v>
      </c>
      <c r="B624" s="419">
        <v>46410000</v>
      </c>
      <c r="C624" s="212" t="s">
        <v>2646</v>
      </c>
      <c r="D624" s="212">
        <v>614</v>
      </c>
      <c r="E624" s="309">
        <v>20212000029933</v>
      </c>
      <c r="F624" s="479">
        <v>44363</v>
      </c>
      <c r="G624" s="469" t="s">
        <v>2640</v>
      </c>
      <c r="H624" s="468" t="s">
        <v>2641</v>
      </c>
      <c r="I624" s="468" t="s">
        <v>391</v>
      </c>
      <c r="J624" s="471">
        <v>46410000</v>
      </c>
      <c r="K624" s="377" t="s">
        <v>2711</v>
      </c>
      <c r="L624" s="468" t="s">
        <v>2712</v>
      </c>
      <c r="M624" s="377" t="s">
        <v>44</v>
      </c>
      <c r="N624" s="377" t="s">
        <v>45</v>
      </c>
      <c r="O624" s="468" t="s">
        <v>63</v>
      </c>
      <c r="P624" s="212" t="s">
        <v>674</v>
      </c>
      <c r="Q624" s="468"/>
      <c r="R624" s="212">
        <v>675</v>
      </c>
      <c r="S624" s="479">
        <v>44364</v>
      </c>
      <c r="T624" s="212" t="s">
        <v>4585</v>
      </c>
      <c r="U624" s="539">
        <v>46410000</v>
      </c>
      <c r="V624" s="539"/>
      <c r="W624" s="212"/>
      <c r="X624" s="483" t="s">
        <v>4586</v>
      </c>
      <c r="Y624" s="490">
        <v>44376</v>
      </c>
      <c r="Z624" s="490">
        <v>44376</v>
      </c>
      <c r="AA624" s="490">
        <v>44558</v>
      </c>
      <c r="AB624" s="486" t="s">
        <v>2650</v>
      </c>
      <c r="AC624" s="483" t="s">
        <v>3711</v>
      </c>
      <c r="AD624" s="486" t="s">
        <v>4587</v>
      </c>
      <c r="AE624" s="486" t="s">
        <v>4588</v>
      </c>
      <c r="AF624" s="692">
        <v>42840000</v>
      </c>
      <c r="AG624" s="474"/>
      <c r="AM624" s="212"/>
    </row>
    <row r="625" spans="1:39" x14ac:dyDescent="0.3">
      <c r="A625" s="313" t="s">
        <v>2056</v>
      </c>
      <c r="B625" s="419">
        <v>24528000</v>
      </c>
      <c r="C625" s="212" t="s">
        <v>2646</v>
      </c>
      <c r="D625" s="212">
        <v>615</v>
      </c>
      <c r="E625" s="309">
        <v>20212000029943</v>
      </c>
      <c r="F625" s="479">
        <v>44363</v>
      </c>
      <c r="G625" s="469" t="s">
        <v>2640</v>
      </c>
      <c r="H625" s="468" t="s">
        <v>2641</v>
      </c>
      <c r="I625" s="468" t="s">
        <v>391</v>
      </c>
      <c r="J625" s="471">
        <v>24528000</v>
      </c>
      <c r="K625" s="377" t="s">
        <v>2711</v>
      </c>
      <c r="L625" s="468" t="s">
        <v>2712</v>
      </c>
      <c r="M625" s="377" t="s">
        <v>44</v>
      </c>
      <c r="N625" s="377" t="s">
        <v>45</v>
      </c>
      <c r="O625" s="468" t="s">
        <v>63</v>
      </c>
      <c r="P625" s="212" t="s">
        <v>674</v>
      </c>
      <c r="R625" s="212">
        <v>676</v>
      </c>
      <c r="S625" s="479">
        <v>44364</v>
      </c>
      <c r="T625" s="212" t="s">
        <v>4589</v>
      </c>
      <c r="U625" s="539">
        <v>24528000</v>
      </c>
      <c r="V625" s="539"/>
      <c r="W625" s="540"/>
      <c r="X625" s="211"/>
      <c r="Y625" s="211"/>
      <c r="Z625" s="211"/>
      <c r="AA625" s="211"/>
      <c r="AB625" s="212"/>
      <c r="AD625" s="212"/>
      <c r="AF625" s="496"/>
      <c r="AG625" s="474"/>
      <c r="AM625" s="212"/>
    </row>
    <row r="626" spans="1:39" x14ac:dyDescent="0.3">
      <c r="A626" s="313" t="s">
        <v>2054</v>
      </c>
      <c r="B626" s="419">
        <v>26572000</v>
      </c>
      <c r="C626" s="212" t="s">
        <v>2646</v>
      </c>
      <c r="D626" s="212">
        <v>616</v>
      </c>
      <c r="E626" s="309">
        <v>20212000029953</v>
      </c>
      <c r="F626" s="479">
        <v>44363</v>
      </c>
      <c r="G626" s="469" t="s">
        <v>2640</v>
      </c>
      <c r="H626" s="468" t="s">
        <v>2641</v>
      </c>
      <c r="I626" s="468" t="s">
        <v>391</v>
      </c>
      <c r="J626" s="471">
        <v>24528000</v>
      </c>
      <c r="K626" s="377" t="s">
        <v>2711</v>
      </c>
      <c r="L626" s="468" t="s">
        <v>2712</v>
      </c>
      <c r="M626" s="377" t="s">
        <v>44</v>
      </c>
      <c r="N626" s="377" t="s">
        <v>45</v>
      </c>
      <c r="O626" s="468" t="s">
        <v>63</v>
      </c>
      <c r="P626" s="212" t="s">
        <v>674</v>
      </c>
      <c r="R626" s="212">
        <v>677</v>
      </c>
      <c r="S626" s="479">
        <v>44364</v>
      </c>
      <c r="T626" s="212" t="s">
        <v>4590</v>
      </c>
      <c r="U626" s="539">
        <v>24528000</v>
      </c>
      <c r="V626" s="539"/>
      <c r="W626" s="540"/>
      <c r="X626" s="211"/>
      <c r="Y626" s="211"/>
      <c r="Z626" s="211"/>
      <c r="AA626" s="211"/>
      <c r="AB626" s="212"/>
      <c r="AD626" s="212"/>
      <c r="AF626" s="496"/>
      <c r="AG626" s="474"/>
      <c r="AM626" s="212"/>
    </row>
    <row r="627" spans="1:39" x14ac:dyDescent="0.3">
      <c r="A627" s="313" t="s">
        <v>2120</v>
      </c>
      <c r="B627" s="419">
        <v>34850000</v>
      </c>
      <c r="C627" s="212" t="s">
        <v>2646</v>
      </c>
      <c r="D627" s="212">
        <v>617</v>
      </c>
      <c r="E627" s="309">
        <v>20212000029993</v>
      </c>
      <c r="F627" s="479">
        <v>44363</v>
      </c>
      <c r="G627" s="469" t="s">
        <v>2640</v>
      </c>
      <c r="H627" s="468" t="s">
        <v>2641</v>
      </c>
      <c r="I627" s="468" t="s">
        <v>391</v>
      </c>
      <c r="J627" s="471">
        <v>26650000</v>
      </c>
      <c r="K627" s="377" t="s">
        <v>2711</v>
      </c>
      <c r="L627" s="468" t="s">
        <v>2712</v>
      </c>
      <c r="M627" s="377" t="s">
        <v>44</v>
      </c>
      <c r="N627" s="377" t="s">
        <v>45</v>
      </c>
      <c r="O627" s="468" t="s">
        <v>63</v>
      </c>
      <c r="P627" s="212" t="s">
        <v>674</v>
      </c>
      <c r="R627" s="212">
        <v>678</v>
      </c>
      <c r="S627" s="479">
        <v>44364</v>
      </c>
      <c r="T627" s="212" t="s">
        <v>4591</v>
      </c>
      <c r="U627" s="539">
        <v>26650000</v>
      </c>
      <c r="V627" s="539"/>
      <c r="W627" s="540"/>
      <c r="X627" s="211"/>
      <c r="Y627" s="211"/>
      <c r="Z627" s="211"/>
      <c r="AA627" s="211"/>
      <c r="AB627" s="212"/>
      <c r="AD627" s="212"/>
      <c r="AF627" s="496"/>
      <c r="AG627" s="474"/>
      <c r="AM627" s="212"/>
    </row>
    <row r="628" spans="1:39" x14ac:dyDescent="0.3">
      <c r="A628" s="313" t="s">
        <v>1984</v>
      </c>
      <c r="B628" s="419">
        <v>36795303</v>
      </c>
      <c r="C628" s="212" t="s">
        <v>2646</v>
      </c>
      <c r="D628" s="212">
        <v>618</v>
      </c>
      <c r="E628" s="309">
        <v>20217000030083</v>
      </c>
      <c r="F628" s="479">
        <v>44363</v>
      </c>
      <c r="G628" s="311" t="s">
        <v>2647</v>
      </c>
      <c r="H628" s="441" t="s">
        <v>2648</v>
      </c>
      <c r="I628" s="441" t="s">
        <v>164</v>
      </c>
      <c r="J628" s="480">
        <v>24530202</v>
      </c>
      <c r="K628" s="212" t="s">
        <v>138</v>
      </c>
      <c r="L628" s="212" t="s">
        <v>139</v>
      </c>
      <c r="M628" s="212" t="s">
        <v>44</v>
      </c>
      <c r="N628" s="212" t="s">
        <v>45</v>
      </c>
      <c r="O628" s="212" t="s">
        <v>142</v>
      </c>
      <c r="P628" s="210" t="s">
        <v>674</v>
      </c>
      <c r="R628" s="212">
        <v>680</v>
      </c>
      <c r="S628" s="479">
        <v>44364</v>
      </c>
      <c r="T628" s="212" t="s">
        <v>4592</v>
      </c>
      <c r="U628" s="539">
        <v>24530202</v>
      </c>
      <c r="V628" s="539"/>
      <c r="W628" s="212"/>
      <c r="X628" s="530" t="s">
        <v>4593</v>
      </c>
      <c r="Y628" s="491">
        <v>44372</v>
      </c>
      <c r="Z628" s="491">
        <v>44372</v>
      </c>
      <c r="AA628" s="491">
        <v>44554</v>
      </c>
      <c r="AB628" s="493" t="s">
        <v>2650</v>
      </c>
      <c r="AC628" s="530" t="s">
        <v>4050</v>
      </c>
      <c r="AD628" s="493" t="s">
        <v>4114</v>
      </c>
      <c r="AE628" s="493" t="s">
        <v>4115</v>
      </c>
      <c r="AF628" s="496">
        <v>24530202</v>
      </c>
      <c r="AG628" s="474"/>
      <c r="AM628" s="212"/>
    </row>
    <row r="629" spans="1:39" x14ac:dyDescent="0.3">
      <c r="A629" s="313" t="s">
        <v>1887</v>
      </c>
      <c r="B629" s="419">
        <v>199875720</v>
      </c>
      <c r="C629" s="212" t="s">
        <v>4594</v>
      </c>
      <c r="D629" s="212">
        <v>619</v>
      </c>
      <c r="E629" s="309">
        <v>20213000030143</v>
      </c>
      <c r="F629" s="479">
        <v>44363</v>
      </c>
      <c r="G629" s="478" t="s">
        <v>2640</v>
      </c>
      <c r="H629" s="212" t="s">
        <v>2641</v>
      </c>
      <c r="I629" s="212" t="s">
        <v>432</v>
      </c>
      <c r="J629" s="480">
        <v>199875720</v>
      </c>
      <c r="K629" s="212" t="s">
        <v>342</v>
      </c>
      <c r="L629" s="212" t="s">
        <v>351</v>
      </c>
      <c r="M629" s="212" t="s">
        <v>44</v>
      </c>
      <c r="N629" s="212" t="s">
        <v>45</v>
      </c>
      <c r="O629" s="212" t="s">
        <v>63</v>
      </c>
      <c r="P629" s="212" t="s">
        <v>674</v>
      </c>
      <c r="R629" s="212">
        <v>681</v>
      </c>
      <c r="S629" s="479">
        <v>44364</v>
      </c>
      <c r="T629" s="212" t="s">
        <v>4595</v>
      </c>
      <c r="U629" s="539">
        <v>199875720</v>
      </c>
      <c r="V629" s="539"/>
      <c r="W629" s="540"/>
      <c r="X629" s="211"/>
      <c r="Y629" s="211"/>
      <c r="Z629" s="211"/>
      <c r="AA629" s="211"/>
      <c r="AB629" s="212"/>
      <c r="AD629" s="212"/>
      <c r="AF629" s="496"/>
      <c r="AG629" s="474"/>
      <c r="AM629" s="212"/>
    </row>
    <row r="630" spans="1:39" s="210" customFormat="1" x14ac:dyDescent="0.3">
      <c r="A630" s="313"/>
      <c r="B630" s="419" t="s">
        <v>4390</v>
      </c>
      <c r="C630" s="210" t="s">
        <v>4596</v>
      </c>
      <c r="D630" s="210">
        <v>620</v>
      </c>
      <c r="E630" s="309">
        <v>20213000030153</v>
      </c>
      <c r="F630" s="310">
        <v>44363</v>
      </c>
      <c r="G630" s="309" t="s">
        <v>2640</v>
      </c>
      <c r="H630" s="210" t="s">
        <v>2641</v>
      </c>
      <c r="I630" s="210" t="s">
        <v>432</v>
      </c>
      <c r="J630" s="407">
        <v>241278049</v>
      </c>
      <c r="K630" s="210" t="s">
        <v>342</v>
      </c>
      <c r="L630" s="210" t="s">
        <v>343</v>
      </c>
      <c r="M630" s="210" t="s">
        <v>44</v>
      </c>
      <c r="N630" s="210" t="s">
        <v>45</v>
      </c>
      <c r="O630" s="212" t="s">
        <v>310</v>
      </c>
      <c r="P630" s="212" t="s">
        <v>674</v>
      </c>
      <c r="R630" s="212">
        <v>707</v>
      </c>
      <c r="S630" s="479">
        <v>44375</v>
      </c>
      <c r="T630" s="212" t="s">
        <v>4597</v>
      </c>
      <c r="U630" s="539">
        <v>241278049</v>
      </c>
      <c r="V630" s="459"/>
      <c r="W630" s="460"/>
      <c r="X630" s="322"/>
      <c r="Y630" s="322"/>
      <c r="Z630" s="322"/>
      <c r="AA630" s="322"/>
      <c r="AC630" s="322"/>
      <c r="AF630" s="496"/>
      <c r="AG630" s="474"/>
      <c r="AH630" s="407"/>
      <c r="AI630" s="407"/>
      <c r="AJ630" s="407"/>
      <c r="AK630" s="407"/>
      <c r="AL630" s="407"/>
      <c r="AM630" s="212"/>
    </row>
    <row r="631" spans="1:39" x14ac:dyDescent="0.3">
      <c r="A631" s="313" t="s">
        <v>2201</v>
      </c>
      <c r="B631" s="419">
        <v>34000000</v>
      </c>
      <c r="C631" s="212" t="s">
        <v>4598</v>
      </c>
      <c r="D631" s="212">
        <v>621</v>
      </c>
      <c r="E631" s="309">
        <v>20211200030103</v>
      </c>
      <c r="F631" s="479">
        <v>44363</v>
      </c>
      <c r="G631" s="212" t="s">
        <v>2647</v>
      </c>
      <c r="H631" s="212" t="s">
        <v>2648</v>
      </c>
      <c r="I631" s="212" t="s">
        <v>143</v>
      </c>
      <c r="J631" s="407">
        <v>34000000</v>
      </c>
      <c r="K631" s="212" t="s">
        <v>138</v>
      </c>
      <c r="L631" s="212" t="s">
        <v>139</v>
      </c>
      <c r="M631" s="212" t="s">
        <v>2842</v>
      </c>
      <c r="N631" s="212" t="s">
        <v>150</v>
      </c>
      <c r="O631" s="212" t="s">
        <v>151</v>
      </c>
      <c r="P631" s="212" t="s">
        <v>43</v>
      </c>
      <c r="Q631" s="312"/>
      <c r="R631" s="212">
        <v>682</v>
      </c>
      <c r="S631" s="479">
        <v>44365</v>
      </c>
      <c r="T631" s="212" t="s">
        <v>2201</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3">
      <c r="A632" s="313" t="s">
        <v>1978</v>
      </c>
      <c r="B632" s="419">
        <v>28618569</v>
      </c>
      <c r="C632" s="212" t="s">
        <v>2646</v>
      </c>
      <c r="D632" s="212">
        <v>622</v>
      </c>
      <c r="E632" s="309">
        <v>20217000030163</v>
      </c>
      <c r="F632" s="479">
        <v>44363</v>
      </c>
      <c r="G632" s="212" t="s">
        <v>2647</v>
      </c>
      <c r="H632" s="212" t="s">
        <v>2648</v>
      </c>
      <c r="I632" s="212" t="s">
        <v>164</v>
      </c>
      <c r="J632" s="407">
        <v>19079046</v>
      </c>
      <c r="K632" s="212" t="s">
        <v>138</v>
      </c>
      <c r="L632" s="212" t="s">
        <v>139</v>
      </c>
      <c r="M632" s="212" t="s">
        <v>44</v>
      </c>
      <c r="N632" s="212" t="s">
        <v>45</v>
      </c>
      <c r="O632" s="212" t="s">
        <v>142</v>
      </c>
      <c r="P632" s="212" t="s">
        <v>674</v>
      </c>
      <c r="Q632" s="312"/>
      <c r="R632" s="212">
        <v>683</v>
      </c>
      <c r="S632" s="479">
        <v>44365</v>
      </c>
      <c r="T632" s="212" t="s">
        <v>4599</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3">
      <c r="A633" s="313" t="s">
        <v>2447</v>
      </c>
      <c r="B633" s="419">
        <v>18600000</v>
      </c>
      <c r="C633" s="212" t="s">
        <v>2646</v>
      </c>
      <c r="D633" s="212">
        <v>623</v>
      </c>
      <c r="E633" s="309">
        <v>20217000030213</v>
      </c>
      <c r="F633" s="479">
        <v>44363</v>
      </c>
      <c r="G633" s="311" t="s">
        <v>2647</v>
      </c>
      <c r="H633" s="441" t="s">
        <v>2648</v>
      </c>
      <c r="I633" s="441" t="s">
        <v>164</v>
      </c>
      <c r="J633" s="480">
        <v>13627890</v>
      </c>
      <c r="K633" s="212" t="s">
        <v>138</v>
      </c>
      <c r="L633" s="212" t="s">
        <v>139</v>
      </c>
      <c r="M633" s="212" t="s">
        <v>44</v>
      </c>
      <c r="N633" s="212" t="s">
        <v>45</v>
      </c>
      <c r="O633" s="212" t="s">
        <v>142</v>
      </c>
      <c r="P633" s="212" t="s">
        <v>674</v>
      </c>
      <c r="Q633" s="312"/>
      <c r="R633" s="212">
        <v>684</v>
      </c>
      <c r="S633" s="479">
        <v>44365</v>
      </c>
      <c r="T633" s="212" t="s">
        <v>4600</v>
      </c>
      <c r="U633" s="539">
        <v>13627890</v>
      </c>
      <c r="V633" s="539"/>
      <c r="W633" s="212"/>
      <c r="X633" s="483" t="s">
        <v>4601</v>
      </c>
      <c r="Y633" s="490">
        <v>44377</v>
      </c>
      <c r="Z633" s="490">
        <v>44377</v>
      </c>
      <c r="AA633" s="490">
        <v>44559</v>
      </c>
      <c r="AB633" s="486" t="s">
        <v>2650</v>
      </c>
      <c r="AC633" s="483" t="s">
        <v>4158</v>
      </c>
      <c r="AD633" s="486" t="s">
        <v>4602</v>
      </c>
      <c r="AE633" s="486" t="s">
        <v>4603</v>
      </c>
      <c r="AF633" s="692">
        <v>13627890</v>
      </c>
      <c r="AG633" s="474"/>
      <c r="AM633" s="212"/>
    </row>
    <row r="634" spans="1:39" x14ac:dyDescent="0.3">
      <c r="A634" s="313"/>
      <c r="B634" s="419" t="s">
        <v>4399</v>
      </c>
      <c r="C634" s="212" t="s">
        <v>4604</v>
      </c>
      <c r="D634" s="212">
        <v>624</v>
      </c>
      <c r="E634" s="309">
        <v>20212000030183</v>
      </c>
      <c r="F634" s="479">
        <v>44365</v>
      </c>
      <c r="G634" s="311" t="s">
        <v>2640</v>
      </c>
      <c r="H634" s="441" t="s">
        <v>2641</v>
      </c>
      <c r="I634" s="441" t="s">
        <v>391</v>
      </c>
      <c r="J634" s="480">
        <v>28966366</v>
      </c>
      <c r="K634" s="212" t="s">
        <v>2711</v>
      </c>
      <c r="L634" s="212" t="s">
        <v>4523</v>
      </c>
      <c r="M634" s="212" t="s">
        <v>44</v>
      </c>
      <c r="N634" s="212" t="s">
        <v>2936</v>
      </c>
      <c r="O634" s="212" t="s">
        <v>255</v>
      </c>
      <c r="P634" s="212" t="s">
        <v>4407</v>
      </c>
      <c r="Q634" s="312"/>
      <c r="R634" s="212">
        <v>687</v>
      </c>
      <c r="S634" s="479">
        <v>44365</v>
      </c>
      <c r="T634" s="212" t="s">
        <v>4605</v>
      </c>
      <c r="U634" s="539">
        <v>28966366</v>
      </c>
      <c r="V634" s="539"/>
      <c r="W634" s="540"/>
      <c r="X634" s="211"/>
      <c r="Y634" s="211"/>
      <c r="Z634" s="211"/>
      <c r="AA634" s="211"/>
      <c r="AB634" s="212"/>
      <c r="AD634" s="212"/>
      <c r="AF634" s="496"/>
      <c r="AG634" s="474"/>
      <c r="AM634" s="212"/>
    </row>
    <row r="635" spans="1:39" x14ac:dyDescent="0.3">
      <c r="A635" s="313"/>
      <c r="B635" s="419" t="s">
        <v>4399</v>
      </c>
      <c r="C635" s="212" t="s">
        <v>4606</v>
      </c>
      <c r="D635" s="212">
        <v>625</v>
      </c>
      <c r="E635" s="309">
        <v>20212000030193</v>
      </c>
      <c r="F635" s="479">
        <v>44365</v>
      </c>
      <c r="G635" s="478" t="s">
        <v>2640</v>
      </c>
      <c r="H635" s="212" t="s">
        <v>2641</v>
      </c>
      <c r="I635" s="212" t="s">
        <v>391</v>
      </c>
      <c r="J635" s="480">
        <v>921121770</v>
      </c>
      <c r="K635" s="212" t="s">
        <v>2711</v>
      </c>
      <c r="L635" s="212" t="s">
        <v>4523</v>
      </c>
      <c r="M635" s="212" t="s">
        <v>44</v>
      </c>
      <c r="N635" s="212" t="s">
        <v>2936</v>
      </c>
      <c r="O635" s="212" t="s">
        <v>255</v>
      </c>
      <c r="P635" s="212" t="s">
        <v>4407</v>
      </c>
      <c r="Q635" s="312"/>
      <c r="R635" s="212">
        <v>688</v>
      </c>
      <c r="S635" s="479">
        <v>44365</v>
      </c>
      <c r="T635" s="212" t="s">
        <v>4607</v>
      </c>
      <c r="U635" s="539">
        <v>921121770</v>
      </c>
      <c r="V635" s="539"/>
      <c r="W635" s="540"/>
      <c r="X635" s="211"/>
      <c r="Y635" s="211"/>
      <c r="Z635" s="211"/>
      <c r="AA635" s="211"/>
      <c r="AB635" s="212"/>
      <c r="AD635" s="212"/>
      <c r="AF635" s="496"/>
      <c r="AG635" s="474"/>
      <c r="AM635" s="212"/>
    </row>
    <row r="636" spans="1:39" s="312" customFormat="1" x14ac:dyDescent="0.3">
      <c r="A636" s="361"/>
      <c r="B636" s="417" t="s">
        <v>4399</v>
      </c>
      <c r="C636" s="312" t="s">
        <v>4608</v>
      </c>
      <c r="D636" s="312">
        <v>626</v>
      </c>
      <c r="E636" s="325">
        <v>20212000030203</v>
      </c>
      <c r="F636" s="315">
        <v>44365</v>
      </c>
      <c r="G636" s="325" t="s">
        <v>2640</v>
      </c>
      <c r="H636" s="312" t="s">
        <v>2641</v>
      </c>
      <c r="I636" s="312" t="s">
        <v>391</v>
      </c>
      <c r="J636" s="406">
        <v>12092439</v>
      </c>
      <c r="K636" s="312" t="s">
        <v>2711</v>
      </c>
      <c r="L636" s="312" t="s">
        <v>4523</v>
      </c>
      <c r="M636" s="312" t="s">
        <v>44</v>
      </c>
      <c r="N636" s="312" t="s">
        <v>2936</v>
      </c>
      <c r="O636" s="312" t="s">
        <v>255</v>
      </c>
      <c r="P636" s="312" t="s">
        <v>4407</v>
      </c>
      <c r="R636" s="312">
        <v>689</v>
      </c>
      <c r="S636" s="315">
        <v>44365</v>
      </c>
      <c r="T636" s="312" t="s">
        <v>4609</v>
      </c>
      <c r="U636" s="447">
        <f>12092439-12092439</f>
        <v>0</v>
      </c>
      <c r="V636" s="447">
        <v>12092439</v>
      </c>
      <c r="W636" s="388" t="s">
        <v>1509</v>
      </c>
      <c r="X636" s="316"/>
      <c r="Y636" s="316"/>
      <c r="Z636" s="316"/>
      <c r="AA636" s="316"/>
      <c r="AC636" s="316"/>
      <c r="AF636" s="700"/>
      <c r="AG636" s="318"/>
      <c r="AH636" s="447"/>
      <c r="AI636" s="447"/>
      <c r="AJ636" s="447"/>
      <c r="AK636" s="447"/>
      <c r="AL636" s="447"/>
      <c r="AM636" s="212"/>
    </row>
    <row r="637" spans="1:39" s="312" customFormat="1" x14ac:dyDescent="0.3">
      <c r="A637" s="361" t="s">
        <v>1874</v>
      </c>
      <c r="B637" s="417">
        <v>566352000</v>
      </c>
      <c r="C637" s="312" t="s">
        <v>4610</v>
      </c>
      <c r="D637" s="448">
        <v>627</v>
      </c>
      <c r="E637" s="325">
        <v>20215000030673</v>
      </c>
      <c r="F637" s="315">
        <v>44368</v>
      </c>
      <c r="G637" s="325" t="s">
        <v>2640</v>
      </c>
      <c r="H637" s="312" t="s">
        <v>2641</v>
      </c>
      <c r="I637" s="312" t="s">
        <v>228</v>
      </c>
      <c r="J637" s="406">
        <v>566352000</v>
      </c>
      <c r="K637" s="312" t="s">
        <v>223</v>
      </c>
      <c r="L637" s="312" t="s">
        <v>257</v>
      </c>
      <c r="M637" s="312" t="s">
        <v>44</v>
      </c>
      <c r="N637" s="312" t="s">
        <v>45</v>
      </c>
      <c r="O637" s="312" t="s">
        <v>63</v>
      </c>
      <c r="P637" s="312" t="s">
        <v>674</v>
      </c>
      <c r="Q637" s="312" t="s">
        <v>3300</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3">
      <c r="A638" s="313"/>
      <c r="B638" s="419" t="s">
        <v>4390</v>
      </c>
      <c r="C638" s="212" t="s">
        <v>4611</v>
      </c>
      <c r="D638" s="212">
        <v>628</v>
      </c>
      <c r="E638" s="309">
        <v>20213000030733</v>
      </c>
      <c r="F638" s="479">
        <v>44369</v>
      </c>
      <c r="G638" s="469" t="s">
        <v>2640</v>
      </c>
      <c r="H638" s="468" t="s">
        <v>2641</v>
      </c>
      <c r="I638" s="468" t="s">
        <v>432</v>
      </c>
      <c r="J638" s="471">
        <v>8176734</v>
      </c>
      <c r="K638" s="468" t="s">
        <v>358</v>
      </c>
      <c r="L638" s="468" t="s">
        <v>4305</v>
      </c>
      <c r="M638" s="468" t="s">
        <v>44</v>
      </c>
      <c r="N638" s="468" t="s">
        <v>45</v>
      </c>
      <c r="O638" s="468" t="s">
        <v>63</v>
      </c>
      <c r="P638" s="212" t="s">
        <v>674</v>
      </c>
      <c r="R638" s="212">
        <v>691</v>
      </c>
      <c r="S638" s="479">
        <v>44370</v>
      </c>
      <c r="T638" s="212" t="s">
        <v>4612</v>
      </c>
      <c r="U638" s="539">
        <v>8176734</v>
      </c>
      <c r="V638" s="539"/>
      <c r="W638" s="212"/>
      <c r="X638" s="483" t="s">
        <v>4613</v>
      </c>
      <c r="Y638" s="490">
        <v>44377</v>
      </c>
      <c r="Z638" s="490">
        <v>44377</v>
      </c>
      <c r="AA638" s="490">
        <v>44468</v>
      </c>
      <c r="AB638" s="486" t="s">
        <v>2650</v>
      </c>
      <c r="AC638" s="483" t="s">
        <v>4614</v>
      </c>
      <c r="AD638" s="486" t="s">
        <v>4615</v>
      </c>
      <c r="AE638" s="486" t="s">
        <v>3183</v>
      </c>
      <c r="AF638" s="496">
        <v>8176734</v>
      </c>
      <c r="AG638" s="474"/>
      <c r="AM638" s="212"/>
    </row>
    <row r="639" spans="1:39" x14ac:dyDescent="0.3">
      <c r="A639" s="313" t="s">
        <v>1853</v>
      </c>
      <c r="B639" s="419">
        <v>257000000</v>
      </c>
      <c r="C639" s="212" t="s">
        <v>4616</v>
      </c>
      <c r="D639" s="212">
        <v>629</v>
      </c>
      <c r="E639" s="309">
        <v>20215000030753</v>
      </c>
      <c r="F639" s="479">
        <v>44369</v>
      </c>
      <c r="G639" s="478" t="s">
        <v>2640</v>
      </c>
      <c r="H639" s="212" t="s">
        <v>2641</v>
      </c>
      <c r="I639" s="212" t="s">
        <v>228</v>
      </c>
      <c r="J639" s="480">
        <v>254659992</v>
      </c>
      <c r="K639" s="212" t="s">
        <v>223</v>
      </c>
      <c r="L639" s="468" t="s">
        <v>224</v>
      </c>
      <c r="M639" s="212" t="s">
        <v>44</v>
      </c>
      <c r="N639" s="212" t="s">
        <v>45</v>
      </c>
      <c r="O639" s="212" t="s">
        <v>63</v>
      </c>
      <c r="P639" s="212" t="s">
        <v>674</v>
      </c>
      <c r="R639" s="212">
        <v>692</v>
      </c>
      <c r="S639" s="479">
        <v>44370</v>
      </c>
      <c r="T639" s="212" t="s">
        <v>4617</v>
      </c>
      <c r="U639" s="539">
        <v>254659992</v>
      </c>
      <c r="V639" s="539"/>
      <c r="W639" s="540"/>
      <c r="X639" s="211"/>
      <c r="Y639" s="211"/>
      <c r="Z639" s="211"/>
      <c r="AA639" s="211"/>
      <c r="AB639" s="212"/>
      <c r="AD639" s="212"/>
      <c r="AF639" s="496"/>
      <c r="AG639" s="474"/>
      <c r="AM639" s="212"/>
    </row>
    <row r="640" spans="1:39" x14ac:dyDescent="0.3">
      <c r="A640" s="313" t="s">
        <v>1851</v>
      </c>
      <c r="B640" s="419">
        <v>356000000</v>
      </c>
      <c r="C640" s="212" t="s">
        <v>4618</v>
      </c>
      <c r="D640" s="212">
        <v>630</v>
      </c>
      <c r="E640" s="309">
        <v>20215000030763</v>
      </c>
      <c r="F640" s="479">
        <v>44369</v>
      </c>
      <c r="G640" s="478" t="s">
        <v>2640</v>
      </c>
      <c r="H640" s="212" t="s">
        <v>2641</v>
      </c>
      <c r="I640" s="212" t="s">
        <v>228</v>
      </c>
      <c r="J640" s="480">
        <v>324292404</v>
      </c>
      <c r="K640" s="212" t="s">
        <v>223</v>
      </c>
      <c r="L640" s="468" t="s">
        <v>224</v>
      </c>
      <c r="M640" s="212" t="s">
        <v>44</v>
      </c>
      <c r="N640" s="212" t="s">
        <v>45</v>
      </c>
      <c r="O640" s="212" t="s">
        <v>63</v>
      </c>
      <c r="P640" s="212" t="s">
        <v>674</v>
      </c>
      <c r="R640" s="212">
        <v>693</v>
      </c>
      <c r="S640" s="479">
        <v>44370</v>
      </c>
      <c r="T640" s="212" t="s">
        <v>4619</v>
      </c>
      <c r="U640" s="539">
        <v>324292404</v>
      </c>
      <c r="W640" s="540"/>
      <c r="X640" s="211"/>
      <c r="Y640" s="211"/>
      <c r="Z640" s="211"/>
      <c r="AA640" s="211"/>
      <c r="AB640" s="212"/>
      <c r="AD640" s="212"/>
      <c r="AF640" s="496"/>
      <c r="AG640" s="474"/>
      <c r="AM640" s="212"/>
    </row>
    <row r="641" spans="1:39" x14ac:dyDescent="0.3">
      <c r="A641" s="313" t="s">
        <v>1856</v>
      </c>
      <c r="B641" s="419">
        <v>381000000</v>
      </c>
      <c r="C641" s="212" t="s">
        <v>4616</v>
      </c>
      <c r="D641" s="212">
        <v>631</v>
      </c>
      <c r="E641" s="309">
        <v>20215000030773</v>
      </c>
      <c r="F641" s="479">
        <v>44369</v>
      </c>
      <c r="G641" s="478" t="s">
        <v>2640</v>
      </c>
      <c r="H641" s="212" t="s">
        <v>2641</v>
      </c>
      <c r="I641" s="212" t="s">
        <v>228</v>
      </c>
      <c r="J641" s="480">
        <v>272400000</v>
      </c>
      <c r="K641" s="212" t="s">
        <v>223</v>
      </c>
      <c r="L641" s="468" t="s">
        <v>224</v>
      </c>
      <c r="M641" s="212" t="s">
        <v>44</v>
      </c>
      <c r="N641" s="212" t="s">
        <v>45</v>
      </c>
      <c r="O641" s="212" t="s">
        <v>63</v>
      </c>
      <c r="P641" s="212" t="s">
        <v>674</v>
      </c>
      <c r="R641" s="212">
        <v>694</v>
      </c>
      <c r="S641" s="479">
        <v>44370</v>
      </c>
      <c r="T641" s="212" t="s">
        <v>4620</v>
      </c>
      <c r="U641" s="539">
        <v>272400000</v>
      </c>
      <c r="V641" s="539"/>
      <c r="W641" s="540"/>
      <c r="X641" s="211"/>
      <c r="Y641" s="211"/>
      <c r="Z641" s="211"/>
      <c r="AA641" s="211"/>
      <c r="AB641" s="212"/>
      <c r="AD641" s="212"/>
      <c r="AF641" s="496"/>
      <c r="AG641" s="474"/>
      <c r="AM641" s="212"/>
    </row>
    <row r="642" spans="1:39" x14ac:dyDescent="0.3">
      <c r="A642" s="313"/>
      <c r="B642" s="477" t="s">
        <v>3103</v>
      </c>
      <c r="C642" s="212" t="s">
        <v>4621</v>
      </c>
      <c r="D642" s="212">
        <v>632</v>
      </c>
      <c r="E642" s="309">
        <v>20217000030813</v>
      </c>
      <c r="F642" s="479">
        <v>44369</v>
      </c>
      <c r="G642" s="478" t="s">
        <v>2647</v>
      </c>
      <c r="H642" s="212" t="s">
        <v>2648</v>
      </c>
      <c r="I642" s="212" t="s">
        <v>164</v>
      </c>
      <c r="J642" s="473">
        <v>1800000</v>
      </c>
      <c r="K642" s="212" t="s">
        <v>138</v>
      </c>
      <c r="L642" s="212" t="s">
        <v>139</v>
      </c>
      <c r="M642" s="212" t="s">
        <v>44</v>
      </c>
      <c r="N642" s="212" t="s">
        <v>45</v>
      </c>
      <c r="O642" s="212" t="s">
        <v>142</v>
      </c>
      <c r="P642" s="212" t="s">
        <v>43</v>
      </c>
      <c r="R642" s="212">
        <v>695</v>
      </c>
      <c r="S642" s="479">
        <v>44370</v>
      </c>
      <c r="T642" s="212" t="s">
        <v>4622</v>
      </c>
      <c r="U642" s="539">
        <v>1300000</v>
      </c>
      <c r="V642" s="539"/>
      <c r="W642" s="212"/>
      <c r="X642" s="530" t="s">
        <v>4623</v>
      </c>
      <c r="Y642" s="491">
        <v>44371</v>
      </c>
      <c r="Z642" s="491">
        <v>44371</v>
      </c>
      <c r="AA642" s="491">
        <v>44377</v>
      </c>
      <c r="AB642" s="493" t="s">
        <v>3106</v>
      </c>
      <c r="AC642" s="530" t="s">
        <v>3381</v>
      </c>
      <c r="AD642" s="493" t="s">
        <v>3107</v>
      </c>
      <c r="AE642" s="493" t="s">
        <v>3108</v>
      </c>
      <c r="AF642" s="496">
        <v>1300000</v>
      </c>
      <c r="AG642" s="474"/>
      <c r="AM642" s="306">
        <v>203900</v>
      </c>
    </row>
    <row r="643" spans="1:39" x14ac:dyDescent="0.3">
      <c r="A643" s="313" t="s">
        <v>2220</v>
      </c>
      <c r="B643" s="419">
        <v>30000000</v>
      </c>
      <c r="C643" s="212" t="s">
        <v>2646</v>
      </c>
      <c r="D643" s="212">
        <v>633</v>
      </c>
      <c r="E643" s="309">
        <v>20214000030783</v>
      </c>
      <c r="F643" s="479">
        <v>44370</v>
      </c>
      <c r="G643" s="478" t="s">
        <v>2673</v>
      </c>
      <c r="H643" s="212" t="s">
        <v>2674</v>
      </c>
      <c r="I643" s="212" t="s">
        <v>117</v>
      </c>
      <c r="J643" s="475">
        <v>30000000</v>
      </c>
      <c r="K643" s="212" t="s">
        <v>112</v>
      </c>
      <c r="L643" s="212" t="s">
        <v>2675</v>
      </c>
      <c r="M643" s="212" t="s">
        <v>44</v>
      </c>
      <c r="N643" s="212" t="s">
        <v>45</v>
      </c>
      <c r="O643" s="212" t="s">
        <v>63</v>
      </c>
      <c r="P643" s="212" t="s">
        <v>43</v>
      </c>
      <c r="R643" s="212">
        <v>698</v>
      </c>
      <c r="S643" s="479">
        <v>44371</v>
      </c>
      <c r="T643" s="212" t="s">
        <v>4624</v>
      </c>
      <c r="U643" s="539">
        <v>30000000</v>
      </c>
      <c r="V643" s="539"/>
      <c r="W643" s="540"/>
      <c r="X643" s="211"/>
      <c r="Y643" s="211"/>
      <c r="Z643" s="211"/>
      <c r="AA643" s="211"/>
      <c r="AB643" s="212"/>
      <c r="AD643" s="212"/>
      <c r="AF643" s="475"/>
      <c r="AM643" s="212"/>
    </row>
    <row r="644" spans="1:39" x14ac:dyDescent="0.3">
      <c r="A644" s="313"/>
      <c r="B644" s="419" t="s">
        <v>4399</v>
      </c>
      <c r="C644" s="212" t="s">
        <v>4625</v>
      </c>
      <c r="D644" s="212">
        <v>634</v>
      </c>
      <c r="E644" s="309">
        <v>20214000030793</v>
      </c>
      <c r="F644" s="479">
        <v>44370</v>
      </c>
      <c r="G644" s="478" t="s">
        <v>2673</v>
      </c>
      <c r="H644" s="212" t="s">
        <v>2674</v>
      </c>
      <c r="I644" s="212" t="s">
        <v>117</v>
      </c>
      <c r="J644" s="475">
        <v>15627675</v>
      </c>
      <c r="K644" s="212" t="s">
        <v>112</v>
      </c>
      <c r="L644" s="212" t="s">
        <v>2675</v>
      </c>
      <c r="M644" s="212" t="s">
        <v>44</v>
      </c>
      <c r="N644" s="212" t="s">
        <v>45</v>
      </c>
      <c r="O644" s="212" t="s">
        <v>63</v>
      </c>
      <c r="P644" s="212" t="s">
        <v>4626</v>
      </c>
      <c r="R644" s="212">
        <v>699</v>
      </c>
      <c r="S644" s="479">
        <v>44371</v>
      </c>
      <c r="T644" s="212" t="s">
        <v>4627</v>
      </c>
      <c r="U644" s="539">
        <v>15627675</v>
      </c>
      <c r="V644" s="539"/>
      <c r="W644" s="540"/>
      <c r="X644" s="211"/>
      <c r="Y644" s="211"/>
      <c r="Z644" s="211"/>
      <c r="AA644" s="211"/>
      <c r="AB644" s="212"/>
      <c r="AD644" s="212"/>
      <c r="AF644" s="475"/>
      <c r="AM644" s="212"/>
    </row>
    <row r="645" spans="1:39" s="451" customFormat="1" x14ac:dyDescent="0.3">
      <c r="A645" s="449"/>
      <c r="B645" s="450"/>
      <c r="D645" s="451">
        <v>634</v>
      </c>
      <c r="E645" s="452">
        <v>20214000030793</v>
      </c>
      <c r="F645" s="453">
        <v>44370</v>
      </c>
      <c r="G645" s="452" t="s">
        <v>2680</v>
      </c>
      <c r="H645" s="451" t="s">
        <v>2681</v>
      </c>
      <c r="I645" s="451" t="s">
        <v>47</v>
      </c>
      <c r="J645" s="454">
        <v>5209225</v>
      </c>
      <c r="K645" s="451" t="s">
        <v>37</v>
      </c>
      <c r="L645" s="451" t="s">
        <v>2682</v>
      </c>
      <c r="M645" s="451" t="s">
        <v>44</v>
      </c>
      <c r="N645" s="451" t="s">
        <v>45</v>
      </c>
      <c r="O645" s="212" t="s">
        <v>310</v>
      </c>
      <c r="P645" s="451" t="s">
        <v>4626</v>
      </c>
      <c r="R645" s="212">
        <v>699</v>
      </c>
      <c r="S645" s="479">
        <v>44371</v>
      </c>
      <c r="T645" s="212" t="s">
        <v>4627</v>
      </c>
      <c r="U645" s="539">
        <v>5209225</v>
      </c>
      <c r="V645" s="455"/>
      <c r="W645" s="456"/>
      <c r="X645" s="457"/>
      <c r="Y645" s="457"/>
      <c r="Z645" s="457"/>
      <c r="AA645" s="457"/>
      <c r="AC645" s="457"/>
      <c r="AF645" s="458"/>
      <c r="AH645" s="458"/>
      <c r="AI645" s="458"/>
      <c r="AJ645" s="458"/>
      <c r="AK645" s="458"/>
      <c r="AL645" s="458"/>
      <c r="AM645" s="212"/>
    </row>
    <row r="646" spans="1:39" x14ac:dyDescent="0.3">
      <c r="A646" s="313" t="s">
        <v>1874</v>
      </c>
      <c r="B646" s="419">
        <v>566352000</v>
      </c>
      <c r="C646" s="212" t="s">
        <v>4628</v>
      </c>
      <c r="D646" s="541">
        <v>635</v>
      </c>
      <c r="E646" s="309">
        <v>20215000030673</v>
      </c>
      <c r="F646" s="479">
        <v>44370</v>
      </c>
      <c r="G646" s="478" t="s">
        <v>2640</v>
      </c>
      <c r="H646" s="212" t="s">
        <v>2641</v>
      </c>
      <c r="I646" s="212" t="s">
        <v>228</v>
      </c>
      <c r="J646" s="480">
        <v>566352000</v>
      </c>
      <c r="K646" s="212" t="s">
        <v>223</v>
      </c>
      <c r="L646" s="212" t="s">
        <v>257</v>
      </c>
      <c r="M646" s="212" t="s">
        <v>44</v>
      </c>
      <c r="N646" s="212" t="s">
        <v>45</v>
      </c>
      <c r="O646" s="212" t="s">
        <v>63</v>
      </c>
      <c r="P646" s="212" t="s">
        <v>674</v>
      </c>
      <c r="R646" s="212">
        <v>697</v>
      </c>
      <c r="S646" s="479">
        <v>44371</v>
      </c>
      <c r="T646" s="212" t="s">
        <v>4629</v>
      </c>
      <c r="U646" s="539">
        <v>566352000</v>
      </c>
      <c r="V646" s="539"/>
      <c r="W646" s="540"/>
      <c r="X646" s="211"/>
      <c r="Y646" s="211"/>
      <c r="Z646" s="211"/>
      <c r="AA646" s="211"/>
      <c r="AB646" s="212"/>
      <c r="AD646" s="212"/>
      <c r="AF646" s="475"/>
      <c r="AM646" s="212"/>
    </row>
    <row r="647" spans="1:39" x14ac:dyDescent="0.3">
      <c r="A647" s="476" t="s">
        <v>1889</v>
      </c>
      <c r="B647" s="477">
        <v>439581220</v>
      </c>
      <c r="C647" s="212" t="s">
        <v>4630</v>
      </c>
      <c r="D647" s="212">
        <v>636</v>
      </c>
      <c r="E647" s="478">
        <v>20213000031073</v>
      </c>
      <c r="F647" s="479">
        <v>44370</v>
      </c>
      <c r="G647" s="478" t="s">
        <v>2640</v>
      </c>
      <c r="H647" s="212" t="s">
        <v>2641</v>
      </c>
      <c r="I647" s="212" t="s">
        <v>432</v>
      </c>
      <c r="J647" s="480">
        <v>439581220</v>
      </c>
      <c r="K647" s="212" t="s">
        <v>342</v>
      </c>
      <c r="L647" s="212" t="s">
        <v>351</v>
      </c>
      <c r="M647" s="212" t="s">
        <v>44</v>
      </c>
      <c r="N647" s="212" t="s">
        <v>45</v>
      </c>
      <c r="O647" s="212" t="s">
        <v>63</v>
      </c>
      <c r="P647" s="212" t="s">
        <v>4566</v>
      </c>
      <c r="R647" s="212">
        <v>700</v>
      </c>
      <c r="S647" s="479">
        <v>44371</v>
      </c>
      <c r="T647" s="212" t="s">
        <v>4631</v>
      </c>
      <c r="U647" s="539">
        <v>439581220</v>
      </c>
      <c r="V647" s="539"/>
      <c r="W647" s="540"/>
      <c r="X647" s="211"/>
      <c r="Y647" s="211"/>
      <c r="Z647" s="211"/>
      <c r="AA647" s="211"/>
      <c r="AB647" s="212"/>
      <c r="AD647" s="212"/>
      <c r="AF647" s="475"/>
      <c r="AM647" s="212"/>
    </row>
    <row r="648" spans="1:39" x14ac:dyDescent="0.3">
      <c r="A648" s="449"/>
      <c r="B648" s="419" t="s">
        <v>4399</v>
      </c>
      <c r="C648" s="212" t="s">
        <v>4632</v>
      </c>
      <c r="D648" s="212">
        <v>637</v>
      </c>
      <c r="E648" s="478">
        <v>20212000031083</v>
      </c>
      <c r="F648" s="479">
        <v>44370</v>
      </c>
      <c r="G648" s="478" t="s">
        <v>2640</v>
      </c>
      <c r="H648" s="212" t="s">
        <v>2641</v>
      </c>
      <c r="I648" s="212" t="s">
        <v>391</v>
      </c>
      <c r="J648" s="480">
        <v>12092439</v>
      </c>
      <c r="K648" s="212" t="s">
        <v>2711</v>
      </c>
      <c r="L648" s="212" t="s">
        <v>4523</v>
      </c>
      <c r="M648" s="212" t="s">
        <v>44</v>
      </c>
      <c r="N648" s="212" t="s">
        <v>2936</v>
      </c>
      <c r="O648" s="212" t="s">
        <v>255</v>
      </c>
      <c r="P648" s="212" t="s">
        <v>4407</v>
      </c>
      <c r="R648" s="212">
        <v>701</v>
      </c>
      <c r="S648" s="479">
        <v>44371</v>
      </c>
      <c r="T648" s="212" t="s">
        <v>4633</v>
      </c>
      <c r="U648" s="539">
        <v>12092439</v>
      </c>
      <c r="V648" s="539"/>
      <c r="W648" s="540"/>
      <c r="X648" s="211"/>
      <c r="Y648" s="211"/>
      <c r="Z648" s="211"/>
      <c r="AA648" s="211"/>
      <c r="AB648" s="212"/>
      <c r="AD648" s="212"/>
      <c r="AF648" s="475"/>
      <c r="AM648" s="212"/>
    </row>
    <row r="649" spans="1:39" x14ac:dyDescent="0.3">
      <c r="A649" s="449"/>
      <c r="B649" s="419" t="s">
        <v>4399</v>
      </c>
      <c r="C649" s="212" t="s">
        <v>4634</v>
      </c>
      <c r="D649" s="212">
        <v>638</v>
      </c>
      <c r="E649" s="478">
        <v>20215000031193</v>
      </c>
      <c r="F649" s="479">
        <v>44371</v>
      </c>
      <c r="G649" s="478" t="s">
        <v>2640</v>
      </c>
      <c r="H649" s="212" t="s">
        <v>2641</v>
      </c>
      <c r="I649" s="212" t="s">
        <v>228</v>
      </c>
      <c r="J649" s="475">
        <v>3066667</v>
      </c>
      <c r="K649" s="212" t="s">
        <v>223</v>
      </c>
      <c r="L649" s="212" t="s">
        <v>233</v>
      </c>
      <c r="M649" s="212" t="s">
        <v>44</v>
      </c>
      <c r="N649" s="212" t="s">
        <v>45</v>
      </c>
      <c r="O649" s="212" t="s">
        <v>63</v>
      </c>
      <c r="P649" s="212" t="s">
        <v>4626</v>
      </c>
      <c r="R649" s="212">
        <v>702</v>
      </c>
      <c r="S649" s="479">
        <v>44372</v>
      </c>
      <c r="T649" s="212" t="s">
        <v>4635</v>
      </c>
      <c r="U649" s="539">
        <v>3066667</v>
      </c>
      <c r="V649" s="539"/>
      <c r="W649" s="540"/>
      <c r="X649" s="211"/>
      <c r="Y649" s="211"/>
      <c r="Z649" s="211"/>
      <c r="AA649" s="211"/>
      <c r="AB649" s="212"/>
      <c r="AD649" s="212"/>
      <c r="AF649" s="475"/>
      <c r="AM649" s="212"/>
    </row>
    <row r="650" spans="1:39" x14ac:dyDescent="0.3">
      <c r="A650" s="449"/>
      <c r="B650" s="419" t="s">
        <v>4399</v>
      </c>
      <c r="C650" s="212" t="s">
        <v>4636</v>
      </c>
      <c r="D650" s="212">
        <v>639</v>
      </c>
      <c r="E650" s="478">
        <v>20215000031203</v>
      </c>
      <c r="F650" s="479">
        <v>44371</v>
      </c>
      <c r="G650" s="478" t="s">
        <v>2640</v>
      </c>
      <c r="H650" s="212" t="s">
        <v>2641</v>
      </c>
      <c r="I650" s="212" t="s">
        <v>228</v>
      </c>
      <c r="J650" s="475">
        <v>53103705</v>
      </c>
      <c r="K650" s="212" t="s">
        <v>223</v>
      </c>
      <c r="L650" s="212" t="s">
        <v>233</v>
      </c>
      <c r="M650" s="212" t="s">
        <v>44</v>
      </c>
      <c r="N650" s="212" t="s">
        <v>45</v>
      </c>
      <c r="O650" s="212" t="s">
        <v>63</v>
      </c>
      <c r="P650" s="212" t="s">
        <v>4626</v>
      </c>
      <c r="R650" s="212">
        <v>703</v>
      </c>
      <c r="S650" s="479">
        <v>44372</v>
      </c>
      <c r="T650" s="212" t="s">
        <v>4637</v>
      </c>
      <c r="U650" s="539">
        <v>53103705</v>
      </c>
      <c r="V650" s="539"/>
      <c r="W650" s="540"/>
      <c r="X650" s="211"/>
      <c r="Y650" s="211"/>
      <c r="Z650" s="211"/>
      <c r="AA650" s="211"/>
      <c r="AB650" s="212"/>
      <c r="AD650" s="212"/>
      <c r="AF650" s="475"/>
      <c r="AM650" s="212"/>
    </row>
    <row r="651" spans="1:39" x14ac:dyDescent="0.3">
      <c r="A651" s="313" t="s">
        <v>2237</v>
      </c>
      <c r="B651" s="477">
        <v>5838000000</v>
      </c>
      <c r="C651" s="212" t="s">
        <v>4638</v>
      </c>
      <c r="D651" s="212">
        <v>640</v>
      </c>
      <c r="E651" s="478">
        <v>20214000031283</v>
      </c>
      <c r="F651" s="479">
        <v>44371</v>
      </c>
      <c r="G651" s="478" t="s">
        <v>2673</v>
      </c>
      <c r="H651" s="212" t="s">
        <v>2674</v>
      </c>
      <c r="I651" s="212" t="s">
        <v>117</v>
      </c>
      <c r="J651" s="475">
        <v>4180303080</v>
      </c>
      <c r="K651" s="212" t="s">
        <v>112</v>
      </c>
      <c r="L651" s="212" t="s">
        <v>113</v>
      </c>
      <c r="M651" s="212" t="s">
        <v>44</v>
      </c>
      <c r="N651" s="212" t="s">
        <v>45</v>
      </c>
      <c r="O651" s="212" t="s">
        <v>142</v>
      </c>
      <c r="P651" s="212" t="s">
        <v>674</v>
      </c>
      <c r="R651" s="212">
        <v>704</v>
      </c>
      <c r="S651" s="479">
        <v>44372</v>
      </c>
      <c r="T651" s="212" t="s">
        <v>4639</v>
      </c>
      <c r="U651" s="539">
        <v>4180303080</v>
      </c>
      <c r="V651" s="539"/>
      <c r="W651" s="540"/>
      <c r="X651" s="211"/>
      <c r="Y651" s="211"/>
      <c r="Z651" s="211"/>
      <c r="AA651" s="211"/>
      <c r="AB651" s="212"/>
      <c r="AD651" s="212"/>
      <c r="AF651" s="475"/>
      <c r="AM651" s="212"/>
    </row>
    <row r="652" spans="1:39" x14ac:dyDescent="0.3">
      <c r="A652" s="476" t="s">
        <v>2134</v>
      </c>
      <c r="B652" s="477">
        <v>28200000</v>
      </c>
      <c r="C652" s="212" t="s">
        <v>2646</v>
      </c>
      <c r="D652" s="212">
        <v>641</v>
      </c>
      <c r="E652" s="478">
        <v>20214000031303</v>
      </c>
      <c r="F652" s="479">
        <v>44371</v>
      </c>
      <c r="G652" s="478" t="s">
        <v>2680</v>
      </c>
      <c r="H652" s="212" t="s">
        <v>2681</v>
      </c>
      <c r="I652" s="212" t="s">
        <v>47</v>
      </c>
      <c r="J652" s="480">
        <v>23500000</v>
      </c>
      <c r="K652" s="212" t="s">
        <v>37</v>
      </c>
      <c r="L652" s="212" t="s">
        <v>2682</v>
      </c>
      <c r="M652" s="212" t="s">
        <v>44</v>
      </c>
      <c r="N652" s="212" t="s">
        <v>45</v>
      </c>
      <c r="O652" s="212" t="s">
        <v>310</v>
      </c>
      <c r="P652" s="210" t="s">
        <v>43</v>
      </c>
      <c r="R652" s="212">
        <v>705</v>
      </c>
      <c r="S652" s="479">
        <v>44372</v>
      </c>
      <c r="T652" s="212" t="s">
        <v>4640</v>
      </c>
      <c r="U652" s="539">
        <v>23500000</v>
      </c>
      <c r="V652" s="539"/>
      <c r="W652" s="540"/>
      <c r="X652" s="211"/>
      <c r="Y652" s="211"/>
      <c r="Z652" s="211"/>
      <c r="AA652" s="211"/>
      <c r="AB652" s="212"/>
      <c r="AD652" s="212"/>
      <c r="AF652" s="475"/>
      <c r="AM652" s="212"/>
    </row>
    <row r="653" spans="1:39" x14ac:dyDescent="0.3">
      <c r="A653" s="476" t="s">
        <v>2349</v>
      </c>
      <c r="B653" s="477">
        <v>100000000</v>
      </c>
      <c r="C653" s="212" t="s">
        <v>4641</v>
      </c>
      <c r="D653" s="212">
        <v>642</v>
      </c>
      <c r="E653" s="478">
        <v>20213000030273</v>
      </c>
      <c r="F653" s="479">
        <v>44372</v>
      </c>
      <c r="G653" s="478" t="s">
        <v>2640</v>
      </c>
      <c r="H653" s="212" t="s">
        <v>2641</v>
      </c>
      <c r="I653" s="212" t="s">
        <v>432</v>
      </c>
      <c r="J653" s="475">
        <v>100000000</v>
      </c>
      <c r="K653" s="212" t="s">
        <v>342</v>
      </c>
      <c r="L653" s="212" t="s">
        <v>351</v>
      </c>
      <c r="M653" s="212" t="s">
        <v>44</v>
      </c>
      <c r="N653" s="212" t="s">
        <v>45</v>
      </c>
      <c r="O653" s="212" t="s">
        <v>63</v>
      </c>
      <c r="P653" s="212" t="s">
        <v>4566</v>
      </c>
      <c r="R653" s="212">
        <v>706</v>
      </c>
      <c r="S653" s="479">
        <v>44372</v>
      </c>
      <c r="T653" s="212" t="s">
        <v>4642</v>
      </c>
      <c r="U653" s="539">
        <v>100000000</v>
      </c>
      <c r="V653" s="539"/>
      <c r="W653" s="540"/>
      <c r="X653" s="211"/>
      <c r="Y653" s="211"/>
      <c r="Z653" s="211"/>
      <c r="AA653" s="211"/>
      <c r="AB653" s="212"/>
      <c r="AD653" s="212"/>
      <c r="AF653" s="475"/>
      <c r="AM653" s="212"/>
    </row>
    <row r="654" spans="1:39" x14ac:dyDescent="0.3">
      <c r="B654" s="477" t="s">
        <v>4399</v>
      </c>
      <c r="C654" s="212" t="s">
        <v>4643</v>
      </c>
      <c r="D654" s="212">
        <v>643</v>
      </c>
      <c r="E654" s="478">
        <v>20215000031473</v>
      </c>
      <c r="F654" s="479">
        <v>44375</v>
      </c>
      <c r="G654" s="478" t="s">
        <v>2640</v>
      </c>
      <c r="H654" s="212" t="s">
        <v>2641</v>
      </c>
      <c r="I654" s="212" t="s">
        <v>228</v>
      </c>
      <c r="J654" s="480">
        <v>4290000</v>
      </c>
      <c r="K654" s="212" t="s">
        <v>223</v>
      </c>
      <c r="L654" s="212" t="s">
        <v>233</v>
      </c>
      <c r="M654" s="212" t="s">
        <v>44</v>
      </c>
      <c r="N654" s="212" t="s">
        <v>45</v>
      </c>
      <c r="O654" s="212" t="s">
        <v>63</v>
      </c>
      <c r="P654" s="212" t="s">
        <v>4626</v>
      </c>
      <c r="R654" s="212">
        <v>709</v>
      </c>
      <c r="S654" s="479">
        <v>44375</v>
      </c>
      <c r="T654" s="212" t="s">
        <v>4644</v>
      </c>
      <c r="U654" s="480">
        <v>4290000</v>
      </c>
      <c r="V654" s="539"/>
      <c r="W654" s="324"/>
      <c r="X654" s="211"/>
      <c r="Y654" s="211"/>
      <c r="Z654" s="211"/>
      <c r="AA654" s="211"/>
      <c r="AB654" s="212"/>
      <c r="AD654" s="212"/>
      <c r="AF654" s="480"/>
      <c r="AH654" s="480"/>
      <c r="AI654" s="480"/>
      <c r="AJ654" s="480"/>
      <c r="AK654" s="480"/>
      <c r="AL654" s="480"/>
      <c r="AM654" s="212"/>
    </row>
    <row r="655" spans="1:39" x14ac:dyDescent="0.3">
      <c r="A655" s="476" t="s">
        <v>4645</v>
      </c>
      <c r="B655" s="477">
        <v>2500000000</v>
      </c>
      <c r="C655" s="212" t="s">
        <v>4641</v>
      </c>
      <c r="D655" s="212">
        <v>644</v>
      </c>
      <c r="E655" s="478">
        <v>20215000031503</v>
      </c>
      <c r="F655" s="479">
        <v>44375</v>
      </c>
      <c r="G655" s="478" t="s">
        <v>2640</v>
      </c>
      <c r="H655" s="212" t="s">
        <v>2641</v>
      </c>
      <c r="I655" s="212" t="s">
        <v>228</v>
      </c>
      <c r="J655" s="480">
        <v>2500000000</v>
      </c>
      <c r="K655" s="212" t="s">
        <v>223</v>
      </c>
      <c r="L655" s="212" t="s">
        <v>257</v>
      </c>
      <c r="M655" s="212" t="s">
        <v>44</v>
      </c>
      <c r="N655" s="212" t="s">
        <v>45</v>
      </c>
      <c r="O655" s="212" t="s">
        <v>310</v>
      </c>
      <c r="P655" s="212" t="s">
        <v>770</v>
      </c>
      <c r="R655" s="212">
        <v>710</v>
      </c>
      <c r="S655" s="479">
        <v>44375</v>
      </c>
      <c r="T655" s="212" t="s">
        <v>4646</v>
      </c>
      <c r="U655" s="480">
        <v>2500000000</v>
      </c>
      <c r="V655" s="539"/>
      <c r="W655" s="542"/>
      <c r="X655" s="211"/>
      <c r="Y655" s="211"/>
      <c r="Z655" s="211"/>
      <c r="AA655" s="211"/>
      <c r="AB655" s="212"/>
      <c r="AD655" s="212"/>
      <c r="AF655" s="480"/>
      <c r="AH655" s="480"/>
      <c r="AI655" s="480"/>
      <c r="AJ655" s="480"/>
      <c r="AK655" s="480"/>
      <c r="AL655" s="480"/>
      <c r="AM655" s="212"/>
    </row>
    <row r="656" spans="1:39" x14ac:dyDescent="0.3">
      <c r="A656" s="476" t="s">
        <v>4647</v>
      </c>
      <c r="B656" s="477">
        <v>50150000</v>
      </c>
      <c r="C656" s="212" t="s">
        <v>2646</v>
      </c>
      <c r="D656" s="212">
        <v>645</v>
      </c>
      <c r="E656" s="478">
        <v>20215000031513</v>
      </c>
      <c r="F656" s="479">
        <v>44375</v>
      </c>
      <c r="G656" s="478" t="s">
        <v>2640</v>
      </c>
      <c r="H656" s="212" t="s">
        <v>2641</v>
      </c>
      <c r="I656" s="212" t="s">
        <v>228</v>
      </c>
      <c r="J656" s="480">
        <v>50150000</v>
      </c>
      <c r="K656" s="212" t="s">
        <v>223</v>
      </c>
      <c r="L656" s="212" t="s">
        <v>233</v>
      </c>
      <c r="M656" s="212" t="s">
        <v>44</v>
      </c>
      <c r="N656" s="212" t="s">
        <v>45</v>
      </c>
      <c r="O656" s="212" t="s">
        <v>63</v>
      </c>
      <c r="P656" s="212" t="s">
        <v>674</v>
      </c>
      <c r="R656" s="212">
        <v>711</v>
      </c>
      <c r="S656" s="479">
        <v>44375</v>
      </c>
      <c r="T656" s="212" t="s">
        <v>4648</v>
      </c>
      <c r="U656" s="480">
        <v>50150000</v>
      </c>
      <c r="V656" s="539"/>
      <c r="W656" s="324"/>
      <c r="X656" s="211"/>
      <c r="Y656" s="211"/>
      <c r="Z656" s="211"/>
      <c r="AA656" s="211"/>
      <c r="AB656" s="212"/>
      <c r="AD656" s="212"/>
      <c r="AF656" s="480"/>
      <c r="AH656" s="480"/>
      <c r="AI656" s="480"/>
      <c r="AJ656" s="480"/>
      <c r="AK656" s="480"/>
      <c r="AL656" s="480"/>
      <c r="AM656" s="212"/>
    </row>
    <row r="657" spans="1:39" x14ac:dyDescent="0.3">
      <c r="A657" s="476" t="s">
        <v>2351</v>
      </c>
      <c r="B657" s="477">
        <v>59000000</v>
      </c>
      <c r="C657" s="212" t="s">
        <v>4649</v>
      </c>
      <c r="D657" s="212">
        <v>646</v>
      </c>
      <c r="E657" s="478">
        <v>20213000031583</v>
      </c>
      <c r="F657" s="479">
        <v>44375</v>
      </c>
      <c r="G657" s="478" t="s">
        <v>2640</v>
      </c>
      <c r="H657" s="212" t="s">
        <v>2641</v>
      </c>
      <c r="I657" s="212" t="s">
        <v>432</v>
      </c>
      <c r="J657" s="475">
        <v>59000000</v>
      </c>
      <c r="K657" s="212" t="s">
        <v>342</v>
      </c>
      <c r="L657" s="212" t="s">
        <v>351</v>
      </c>
      <c r="M657" s="212" t="s">
        <v>44</v>
      </c>
      <c r="N657" s="212" t="s">
        <v>45</v>
      </c>
      <c r="O657" s="212" t="s">
        <v>63</v>
      </c>
      <c r="P657" s="212" t="s">
        <v>4566</v>
      </c>
      <c r="R657" s="212">
        <v>714</v>
      </c>
      <c r="S657" s="479">
        <v>44376</v>
      </c>
      <c r="T657" s="212" t="s">
        <v>4650</v>
      </c>
      <c r="U657" s="539">
        <v>59000000</v>
      </c>
      <c r="V657" s="539"/>
      <c r="W657" s="540"/>
      <c r="X657" s="211"/>
      <c r="Y657" s="211"/>
      <c r="Z657" s="211"/>
      <c r="AA657" s="211"/>
      <c r="AB657" s="212"/>
      <c r="AD657" s="212"/>
      <c r="AF657" s="475"/>
      <c r="AM657" s="212"/>
    </row>
    <row r="658" spans="1:39" x14ac:dyDescent="0.3">
      <c r="A658" s="476" t="s">
        <v>2313</v>
      </c>
      <c r="B658" s="477">
        <v>650000000</v>
      </c>
      <c r="C658" s="212" t="s">
        <v>4651</v>
      </c>
      <c r="D658" s="212">
        <v>647</v>
      </c>
      <c r="E658" s="478">
        <v>20211400031553</v>
      </c>
      <c r="F658" s="479">
        <v>44375</v>
      </c>
      <c r="G658" s="478" t="s">
        <v>2647</v>
      </c>
      <c r="H658" s="212" t="s">
        <v>2648</v>
      </c>
      <c r="I658" s="212" t="s">
        <v>184</v>
      </c>
      <c r="J658" s="475">
        <v>650000000</v>
      </c>
      <c r="K658" s="212" t="s">
        <v>138</v>
      </c>
      <c r="L658" s="212" t="s">
        <v>181</v>
      </c>
      <c r="M658" s="212" t="s">
        <v>44</v>
      </c>
      <c r="N658" s="212" t="s">
        <v>45</v>
      </c>
      <c r="O658" s="212" t="s">
        <v>194</v>
      </c>
      <c r="P658" s="212" t="s">
        <v>674</v>
      </c>
      <c r="R658" s="212">
        <v>712</v>
      </c>
      <c r="S658" s="479">
        <v>44376</v>
      </c>
      <c r="T658" s="486" t="s">
        <v>4652</v>
      </c>
      <c r="U658" s="692">
        <v>650000000</v>
      </c>
      <c r="V658" s="539"/>
      <c r="W658" s="540"/>
      <c r="X658" s="211"/>
      <c r="Y658" s="211"/>
      <c r="Z658" s="211"/>
      <c r="AA658" s="211"/>
      <c r="AB658" s="212"/>
      <c r="AD658" s="212"/>
      <c r="AF658" s="475"/>
      <c r="AM658" s="212"/>
    </row>
    <row r="659" spans="1:39" x14ac:dyDescent="0.3">
      <c r="B659" s="543" t="s">
        <v>4390</v>
      </c>
      <c r="C659" s="212" t="s">
        <v>4653</v>
      </c>
      <c r="D659" s="212">
        <v>648</v>
      </c>
      <c r="E659" s="478">
        <v>20211300031573</v>
      </c>
      <c r="F659" s="479">
        <v>44375</v>
      </c>
      <c r="G659" s="478" t="s">
        <v>2647</v>
      </c>
      <c r="H659" s="212" t="s">
        <v>2648</v>
      </c>
      <c r="I659" s="212" t="s">
        <v>210</v>
      </c>
      <c r="J659" s="475">
        <v>10902312</v>
      </c>
      <c r="K659" s="212" t="s">
        <v>138</v>
      </c>
      <c r="L659" s="212" t="s">
        <v>139</v>
      </c>
      <c r="M659" s="212" t="s">
        <v>44</v>
      </c>
      <c r="N659" s="212" t="s">
        <v>45</v>
      </c>
      <c r="O659" s="212" t="s">
        <v>142</v>
      </c>
      <c r="P659" s="212" t="s">
        <v>43</v>
      </c>
      <c r="R659" s="212">
        <v>713</v>
      </c>
      <c r="S659" s="490">
        <v>44376</v>
      </c>
      <c r="T659" s="486" t="s">
        <v>4654</v>
      </c>
      <c r="U659" s="692">
        <v>10902312</v>
      </c>
      <c r="V659" s="539"/>
      <c r="W659" s="540"/>
      <c r="X659" s="211"/>
      <c r="Y659" s="211"/>
      <c r="Z659" s="211"/>
      <c r="AA659" s="211"/>
      <c r="AB659" s="212"/>
      <c r="AD659" s="212"/>
      <c r="AF659" s="475"/>
      <c r="AM659" s="212"/>
    </row>
    <row r="660" spans="1:39" x14ac:dyDescent="0.3">
      <c r="A660" s="476" t="s">
        <v>2588</v>
      </c>
      <c r="B660" s="477">
        <v>21804000</v>
      </c>
      <c r="C660" s="212" t="s">
        <v>2646</v>
      </c>
      <c r="D660" s="212">
        <v>649</v>
      </c>
      <c r="E660" s="478">
        <v>20214000031653</v>
      </c>
      <c r="F660" s="479">
        <v>44376</v>
      </c>
      <c r="G660" s="478" t="s">
        <v>2673</v>
      </c>
      <c r="H660" s="212" t="s">
        <v>2674</v>
      </c>
      <c r="I660" s="212" t="s">
        <v>117</v>
      </c>
      <c r="J660" s="475">
        <v>18170000</v>
      </c>
      <c r="K660" s="212" t="s">
        <v>112</v>
      </c>
      <c r="L660" s="212" t="s">
        <v>2675</v>
      </c>
      <c r="M660" s="212" t="s">
        <v>44</v>
      </c>
      <c r="N660" s="212" t="s">
        <v>45</v>
      </c>
      <c r="O660" s="212" t="s">
        <v>63</v>
      </c>
      <c r="P660" s="212" t="s">
        <v>43</v>
      </c>
      <c r="R660" s="212">
        <v>716</v>
      </c>
      <c r="S660" s="479">
        <v>44377</v>
      </c>
      <c r="T660" s="212" t="s">
        <v>4655</v>
      </c>
      <c r="U660" s="539">
        <v>18170000</v>
      </c>
      <c r="V660" s="539"/>
      <c r="W660" s="540"/>
      <c r="X660" s="211"/>
      <c r="Y660" s="211"/>
      <c r="Z660" s="211"/>
      <c r="AA660" s="211"/>
      <c r="AB660" s="212"/>
      <c r="AD660" s="212"/>
      <c r="AF660" s="475"/>
      <c r="AM660" s="212"/>
    </row>
    <row r="661" spans="1:39" s="312" customFormat="1" x14ac:dyDescent="0.3">
      <c r="A661" s="361" t="s">
        <v>4656</v>
      </c>
      <c r="B661" s="417">
        <v>80000000</v>
      </c>
      <c r="C661" s="312" t="s">
        <v>4657</v>
      </c>
      <c r="D661" s="312">
        <v>650</v>
      </c>
      <c r="E661" s="325">
        <v>20216000031753</v>
      </c>
      <c r="F661" s="315">
        <v>44376</v>
      </c>
      <c r="G661" s="325" t="s">
        <v>2640</v>
      </c>
      <c r="H661" s="312" t="s">
        <v>2641</v>
      </c>
      <c r="I661" s="312" t="s">
        <v>228</v>
      </c>
      <c r="J661" s="406">
        <v>40000000</v>
      </c>
      <c r="K661" s="312" t="s">
        <v>223</v>
      </c>
      <c r="L661" s="364" t="s">
        <v>224</v>
      </c>
      <c r="M661" s="312" t="s">
        <v>44</v>
      </c>
      <c r="N661" s="312" t="s">
        <v>2936</v>
      </c>
      <c r="O661" s="312" t="s">
        <v>132</v>
      </c>
      <c r="P661" s="312" t="s">
        <v>674</v>
      </c>
      <c r="Q661" s="312" t="s">
        <v>3300</v>
      </c>
      <c r="U661" s="447"/>
      <c r="V661" s="447"/>
      <c r="W661" s="388"/>
      <c r="X661" s="316"/>
      <c r="Y661" s="316"/>
      <c r="Z661" s="316"/>
      <c r="AA661" s="316"/>
      <c r="AC661" s="316"/>
      <c r="AF661" s="405"/>
      <c r="AH661" s="405"/>
      <c r="AI661" s="405"/>
      <c r="AJ661" s="405"/>
      <c r="AK661" s="405"/>
      <c r="AL661" s="405"/>
      <c r="AM661" s="212"/>
    </row>
    <row r="662" spans="1:39" s="312" customFormat="1" x14ac:dyDescent="0.3">
      <c r="A662" s="361"/>
      <c r="B662" s="701"/>
      <c r="D662" s="312">
        <v>650</v>
      </c>
      <c r="E662" s="325">
        <v>20216000031753</v>
      </c>
      <c r="F662" s="315">
        <v>44376</v>
      </c>
      <c r="G662" s="381" t="s">
        <v>2640</v>
      </c>
      <c r="H662" s="364" t="s">
        <v>2641</v>
      </c>
      <c r="I662" s="364" t="s">
        <v>432</v>
      </c>
      <c r="J662" s="406">
        <v>40000000</v>
      </c>
      <c r="K662" s="312" t="s">
        <v>342</v>
      </c>
      <c r="L662" s="364" t="s">
        <v>351</v>
      </c>
      <c r="M662" s="312" t="s">
        <v>44</v>
      </c>
      <c r="N662" s="364" t="s">
        <v>150</v>
      </c>
      <c r="O662" s="364" t="s">
        <v>4658</v>
      </c>
      <c r="P662" s="312" t="s">
        <v>674</v>
      </c>
      <c r="Q662" s="312" t="s">
        <v>3300</v>
      </c>
      <c r="U662" s="447"/>
      <c r="V662" s="447"/>
      <c r="W662" s="388"/>
      <c r="X662" s="316"/>
      <c r="Y662" s="316"/>
      <c r="Z662" s="316"/>
      <c r="AA662" s="316"/>
      <c r="AC662" s="316"/>
      <c r="AF662" s="405"/>
      <c r="AH662" s="405"/>
      <c r="AI662" s="405"/>
      <c r="AJ662" s="405"/>
      <c r="AK662" s="405"/>
      <c r="AL662" s="405"/>
      <c r="AM662" s="212"/>
    </row>
    <row r="663" spans="1:39" x14ac:dyDescent="0.3">
      <c r="A663" s="476" t="s">
        <v>2489</v>
      </c>
      <c r="B663" s="477">
        <v>21725000</v>
      </c>
      <c r="C663" s="212" t="s">
        <v>2646</v>
      </c>
      <c r="D663" s="212">
        <v>651</v>
      </c>
      <c r="E663" s="478">
        <v>20212000031763</v>
      </c>
      <c r="F663" s="479">
        <v>44376</v>
      </c>
      <c r="G663" s="469" t="s">
        <v>2640</v>
      </c>
      <c r="H663" s="468" t="s">
        <v>2641</v>
      </c>
      <c r="I663" s="468" t="s">
        <v>391</v>
      </c>
      <c r="J663" s="471">
        <v>21725000</v>
      </c>
      <c r="K663" s="377" t="s">
        <v>2711</v>
      </c>
      <c r="L663" s="468" t="s">
        <v>2712</v>
      </c>
      <c r="M663" s="377" t="s">
        <v>44</v>
      </c>
      <c r="N663" s="377" t="s">
        <v>45</v>
      </c>
      <c r="O663" s="468" t="s">
        <v>63</v>
      </c>
      <c r="P663" s="212" t="s">
        <v>674</v>
      </c>
      <c r="Q663" s="468"/>
      <c r="R663" s="212">
        <v>717</v>
      </c>
      <c r="S663" s="479">
        <v>44377</v>
      </c>
      <c r="T663" s="212" t="s">
        <v>4659</v>
      </c>
      <c r="U663" s="539">
        <v>21725000</v>
      </c>
      <c r="V663" s="539"/>
      <c r="W663" s="540"/>
      <c r="X663" s="211"/>
      <c r="Y663" s="211"/>
      <c r="Z663" s="211"/>
      <c r="AA663" s="211"/>
      <c r="AB663" s="212"/>
      <c r="AD663" s="212"/>
      <c r="AF663" s="475"/>
      <c r="AM663" s="212"/>
    </row>
    <row r="664" spans="1:39" x14ac:dyDescent="0.3">
      <c r="A664" s="476" t="s">
        <v>2496</v>
      </c>
      <c r="B664" s="477">
        <v>24600000</v>
      </c>
      <c r="C664" s="212" t="s">
        <v>2646</v>
      </c>
      <c r="D664" s="212">
        <v>652</v>
      </c>
      <c r="E664" s="478">
        <v>20212000031773</v>
      </c>
      <c r="F664" s="479">
        <v>44376</v>
      </c>
      <c r="G664" s="469" t="s">
        <v>2640</v>
      </c>
      <c r="H664" s="468" t="s">
        <v>2641</v>
      </c>
      <c r="I664" s="468" t="s">
        <v>391</v>
      </c>
      <c r="J664" s="471">
        <v>24600000</v>
      </c>
      <c r="K664" s="377" t="s">
        <v>2711</v>
      </c>
      <c r="L664" s="468" t="s">
        <v>2712</v>
      </c>
      <c r="M664" s="377" t="s">
        <v>44</v>
      </c>
      <c r="N664" s="377" t="s">
        <v>45</v>
      </c>
      <c r="O664" s="468" t="s">
        <v>63</v>
      </c>
      <c r="P664" s="212" t="s">
        <v>674</v>
      </c>
      <c r="R664" s="212">
        <v>718</v>
      </c>
      <c r="S664" s="479">
        <v>44377</v>
      </c>
      <c r="T664" s="212" t="s">
        <v>4660</v>
      </c>
      <c r="U664" s="539">
        <v>24600000</v>
      </c>
      <c r="V664" s="539"/>
      <c r="W664" s="540"/>
      <c r="X664" s="211"/>
      <c r="Y664" s="211"/>
      <c r="Z664" s="211"/>
      <c r="AA664" s="211"/>
      <c r="AB664" s="212"/>
      <c r="AD664" s="212"/>
      <c r="AF664" s="475"/>
      <c r="AM664" s="212"/>
    </row>
    <row r="665" spans="1:39" x14ac:dyDescent="0.3">
      <c r="A665" s="476" t="s">
        <v>2357</v>
      </c>
      <c r="B665" s="477">
        <v>45100000</v>
      </c>
      <c r="C665" s="212" t="s">
        <v>2646</v>
      </c>
      <c r="D665" s="212">
        <v>653</v>
      </c>
      <c r="E665" s="478">
        <v>20212000031783</v>
      </c>
      <c r="F665" s="479">
        <v>44376</v>
      </c>
      <c r="G665" s="469" t="s">
        <v>2640</v>
      </c>
      <c r="H665" s="468" t="s">
        <v>2641</v>
      </c>
      <c r="I665" s="468" t="s">
        <v>391</v>
      </c>
      <c r="J665" s="471">
        <v>45100000</v>
      </c>
      <c r="K665" s="377" t="s">
        <v>2711</v>
      </c>
      <c r="L665" s="468" t="s">
        <v>2712</v>
      </c>
      <c r="M665" s="377" t="s">
        <v>44</v>
      </c>
      <c r="N665" s="377" t="s">
        <v>45</v>
      </c>
      <c r="O665" s="468" t="s">
        <v>63</v>
      </c>
      <c r="P665" s="212" t="s">
        <v>674</v>
      </c>
      <c r="R665" s="212">
        <v>719</v>
      </c>
      <c r="S665" s="479">
        <v>44377</v>
      </c>
      <c r="T665" s="212" t="s">
        <v>4661</v>
      </c>
      <c r="U665" s="539">
        <v>45100000</v>
      </c>
      <c r="V665" s="539"/>
      <c r="W665" s="540"/>
      <c r="X665" s="211"/>
      <c r="Y665" s="211"/>
      <c r="Z665" s="211"/>
      <c r="AA665" s="211"/>
      <c r="AB665" s="212"/>
      <c r="AD665" s="212"/>
      <c r="AF665" s="475"/>
      <c r="AM665" s="212"/>
    </row>
    <row r="666" spans="1:39" x14ac:dyDescent="0.3">
      <c r="A666" s="476" t="s">
        <v>2358</v>
      </c>
      <c r="B666" s="477">
        <v>27500000</v>
      </c>
      <c r="C666" s="212" t="s">
        <v>2646</v>
      </c>
      <c r="D666" s="212">
        <v>654</v>
      </c>
      <c r="E666" s="478">
        <v>20212000031793</v>
      </c>
      <c r="F666" s="479">
        <v>44376</v>
      </c>
      <c r="G666" s="469" t="s">
        <v>2640</v>
      </c>
      <c r="H666" s="468" t="s">
        <v>2641</v>
      </c>
      <c r="I666" s="468" t="s">
        <v>391</v>
      </c>
      <c r="J666" s="471">
        <v>27500000</v>
      </c>
      <c r="K666" s="377" t="s">
        <v>2711</v>
      </c>
      <c r="L666" s="468" t="s">
        <v>2712</v>
      </c>
      <c r="M666" s="377" t="s">
        <v>44</v>
      </c>
      <c r="N666" s="377" t="s">
        <v>45</v>
      </c>
      <c r="O666" s="468" t="s">
        <v>63</v>
      </c>
      <c r="P666" s="212" t="s">
        <v>674</v>
      </c>
      <c r="R666" s="212">
        <v>720</v>
      </c>
      <c r="S666" s="479">
        <v>44377</v>
      </c>
      <c r="T666" s="212" t="s">
        <v>4662</v>
      </c>
      <c r="U666" s="539">
        <v>27500000</v>
      </c>
      <c r="V666" s="539"/>
      <c r="W666" s="540"/>
      <c r="X666" s="211"/>
      <c r="Y666" s="211"/>
      <c r="Z666" s="211"/>
      <c r="AA666" s="211"/>
      <c r="AB666" s="212"/>
      <c r="AD666" s="212"/>
      <c r="AF666" s="475"/>
      <c r="AM666" s="212"/>
    </row>
    <row r="667" spans="1:39" x14ac:dyDescent="0.3">
      <c r="A667" s="476" t="s">
        <v>4663</v>
      </c>
      <c r="B667" s="477">
        <v>80782875</v>
      </c>
      <c r="C667" s="212" t="s">
        <v>4664</v>
      </c>
      <c r="D667" s="212">
        <v>655</v>
      </c>
      <c r="E667" s="478">
        <v>20215000032073</v>
      </c>
      <c r="F667" s="479">
        <v>44377</v>
      </c>
      <c r="G667" s="478" t="s">
        <v>2640</v>
      </c>
      <c r="H667" s="212" t="s">
        <v>2641</v>
      </c>
      <c r="I667" s="212" t="s">
        <v>228</v>
      </c>
      <c r="J667" s="480">
        <v>80782875</v>
      </c>
      <c r="K667" s="212" t="s">
        <v>223</v>
      </c>
      <c r="L667" s="212" t="s">
        <v>257</v>
      </c>
      <c r="M667" s="212" t="s">
        <v>44</v>
      </c>
      <c r="N667" s="212" t="s">
        <v>45</v>
      </c>
      <c r="O667" s="212" t="s">
        <v>310</v>
      </c>
      <c r="P667" s="212" t="s">
        <v>770</v>
      </c>
      <c r="S667" s="212"/>
      <c r="U667" s="539"/>
      <c r="V667" s="539"/>
      <c r="W667" s="540"/>
      <c r="X667" s="211"/>
      <c r="Y667" s="211"/>
      <c r="Z667" s="211"/>
      <c r="AA667" s="211"/>
      <c r="AB667" s="212"/>
      <c r="AD667" s="212"/>
      <c r="AF667" s="475"/>
      <c r="AM667" s="212"/>
    </row>
    <row r="668" spans="1:39" x14ac:dyDescent="0.3">
      <c r="B668" s="477" t="s">
        <v>3103</v>
      </c>
      <c r="C668" s="212" t="s">
        <v>4665</v>
      </c>
      <c r="D668" s="212">
        <v>656</v>
      </c>
      <c r="E668" s="478">
        <v>20215000032083</v>
      </c>
      <c r="F668" s="479">
        <v>44377</v>
      </c>
      <c r="G668" s="478" t="s">
        <v>2640</v>
      </c>
      <c r="H668" s="212" t="s">
        <v>2641</v>
      </c>
      <c r="I668" s="212" t="s">
        <v>228</v>
      </c>
      <c r="J668" s="480">
        <v>273019170</v>
      </c>
      <c r="K668" s="212" t="s">
        <v>223</v>
      </c>
      <c r="L668" s="468" t="s">
        <v>224</v>
      </c>
      <c r="M668" s="212" t="s">
        <v>44</v>
      </c>
      <c r="N668" s="212" t="s">
        <v>2936</v>
      </c>
      <c r="O668" s="212" t="s">
        <v>132</v>
      </c>
      <c r="P668" s="212" t="s">
        <v>4626</v>
      </c>
      <c r="S668" s="212"/>
      <c r="U668" s="539"/>
      <c r="V668" s="539"/>
      <c r="W668" s="540"/>
      <c r="X668" s="211"/>
      <c r="Y668" s="211"/>
      <c r="Z668" s="211"/>
      <c r="AA668" s="211"/>
      <c r="AB668" s="212"/>
      <c r="AD668" s="212"/>
      <c r="AF668" s="475"/>
      <c r="AM668" s="212"/>
    </row>
    <row r="669" spans="1:39" x14ac:dyDescent="0.3">
      <c r="B669" s="477" t="s">
        <v>3103</v>
      </c>
      <c r="C669" s="212" t="s">
        <v>4666</v>
      </c>
      <c r="D669" s="212">
        <v>657</v>
      </c>
      <c r="E669" s="478">
        <v>20215000032093</v>
      </c>
      <c r="F669" s="479">
        <v>44377</v>
      </c>
      <c r="G669" s="478" t="s">
        <v>2640</v>
      </c>
      <c r="H669" s="212" t="s">
        <v>2641</v>
      </c>
      <c r="I669" s="212" t="s">
        <v>228</v>
      </c>
      <c r="J669" s="480">
        <v>19874784</v>
      </c>
      <c r="K669" s="212" t="s">
        <v>223</v>
      </c>
      <c r="L669" s="468" t="s">
        <v>224</v>
      </c>
      <c r="M669" s="212" t="s">
        <v>44</v>
      </c>
      <c r="N669" s="212" t="s">
        <v>2936</v>
      </c>
      <c r="O669" s="212" t="s">
        <v>132</v>
      </c>
      <c r="P669" s="212" t="s">
        <v>4626</v>
      </c>
      <c r="S669" s="212"/>
      <c r="U669" s="539"/>
      <c r="V669" s="539"/>
      <c r="W669" s="540"/>
      <c r="X669" s="211"/>
      <c r="Y669" s="211"/>
      <c r="Z669" s="211"/>
      <c r="AA669" s="211"/>
      <c r="AB669" s="212"/>
      <c r="AD669" s="212"/>
      <c r="AF669" s="475"/>
      <c r="AM669" s="212"/>
    </row>
    <row r="670" spans="1:39" x14ac:dyDescent="0.3">
      <c r="A670" s="212"/>
      <c r="B670" s="539"/>
      <c r="D670" s="212"/>
      <c r="F670" s="212"/>
      <c r="G670" s="212"/>
      <c r="J670" s="539"/>
      <c r="S670" s="212"/>
      <c r="U670" s="539"/>
      <c r="V670" s="539"/>
      <c r="W670" s="540"/>
      <c r="X670" s="211"/>
      <c r="Y670" s="211"/>
      <c r="Z670" s="211"/>
      <c r="AA670" s="211"/>
      <c r="AB670" s="212"/>
      <c r="AD670" s="212"/>
      <c r="AF670" s="475"/>
      <c r="AM670" s="212"/>
    </row>
    <row r="671" spans="1:39" x14ac:dyDescent="0.3">
      <c r="A671" s="212"/>
      <c r="B671" s="539"/>
      <c r="D671" s="212"/>
      <c r="F671" s="212"/>
      <c r="G671" s="212"/>
      <c r="J671" s="539"/>
      <c r="S671" s="212"/>
      <c r="U671" s="539"/>
      <c r="V671" s="539"/>
      <c r="W671" s="540"/>
      <c r="X671" s="211"/>
      <c r="Y671" s="211"/>
      <c r="Z671" s="211"/>
      <c r="AA671" s="211"/>
      <c r="AB671" s="212"/>
      <c r="AD671" s="212"/>
      <c r="AF671" s="475"/>
      <c r="AM671" s="212"/>
    </row>
    <row r="672" spans="1:39" x14ac:dyDescent="0.3">
      <c r="A672" s="212"/>
      <c r="B672" s="539"/>
      <c r="D672" s="212"/>
      <c r="F672" s="212"/>
      <c r="G672" s="212"/>
      <c r="J672" s="539"/>
      <c r="S672" s="212"/>
      <c r="U672" s="539"/>
      <c r="V672" s="539"/>
      <c r="W672" s="540"/>
      <c r="X672" s="211"/>
      <c r="Y672" s="211"/>
      <c r="Z672" s="211"/>
      <c r="AA672" s="211"/>
      <c r="AB672" s="212"/>
      <c r="AD672" s="212"/>
      <c r="AF672" s="475"/>
      <c r="AM672" s="212"/>
    </row>
    <row r="673" spans="1:39" x14ac:dyDescent="0.3">
      <c r="A673" s="212"/>
      <c r="B673" s="539"/>
      <c r="D673" s="212"/>
      <c r="F673" s="212"/>
      <c r="G673" s="212"/>
      <c r="J673" s="539"/>
      <c r="S673" s="212"/>
      <c r="U673" s="539"/>
      <c r="V673" s="539"/>
      <c r="W673" s="540"/>
      <c r="X673" s="211"/>
      <c r="Y673" s="211"/>
      <c r="Z673" s="211"/>
      <c r="AA673" s="211"/>
      <c r="AB673" s="212"/>
      <c r="AD673" s="212"/>
      <c r="AF673" s="539"/>
      <c r="AM673" s="212"/>
    </row>
    <row r="674" spans="1:39" x14ac:dyDescent="0.3">
      <c r="A674" s="212"/>
      <c r="B674" s="539"/>
      <c r="D674" s="212"/>
      <c r="F674" s="212"/>
      <c r="G674" s="212"/>
      <c r="J674" s="539"/>
      <c r="S674" s="212"/>
      <c r="U674" s="539"/>
      <c r="V674" s="539"/>
      <c r="W674" s="540"/>
      <c r="X674" s="211"/>
      <c r="Y674" s="211"/>
      <c r="Z674" s="211"/>
      <c r="AA674" s="211"/>
      <c r="AB674" s="212"/>
      <c r="AD674" s="212"/>
      <c r="AF674" s="475"/>
      <c r="AM674" s="212"/>
    </row>
    <row r="675" spans="1:39" x14ac:dyDescent="0.3">
      <c r="A675" s="212"/>
      <c r="B675" s="539"/>
      <c r="D675" s="212"/>
      <c r="F675" s="212"/>
      <c r="G675" s="212"/>
      <c r="J675" s="539"/>
      <c r="S675" s="212"/>
      <c r="U675" s="539"/>
      <c r="V675" s="539"/>
      <c r="W675" s="540"/>
      <c r="X675" s="211"/>
      <c r="Y675" s="211"/>
      <c r="Z675" s="211"/>
      <c r="AA675" s="211"/>
      <c r="AB675" s="212"/>
      <c r="AD675" s="212"/>
      <c r="AF675" s="475"/>
      <c r="AM675" s="212"/>
    </row>
    <row r="676" spans="1:39" x14ac:dyDescent="0.3">
      <c r="A676" s="212"/>
      <c r="B676" s="539"/>
      <c r="D676" s="212"/>
      <c r="F676" s="212"/>
      <c r="G676" s="212"/>
      <c r="J676" s="539"/>
      <c r="S676" s="212"/>
      <c r="U676" s="539"/>
      <c r="V676" s="539"/>
      <c r="W676" s="540"/>
      <c r="X676" s="211"/>
      <c r="Y676" s="211"/>
      <c r="Z676" s="211"/>
      <c r="AA676" s="211"/>
      <c r="AB676" s="212"/>
      <c r="AD676" s="212"/>
      <c r="AF676" s="475"/>
      <c r="AM676" s="212"/>
    </row>
    <row r="677" spans="1:39" x14ac:dyDescent="0.3">
      <c r="A677" s="212"/>
      <c r="B677" s="539"/>
      <c r="D677" s="212"/>
      <c r="F677" s="212"/>
      <c r="G677" s="212"/>
      <c r="J677" s="539"/>
      <c r="S677" s="212"/>
      <c r="U677" s="539"/>
      <c r="V677" s="539"/>
      <c r="W677" s="540"/>
      <c r="X677" s="211"/>
      <c r="Y677" s="211"/>
      <c r="Z677" s="211"/>
      <c r="AA677" s="211"/>
      <c r="AB677" s="212"/>
      <c r="AD677" s="212"/>
      <c r="AF677" s="475"/>
      <c r="AM677" s="212"/>
    </row>
    <row r="678" spans="1:39" x14ac:dyDescent="0.3">
      <c r="A678" s="212"/>
      <c r="B678" s="539"/>
      <c r="D678" s="212"/>
      <c r="F678" s="212"/>
      <c r="G678" s="212"/>
      <c r="J678" s="539"/>
      <c r="S678" s="212"/>
      <c r="U678" s="539"/>
      <c r="V678" s="539"/>
      <c r="W678" s="540"/>
      <c r="X678" s="211"/>
      <c r="Y678" s="211"/>
      <c r="Z678" s="211"/>
      <c r="AA678" s="211"/>
      <c r="AB678" s="212"/>
      <c r="AD678" s="212"/>
      <c r="AF678" s="480"/>
      <c r="AM678" s="212"/>
    </row>
    <row r="679" spans="1:39" x14ac:dyDescent="0.3">
      <c r="A679" s="212"/>
      <c r="B679" s="539"/>
      <c r="D679" s="212"/>
      <c r="F679" s="212"/>
      <c r="G679" s="212"/>
      <c r="J679" s="539"/>
      <c r="S679" s="212"/>
      <c r="U679" s="539"/>
      <c r="V679" s="539"/>
      <c r="W679" s="540"/>
      <c r="X679" s="211"/>
      <c r="Y679" s="211"/>
      <c r="Z679" s="211"/>
      <c r="AA679" s="211"/>
      <c r="AB679" s="212"/>
      <c r="AD679" s="212"/>
      <c r="AF679" s="475"/>
      <c r="AM679" s="212"/>
    </row>
    <row r="680" spans="1:39" x14ac:dyDescent="0.3">
      <c r="A680" s="212"/>
      <c r="B680" s="539"/>
      <c r="D680" s="212"/>
      <c r="F680" s="212"/>
      <c r="G680" s="212"/>
      <c r="J680" s="539"/>
      <c r="S680" s="212"/>
      <c r="U680" s="539"/>
      <c r="V680" s="539"/>
      <c r="W680" s="540"/>
      <c r="X680" s="211"/>
      <c r="Y680" s="211"/>
      <c r="Z680" s="211"/>
      <c r="AA680" s="211"/>
      <c r="AB680" s="212"/>
      <c r="AD680" s="212"/>
      <c r="AF680" s="475"/>
      <c r="AM680" s="212"/>
    </row>
    <row r="681" spans="1:39" x14ac:dyDescent="0.3">
      <c r="A681" s="212"/>
      <c r="B681" s="539"/>
      <c r="D681" s="212"/>
      <c r="F681" s="212"/>
      <c r="G681" s="212"/>
      <c r="J681" s="539"/>
      <c r="S681" s="212"/>
      <c r="U681" s="539"/>
      <c r="V681" s="539"/>
      <c r="W681" s="540"/>
      <c r="X681" s="211"/>
      <c r="Y681" s="211"/>
      <c r="Z681" s="211"/>
      <c r="AA681" s="211"/>
      <c r="AB681" s="212"/>
      <c r="AD681" s="212"/>
      <c r="AF681" s="475"/>
      <c r="AM681" s="212"/>
    </row>
    <row r="682" spans="1:39" x14ac:dyDescent="0.3">
      <c r="A682" s="212"/>
      <c r="B682" s="539"/>
      <c r="D682" s="212"/>
      <c r="F682" s="212"/>
      <c r="G682" s="212"/>
      <c r="J682" s="539"/>
      <c r="S682" s="212"/>
      <c r="U682" s="539"/>
      <c r="V682" s="539"/>
      <c r="W682" s="540"/>
      <c r="X682" s="211"/>
      <c r="Y682" s="211"/>
      <c r="Z682" s="211"/>
      <c r="AA682" s="211"/>
      <c r="AB682" s="212"/>
      <c r="AD682" s="212"/>
      <c r="AF682" s="475"/>
      <c r="AM682" s="212"/>
    </row>
    <row r="683" spans="1:39" x14ac:dyDescent="0.3">
      <c r="A683" s="212"/>
      <c r="B683" s="539"/>
      <c r="D683" s="212"/>
      <c r="F683" s="212"/>
      <c r="G683" s="212"/>
      <c r="J683" s="539"/>
      <c r="S683" s="212"/>
      <c r="U683" s="539"/>
      <c r="V683" s="539"/>
      <c r="W683" s="540"/>
      <c r="X683" s="211"/>
      <c r="Y683" s="211"/>
      <c r="Z683" s="211"/>
      <c r="AA683" s="211"/>
      <c r="AB683" s="212"/>
      <c r="AD683" s="212"/>
      <c r="AF683" s="475"/>
      <c r="AM683" s="212"/>
    </row>
    <row r="684" spans="1:39" x14ac:dyDescent="0.3">
      <c r="A684" s="212"/>
      <c r="B684" s="539"/>
      <c r="D684" s="212"/>
      <c r="F684" s="212"/>
      <c r="G684" s="212"/>
      <c r="J684" s="539"/>
      <c r="S684" s="212"/>
      <c r="U684" s="539"/>
      <c r="V684" s="539"/>
      <c r="W684" s="540"/>
      <c r="X684" s="211"/>
      <c r="Y684" s="211"/>
      <c r="Z684" s="211"/>
      <c r="AA684" s="211"/>
      <c r="AB684" s="212"/>
      <c r="AD684" s="212"/>
      <c r="AF684" s="475"/>
      <c r="AM684" s="212"/>
    </row>
    <row r="685" spans="1:39" x14ac:dyDescent="0.3">
      <c r="A685" s="212"/>
      <c r="B685" s="539"/>
      <c r="D685" s="212"/>
      <c r="F685" s="212"/>
      <c r="G685" s="212"/>
      <c r="J685" s="539"/>
      <c r="S685" s="212"/>
      <c r="U685" s="539"/>
      <c r="V685" s="539"/>
      <c r="W685" s="540"/>
      <c r="X685" s="211"/>
      <c r="Y685" s="211"/>
      <c r="Z685" s="211"/>
      <c r="AA685" s="211"/>
      <c r="AB685" s="212"/>
      <c r="AD685" s="212"/>
      <c r="AF685" s="475"/>
      <c r="AM685" s="212"/>
    </row>
    <row r="686" spans="1:39" x14ac:dyDescent="0.3">
      <c r="A686" s="212"/>
      <c r="B686" s="539"/>
      <c r="D686" s="212"/>
      <c r="F686" s="212"/>
      <c r="G686" s="212"/>
      <c r="J686" s="539"/>
      <c r="S686" s="212"/>
      <c r="U686" s="539"/>
      <c r="V686" s="539"/>
      <c r="W686" s="540"/>
      <c r="X686" s="211"/>
      <c r="Y686" s="211"/>
      <c r="Z686" s="211"/>
      <c r="AA686" s="211"/>
      <c r="AB686" s="212"/>
      <c r="AD686" s="212"/>
      <c r="AF686" s="475"/>
      <c r="AM686" s="212"/>
    </row>
    <row r="687" spans="1:39" x14ac:dyDescent="0.3">
      <c r="A687" s="212"/>
      <c r="B687" s="539"/>
      <c r="D687" s="212"/>
      <c r="F687" s="212"/>
      <c r="G687" s="212"/>
      <c r="J687" s="539"/>
      <c r="S687" s="212"/>
      <c r="U687" s="539"/>
      <c r="V687" s="539"/>
      <c r="W687" s="540"/>
      <c r="X687" s="211"/>
      <c r="Y687" s="211"/>
      <c r="Z687" s="211"/>
      <c r="AA687" s="211"/>
      <c r="AB687" s="212"/>
      <c r="AD687" s="212"/>
      <c r="AF687" s="475"/>
      <c r="AM687" s="212"/>
    </row>
    <row r="688" spans="1:39" x14ac:dyDescent="0.3">
      <c r="A688" s="212"/>
      <c r="B688" s="539"/>
      <c r="D688" s="212"/>
      <c r="F688" s="212"/>
      <c r="G688" s="212"/>
      <c r="J688" s="539"/>
      <c r="S688" s="212"/>
      <c r="U688" s="539"/>
      <c r="V688" s="539"/>
      <c r="W688" s="540"/>
      <c r="X688" s="211"/>
      <c r="Y688" s="211"/>
      <c r="Z688" s="211"/>
      <c r="AA688" s="211"/>
      <c r="AB688" s="212"/>
      <c r="AD688" s="212"/>
      <c r="AF688" s="475"/>
      <c r="AM688" s="212"/>
    </row>
    <row r="689" spans="1:39" x14ac:dyDescent="0.3">
      <c r="A689" s="212"/>
      <c r="B689" s="539"/>
      <c r="D689" s="212"/>
      <c r="F689" s="212"/>
      <c r="G689" s="212"/>
      <c r="J689" s="539"/>
      <c r="S689" s="212"/>
      <c r="U689" s="539"/>
      <c r="V689" s="539"/>
      <c r="W689" s="540"/>
      <c r="X689" s="211"/>
      <c r="Y689" s="211"/>
      <c r="Z689" s="211"/>
      <c r="AA689" s="211"/>
      <c r="AB689" s="212"/>
      <c r="AD689" s="212"/>
      <c r="AF689" s="475"/>
      <c r="AM689" s="212"/>
    </row>
    <row r="690" spans="1:39" x14ac:dyDescent="0.3">
      <c r="A690" s="212"/>
      <c r="B690" s="539"/>
      <c r="D690" s="212"/>
      <c r="F690" s="212"/>
      <c r="G690" s="212"/>
      <c r="J690" s="539"/>
      <c r="S690" s="212"/>
      <c r="U690" s="539"/>
      <c r="V690" s="539"/>
      <c r="W690" s="540"/>
      <c r="X690" s="211"/>
      <c r="Y690" s="211"/>
      <c r="Z690" s="211"/>
      <c r="AA690" s="211"/>
      <c r="AB690" s="212"/>
      <c r="AD690" s="212"/>
      <c r="AF690" s="475"/>
      <c r="AM690" s="212"/>
    </row>
    <row r="691" spans="1:39" x14ac:dyDescent="0.3">
      <c r="A691" s="212"/>
      <c r="B691" s="539"/>
      <c r="D691" s="212"/>
      <c r="F691" s="212"/>
      <c r="G691" s="212"/>
      <c r="J691" s="539"/>
      <c r="S691" s="212"/>
      <c r="U691" s="539"/>
      <c r="V691" s="539"/>
      <c r="W691" s="540"/>
      <c r="X691" s="211"/>
      <c r="Y691" s="211"/>
      <c r="Z691" s="211"/>
      <c r="AA691" s="211"/>
      <c r="AB691" s="212"/>
      <c r="AD691" s="212"/>
      <c r="AF691" s="475"/>
      <c r="AM691" s="212"/>
    </row>
    <row r="692" spans="1:39" x14ac:dyDescent="0.3">
      <c r="A692" s="212"/>
      <c r="B692" s="539"/>
      <c r="D692" s="212"/>
      <c r="F692" s="212"/>
      <c r="G692" s="212"/>
      <c r="J692" s="539"/>
      <c r="S692" s="212"/>
      <c r="U692" s="539"/>
      <c r="V692" s="539"/>
      <c r="W692" s="540"/>
      <c r="X692" s="211"/>
      <c r="Y692" s="211"/>
      <c r="Z692" s="211"/>
      <c r="AA692" s="211"/>
      <c r="AB692" s="212"/>
      <c r="AD692" s="212"/>
      <c r="AF692" s="475"/>
      <c r="AM692" s="212"/>
    </row>
    <row r="693" spans="1:39" x14ac:dyDescent="0.3">
      <c r="A693" s="212"/>
      <c r="B693" s="539"/>
      <c r="D693" s="212"/>
      <c r="F693" s="212"/>
      <c r="G693" s="212"/>
      <c r="J693" s="539"/>
      <c r="S693" s="212"/>
      <c r="U693" s="539"/>
      <c r="V693" s="539"/>
      <c r="W693" s="540"/>
      <c r="X693" s="211"/>
      <c r="Y693" s="211"/>
      <c r="Z693" s="211"/>
      <c r="AA693" s="211"/>
      <c r="AB693" s="212"/>
      <c r="AD693" s="212"/>
      <c r="AF693" s="475"/>
      <c r="AM693" s="212"/>
    </row>
    <row r="694" spans="1:39" x14ac:dyDescent="0.3">
      <c r="A694" s="212"/>
      <c r="B694" s="539"/>
      <c r="D694" s="212"/>
      <c r="F694" s="212"/>
      <c r="G694" s="212"/>
      <c r="J694" s="539"/>
      <c r="S694" s="212"/>
      <c r="U694" s="539"/>
      <c r="V694" s="539"/>
      <c r="W694" s="540"/>
      <c r="X694" s="211"/>
      <c r="Y694" s="211"/>
      <c r="Z694" s="211"/>
      <c r="AA694" s="211"/>
      <c r="AB694" s="212"/>
      <c r="AD694" s="212"/>
      <c r="AF694" s="475"/>
      <c r="AM694" s="212"/>
    </row>
    <row r="695" spans="1:39" x14ac:dyDescent="0.3">
      <c r="A695" s="212"/>
      <c r="B695" s="539"/>
      <c r="D695" s="212"/>
      <c r="F695" s="212"/>
      <c r="G695" s="212"/>
      <c r="J695" s="539"/>
      <c r="S695" s="212"/>
      <c r="U695" s="539"/>
      <c r="V695" s="539"/>
      <c r="W695" s="540"/>
      <c r="X695" s="211"/>
      <c r="Y695" s="211"/>
      <c r="Z695" s="211"/>
      <c r="AA695" s="211"/>
      <c r="AB695" s="212"/>
      <c r="AD695" s="212"/>
      <c r="AF695" s="475"/>
      <c r="AM695" s="212"/>
    </row>
    <row r="696" spans="1:39" x14ac:dyDescent="0.3">
      <c r="A696" s="212"/>
      <c r="B696" s="539"/>
      <c r="D696" s="212"/>
      <c r="F696" s="212"/>
      <c r="G696" s="212"/>
      <c r="J696" s="539"/>
      <c r="S696" s="212"/>
      <c r="U696" s="539"/>
      <c r="V696" s="539"/>
      <c r="W696" s="540"/>
      <c r="X696" s="211"/>
      <c r="Y696" s="211"/>
      <c r="Z696" s="211"/>
      <c r="AA696" s="211"/>
      <c r="AB696" s="212"/>
      <c r="AD696" s="212"/>
      <c r="AF696" s="475"/>
      <c r="AM696" s="212"/>
    </row>
    <row r="697" spans="1:39" x14ac:dyDescent="0.3">
      <c r="A697" s="212"/>
      <c r="B697" s="539"/>
      <c r="D697" s="212"/>
      <c r="F697" s="212"/>
      <c r="G697" s="212"/>
      <c r="J697" s="539"/>
      <c r="S697" s="212"/>
      <c r="U697" s="539"/>
      <c r="V697" s="539"/>
      <c r="W697" s="540"/>
      <c r="X697" s="211"/>
      <c r="Y697" s="211"/>
      <c r="Z697" s="211"/>
      <c r="AA697" s="211"/>
      <c r="AB697" s="212"/>
      <c r="AD697" s="212"/>
      <c r="AF697" s="475"/>
      <c r="AM697" s="212"/>
    </row>
    <row r="698" spans="1:39" x14ac:dyDescent="0.3">
      <c r="A698" s="212"/>
      <c r="B698" s="539"/>
      <c r="D698" s="212"/>
      <c r="F698" s="212"/>
      <c r="G698" s="212"/>
      <c r="J698" s="539"/>
      <c r="S698" s="212"/>
      <c r="U698" s="539"/>
      <c r="V698" s="539"/>
      <c r="W698" s="540"/>
      <c r="X698" s="211"/>
      <c r="Y698" s="211"/>
      <c r="Z698" s="211"/>
      <c r="AA698" s="211"/>
      <c r="AB698" s="212"/>
      <c r="AD698" s="212"/>
      <c r="AF698" s="475"/>
      <c r="AM698" s="212"/>
    </row>
    <row r="699" spans="1:39" x14ac:dyDescent="0.3">
      <c r="A699" s="212"/>
      <c r="B699" s="539"/>
      <c r="D699" s="212"/>
      <c r="F699" s="212"/>
      <c r="G699" s="212"/>
      <c r="J699" s="539"/>
      <c r="S699" s="212"/>
      <c r="U699" s="539"/>
      <c r="V699" s="539"/>
      <c r="W699" s="540"/>
      <c r="X699" s="211"/>
      <c r="Y699" s="211"/>
      <c r="Z699" s="211"/>
      <c r="AA699" s="211"/>
      <c r="AB699" s="212"/>
      <c r="AD699" s="212"/>
      <c r="AF699" s="475"/>
      <c r="AM699" s="212"/>
    </row>
    <row r="700" spans="1:39" x14ac:dyDescent="0.3">
      <c r="A700" s="212"/>
      <c r="B700" s="539"/>
      <c r="D700" s="212"/>
      <c r="F700" s="212"/>
      <c r="G700" s="212"/>
      <c r="J700" s="539"/>
      <c r="S700" s="212"/>
      <c r="U700" s="539"/>
      <c r="V700" s="539"/>
      <c r="W700" s="540"/>
      <c r="X700" s="211"/>
      <c r="Y700" s="211"/>
      <c r="Z700" s="211"/>
      <c r="AA700" s="211"/>
      <c r="AB700" s="212"/>
      <c r="AD700" s="212"/>
      <c r="AF700" s="475"/>
      <c r="AM700" s="212"/>
    </row>
    <row r="701" spans="1:39" x14ac:dyDescent="0.3">
      <c r="A701" s="212"/>
      <c r="B701" s="539"/>
      <c r="D701" s="212"/>
      <c r="F701" s="212"/>
      <c r="G701" s="212"/>
      <c r="J701" s="539"/>
      <c r="S701" s="212"/>
      <c r="U701" s="539"/>
      <c r="V701" s="539"/>
      <c r="W701" s="540"/>
      <c r="X701" s="211"/>
      <c r="Y701" s="211"/>
      <c r="Z701" s="211"/>
      <c r="AA701" s="211"/>
      <c r="AB701" s="212"/>
      <c r="AD701" s="212"/>
      <c r="AF701" s="475"/>
      <c r="AM701" s="212"/>
    </row>
    <row r="702" spans="1:39" x14ac:dyDescent="0.3">
      <c r="A702" s="212"/>
      <c r="B702" s="539"/>
      <c r="D702" s="212"/>
      <c r="F702" s="212"/>
      <c r="G702" s="212"/>
      <c r="J702" s="539"/>
      <c r="S702" s="212"/>
      <c r="U702" s="539"/>
      <c r="V702" s="539"/>
      <c r="W702" s="540"/>
      <c r="X702" s="211"/>
      <c r="Y702" s="211"/>
      <c r="Z702" s="211"/>
      <c r="AA702" s="211"/>
      <c r="AB702" s="212"/>
      <c r="AD702" s="212"/>
      <c r="AF702" s="475"/>
      <c r="AM702" s="212"/>
    </row>
    <row r="703" spans="1:39" x14ac:dyDescent="0.3">
      <c r="A703" s="212"/>
      <c r="B703" s="539"/>
      <c r="D703" s="212"/>
      <c r="F703" s="212"/>
      <c r="G703" s="212"/>
      <c r="J703" s="539"/>
      <c r="S703" s="212"/>
      <c r="U703" s="539"/>
      <c r="V703" s="539"/>
      <c r="W703" s="540"/>
      <c r="X703" s="211"/>
      <c r="Y703" s="211"/>
      <c r="Z703" s="211"/>
      <c r="AA703" s="211"/>
      <c r="AB703" s="212"/>
      <c r="AD703" s="212"/>
      <c r="AF703" s="475"/>
      <c r="AM703" s="212"/>
    </row>
    <row r="704" spans="1:39" x14ac:dyDescent="0.3">
      <c r="A704" s="212"/>
      <c r="B704" s="539"/>
      <c r="D704" s="212"/>
      <c r="F704" s="212"/>
      <c r="G704" s="212"/>
      <c r="J704" s="539"/>
      <c r="S704" s="212"/>
      <c r="U704" s="539"/>
      <c r="V704" s="539"/>
      <c r="W704" s="540"/>
      <c r="X704" s="211"/>
      <c r="Y704" s="211"/>
      <c r="Z704" s="211"/>
      <c r="AA704" s="211"/>
      <c r="AB704" s="212"/>
      <c r="AD704" s="212"/>
      <c r="AF704" s="475"/>
      <c r="AM704" s="212"/>
    </row>
    <row r="705" spans="1:39" x14ac:dyDescent="0.3">
      <c r="A705" s="212"/>
      <c r="B705" s="539"/>
      <c r="D705" s="212"/>
      <c r="F705" s="212"/>
      <c r="G705" s="212"/>
      <c r="J705" s="539"/>
      <c r="S705" s="212"/>
      <c r="U705" s="539"/>
      <c r="V705" s="539"/>
      <c r="W705" s="540"/>
      <c r="X705" s="211"/>
      <c r="Y705" s="211"/>
      <c r="Z705" s="211"/>
      <c r="AA705" s="211"/>
      <c r="AB705" s="212"/>
      <c r="AD705" s="212"/>
      <c r="AF705" s="475"/>
      <c r="AM705" s="212"/>
    </row>
    <row r="706" spans="1:39" x14ac:dyDescent="0.3">
      <c r="A706" s="212"/>
      <c r="B706" s="539"/>
      <c r="D706" s="212"/>
      <c r="F706" s="212"/>
      <c r="G706" s="212"/>
      <c r="J706" s="539"/>
      <c r="S706" s="212"/>
      <c r="U706" s="539"/>
      <c r="V706" s="539"/>
      <c r="W706" s="540"/>
      <c r="X706" s="211"/>
      <c r="Y706" s="211"/>
      <c r="Z706" s="211"/>
      <c r="AA706" s="211"/>
      <c r="AB706" s="212"/>
      <c r="AD706" s="212"/>
      <c r="AF706" s="475"/>
      <c r="AM706" s="212"/>
    </row>
    <row r="707" spans="1:39" x14ac:dyDescent="0.3">
      <c r="A707" s="212"/>
      <c r="B707" s="539"/>
      <c r="D707" s="212"/>
      <c r="F707" s="212"/>
      <c r="G707" s="212"/>
      <c r="J707" s="539"/>
      <c r="S707" s="212"/>
      <c r="U707" s="539"/>
      <c r="V707" s="539"/>
      <c r="W707" s="540"/>
      <c r="X707" s="211"/>
      <c r="Y707" s="211"/>
      <c r="Z707" s="211"/>
      <c r="AA707" s="211"/>
      <c r="AB707" s="212"/>
      <c r="AD707" s="212"/>
      <c r="AF707" s="475"/>
      <c r="AM707" s="212"/>
    </row>
    <row r="708" spans="1:39" x14ac:dyDescent="0.3">
      <c r="A708" s="212"/>
      <c r="B708" s="539"/>
      <c r="D708" s="212"/>
      <c r="F708" s="212"/>
      <c r="G708" s="212"/>
      <c r="J708" s="539"/>
      <c r="S708" s="212"/>
      <c r="U708" s="539"/>
      <c r="V708" s="539"/>
      <c r="W708" s="540"/>
      <c r="X708" s="211"/>
      <c r="Y708" s="211"/>
      <c r="Z708" s="211"/>
      <c r="AA708" s="211"/>
      <c r="AB708" s="212"/>
      <c r="AD708" s="212"/>
      <c r="AF708" s="475"/>
      <c r="AM708" s="212"/>
    </row>
    <row r="709" spans="1:39" x14ac:dyDescent="0.3">
      <c r="A709" s="212"/>
      <c r="B709" s="539"/>
      <c r="D709" s="212"/>
      <c r="F709" s="212"/>
      <c r="G709" s="212"/>
      <c r="J709" s="539"/>
      <c r="S709" s="212"/>
      <c r="U709" s="539"/>
      <c r="V709" s="539"/>
      <c r="W709" s="540"/>
      <c r="X709" s="211"/>
      <c r="Y709" s="211"/>
      <c r="Z709" s="211"/>
      <c r="AA709" s="211"/>
      <c r="AB709" s="212"/>
      <c r="AD709" s="212"/>
      <c r="AF709" s="475"/>
      <c r="AM709" s="212"/>
    </row>
    <row r="710" spans="1:39" x14ac:dyDescent="0.3">
      <c r="A710" s="212"/>
      <c r="B710" s="539"/>
      <c r="D710" s="212"/>
      <c r="F710" s="212"/>
      <c r="G710" s="212"/>
      <c r="J710" s="539"/>
      <c r="S710" s="212"/>
      <c r="U710" s="539"/>
      <c r="V710" s="539"/>
      <c r="W710" s="540"/>
      <c r="X710" s="211"/>
      <c r="Y710" s="211"/>
      <c r="Z710" s="211"/>
      <c r="AA710" s="211"/>
      <c r="AB710" s="212"/>
      <c r="AD710" s="212"/>
      <c r="AF710" s="475"/>
      <c r="AM710" s="212"/>
    </row>
    <row r="711" spans="1:39" x14ac:dyDescent="0.3">
      <c r="A711" s="212"/>
      <c r="B711" s="539"/>
      <c r="D711" s="212"/>
      <c r="F711" s="212"/>
      <c r="G711" s="212"/>
      <c r="J711" s="539"/>
      <c r="S711" s="212"/>
      <c r="U711" s="539"/>
      <c r="V711" s="539"/>
      <c r="W711" s="540"/>
      <c r="X711" s="211"/>
      <c r="Y711" s="211"/>
      <c r="Z711" s="211"/>
      <c r="AA711" s="211"/>
      <c r="AB711" s="212"/>
      <c r="AD711" s="212"/>
      <c r="AF711" s="475"/>
      <c r="AM711" s="212"/>
    </row>
    <row r="712" spans="1:39" x14ac:dyDescent="0.3">
      <c r="A712" s="212"/>
      <c r="B712" s="539"/>
      <c r="D712" s="212"/>
      <c r="F712" s="212"/>
      <c r="G712" s="212"/>
      <c r="J712" s="539"/>
      <c r="S712" s="212"/>
      <c r="U712" s="539"/>
      <c r="V712" s="539"/>
      <c r="W712" s="540"/>
      <c r="X712" s="211"/>
      <c r="Y712" s="211"/>
      <c r="Z712" s="211"/>
      <c r="AA712" s="211"/>
      <c r="AB712" s="212"/>
      <c r="AD712" s="212"/>
      <c r="AF712" s="475"/>
      <c r="AM712" s="212"/>
    </row>
    <row r="713" spans="1:39" x14ac:dyDescent="0.3">
      <c r="A713" s="212"/>
      <c r="B713" s="539"/>
      <c r="D713" s="212"/>
      <c r="F713" s="212"/>
      <c r="G713" s="212"/>
      <c r="J713" s="539"/>
      <c r="S713" s="212"/>
      <c r="U713" s="539"/>
      <c r="V713" s="539"/>
      <c r="W713" s="540"/>
      <c r="X713" s="211"/>
      <c r="Y713" s="211"/>
      <c r="Z713" s="211"/>
      <c r="AA713" s="211"/>
      <c r="AB713" s="212"/>
      <c r="AD713" s="212"/>
      <c r="AF713" s="475"/>
      <c r="AM713" s="212"/>
    </row>
    <row r="714" spans="1:39" x14ac:dyDescent="0.3">
      <c r="A714" s="212"/>
      <c r="B714" s="539"/>
      <c r="D714" s="212"/>
      <c r="F714" s="212"/>
      <c r="G714" s="212"/>
      <c r="J714" s="539"/>
      <c r="S714" s="212"/>
      <c r="U714" s="539"/>
      <c r="V714" s="539"/>
      <c r="W714" s="540"/>
      <c r="X714" s="211"/>
      <c r="Y714" s="211"/>
      <c r="Z714" s="211"/>
      <c r="AA714" s="211"/>
      <c r="AB714" s="212"/>
      <c r="AD714" s="212"/>
      <c r="AF714" s="475"/>
      <c r="AM714" s="212"/>
    </row>
    <row r="715" spans="1:39" x14ac:dyDescent="0.3">
      <c r="A715" s="212"/>
      <c r="B715" s="539"/>
      <c r="D715" s="212"/>
      <c r="F715" s="212"/>
      <c r="G715" s="212"/>
      <c r="J715" s="539"/>
      <c r="S715" s="212"/>
      <c r="U715" s="539"/>
      <c r="V715" s="539"/>
      <c r="W715" s="540"/>
      <c r="X715" s="211"/>
      <c r="Y715" s="211"/>
      <c r="Z715" s="211"/>
      <c r="AA715" s="211"/>
      <c r="AB715" s="212"/>
      <c r="AD715" s="212"/>
      <c r="AF715" s="475"/>
      <c r="AM715" s="212"/>
    </row>
    <row r="716" spans="1:39" x14ac:dyDescent="0.3">
      <c r="A716" s="212"/>
      <c r="B716" s="539"/>
      <c r="D716" s="212"/>
      <c r="F716" s="212"/>
      <c r="G716" s="212"/>
      <c r="J716" s="539"/>
      <c r="S716" s="212"/>
      <c r="U716" s="539"/>
      <c r="V716" s="539"/>
      <c r="W716" s="540"/>
      <c r="X716" s="211"/>
      <c r="Y716" s="211"/>
      <c r="Z716" s="211"/>
      <c r="AA716" s="211"/>
      <c r="AB716" s="212"/>
      <c r="AD716" s="212"/>
      <c r="AF716" s="475"/>
      <c r="AM716" s="212"/>
    </row>
    <row r="717" spans="1:39" x14ac:dyDescent="0.3">
      <c r="A717" s="212"/>
      <c r="B717" s="539"/>
      <c r="D717" s="212"/>
      <c r="F717" s="212"/>
      <c r="G717" s="212"/>
      <c r="J717" s="539"/>
      <c r="S717" s="212"/>
      <c r="U717" s="539"/>
      <c r="V717" s="539"/>
      <c r="W717" s="540"/>
      <c r="X717" s="211"/>
      <c r="Y717" s="211"/>
      <c r="Z717" s="211"/>
      <c r="AA717" s="211"/>
      <c r="AB717" s="212"/>
      <c r="AD717" s="212"/>
      <c r="AF717" s="475"/>
      <c r="AM717" s="212"/>
    </row>
    <row r="718" spans="1:39" x14ac:dyDescent="0.3">
      <c r="A718" s="212"/>
      <c r="B718" s="539"/>
      <c r="D718" s="212"/>
      <c r="F718" s="212"/>
      <c r="G718" s="212"/>
      <c r="J718" s="539"/>
      <c r="S718" s="212"/>
      <c r="U718" s="539"/>
      <c r="V718" s="539"/>
      <c r="W718" s="540"/>
      <c r="X718" s="211"/>
      <c r="Y718" s="211"/>
      <c r="Z718" s="211"/>
      <c r="AA718" s="211"/>
      <c r="AB718" s="212"/>
      <c r="AD718" s="212"/>
      <c r="AF718" s="475"/>
      <c r="AM718" s="212"/>
    </row>
    <row r="719" spans="1:39" x14ac:dyDescent="0.3">
      <c r="A719" s="212"/>
      <c r="B719" s="539"/>
      <c r="D719" s="212"/>
      <c r="F719" s="212"/>
      <c r="G719" s="212"/>
      <c r="J719" s="539"/>
      <c r="S719" s="212"/>
      <c r="U719" s="539"/>
      <c r="V719" s="539"/>
      <c r="W719" s="540"/>
      <c r="X719" s="211"/>
      <c r="Y719" s="211"/>
      <c r="Z719" s="211"/>
      <c r="AA719" s="211"/>
      <c r="AB719" s="212"/>
      <c r="AD719" s="212"/>
      <c r="AF719" s="475"/>
      <c r="AM719" s="212"/>
    </row>
    <row r="720" spans="1:39" x14ac:dyDescent="0.3">
      <c r="A720" s="212"/>
      <c r="B720" s="539"/>
      <c r="D720" s="212"/>
      <c r="F720" s="212"/>
      <c r="G720" s="212"/>
      <c r="J720" s="539"/>
      <c r="S720" s="212"/>
      <c r="U720" s="539"/>
      <c r="V720" s="539"/>
      <c r="W720" s="540"/>
      <c r="X720" s="211"/>
      <c r="Y720" s="211"/>
      <c r="Z720" s="211"/>
      <c r="AA720" s="211"/>
      <c r="AB720" s="212"/>
      <c r="AD720" s="212"/>
      <c r="AF720" s="475"/>
      <c r="AM720" s="212"/>
    </row>
    <row r="721" spans="1:39" x14ac:dyDescent="0.3">
      <c r="A721" s="212"/>
      <c r="B721" s="539"/>
      <c r="D721" s="212"/>
      <c r="F721" s="212"/>
      <c r="G721" s="212"/>
      <c r="J721" s="539"/>
      <c r="S721" s="212"/>
      <c r="U721" s="539"/>
      <c r="V721" s="539"/>
      <c r="W721" s="540"/>
      <c r="X721" s="211"/>
      <c r="Y721" s="211"/>
      <c r="Z721" s="211"/>
      <c r="AA721" s="211"/>
      <c r="AB721" s="212"/>
      <c r="AD721" s="212"/>
      <c r="AF721" s="475"/>
      <c r="AM721" s="212"/>
    </row>
    <row r="722" spans="1:39" x14ac:dyDescent="0.3">
      <c r="A722" s="212"/>
      <c r="B722" s="539"/>
      <c r="D722" s="212"/>
      <c r="F722" s="212"/>
      <c r="G722" s="212"/>
      <c r="J722" s="539"/>
      <c r="S722" s="212"/>
      <c r="U722" s="539"/>
      <c r="V722" s="539"/>
      <c r="W722" s="540"/>
      <c r="X722" s="211"/>
      <c r="Y722" s="211"/>
      <c r="Z722" s="211"/>
      <c r="AA722" s="211"/>
      <c r="AB722" s="212"/>
      <c r="AD722" s="212"/>
      <c r="AF722" s="475"/>
      <c r="AM722" s="212"/>
    </row>
    <row r="723" spans="1:39" x14ac:dyDescent="0.3">
      <c r="A723" s="212"/>
      <c r="B723" s="539"/>
      <c r="D723" s="212"/>
      <c r="F723" s="212"/>
      <c r="G723" s="212"/>
      <c r="J723" s="539"/>
      <c r="S723" s="212"/>
      <c r="U723" s="539"/>
      <c r="V723" s="539"/>
      <c r="W723" s="540"/>
      <c r="X723" s="211"/>
      <c r="Y723" s="211"/>
      <c r="Z723" s="211"/>
      <c r="AA723" s="211"/>
      <c r="AB723" s="212"/>
      <c r="AD723" s="212"/>
      <c r="AF723" s="475"/>
      <c r="AM723" s="212"/>
    </row>
    <row r="724" spans="1:39" x14ac:dyDescent="0.3">
      <c r="A724" s="212"/>
      <c r="B724" s="539"/>
      <c r="D724" s="212"/>
      <c r="F724" s="212"/>
      <c r="G724" s="212"/>
      <c r="J724" s="539"/>
      <c r="S724" s="212"/>
      <c r="U724" s="539"/>
      <c r="V724" s="539"/>
      <c r="W724" s="540"/>
      <c r="X724" s="211"/>
      <c r="Y724" s="211"/>
      <c r="Z724" s="211"/>
      <c r="AA724" s="211"/>
      <c r="AB724" s="212"/>
      <c r="AD724" s="212"/>
      <c r="AF724" s="475"/>
      <c r="AM724" s="212"/>
    </row>
    <row r="725" spans="1:39" x14ac:dyDescent="0.3">
      <c r="A725" s="212"/>
      <c r="B725" s="539"/>
      <c r="D725" s="212"/>
      <c r="F725" s="212"/>
      <c r="G725" s="212"/>
      <c r="J725" s="539"/>
      <c r="S725" s="212"/>
      <c r="U725" s="539"/>
      <c r="V725" s="539"/>
      <c r="W725" s="540"/>
      <c r="X725" s="211"/>
      <c r="Y725" s="211"/>
      <c r="Z725" s="211"/>
      <c r="AA725" s="211"/>
      <c r="AB725" s="212"/>
      <c r="AD725" s="212"/>
      <c r="AF725" s="475"/>
      <c r="AM725" s="212"/>
    </row>
    <row r="726" spans="1:39" x14ac:dyDescent="0.3">
      <c r="A726" s="212"/>
      <c r="B726" s="539"/>
      <c r="D726" s="212"/>
      <c r="F726" s="212"/>
      <c r="G726" s="212"/>
      <c r="J726" s="539"/>
      <c r="S726" s="212"/>
      <c r="U726" s="539"/>
      <c r="V726" s="539"/>
      <c r="W726" s="540"/>
      <c r="X726" s="211"/>
      <c r="Y726" s="211"/>
      <c r="Z726" s="211"/>
      <c r="AA726" s="211"/>
      <c r="AB726" s="212"/>
      <c r="AD726" s="212"/>
      <c r="AF726" s="475"/>
      <c r="AM726" s="212"/>
    </row>
    <row r="727" spans="1:39" x14ac:dyDescent="0.3">
      <c r="A727" s="212"/>
      <c r="B727" s="539"/>
      <c r="D727" s="212"/>
      <c r="F727" s="212"/>
      <c r="G727" s="212"/>
      <c r="J727" s="539"/>
      <c r="S727" s="212"/>
      <c r="U727" s="539"/>
      <c r="V727" s="539"/>
      <c r="W727" s="540"/>
      <c r="X727" s="211"/>
      <c r="Y727" s="211"/>
      <c r="Z727" s="211"/>
      <c r="AA727" s="211"/>
      <c r="AB727" s="212"/>
      <c r="AD727" s="212"/>
      <c r="AF727" s="475"/>
      <c r="AM727" s="212"/>
    </row>
    <row r="728" spans="1:39" x14ac:dyDescent="0.3">
      <c r="A728" s="212"/>
      <c r="B728" s="539"/>
      <c r="D728" s="212"/>
      <c r="F728" s="212"/>
      <c r="G728" s="212"/>
      <c r="J728" s="539"/>
      <c r="S728" s="212"/>
      <c r="U728" s="539"/>
      <c r="V728" s="539"/>
      <c r="W728" s="540"/>
      <c r="X728" s="211"/>
      <c r="Y728" s="211"/>
      <c r="Z728" s="211"/>
      <c r="AA728" s="211"/>
      <c r="AB728" s="212"/>
      <c r="AD728" s="212"/>
      <c r="AF728" s="475"/>
      <c r="AM728" s="212"/>
    </row>
    <row r="729" spans="1:39" x14ac:dyDescent="0.3">
      <c r="A729" s="212"/>
      <c r="B729" s="539"/>
      <c r="D729" s="212"/>
      <c r="F729" s="212"/>
      <c r="G729" s="212"/>
      <c r="J729" s="539"/>
      <c r="S729" s="212"/>
      <c r="U729" s="539"/>
      <c r="V729" s="539"/>
      <c r="W729" s="540"/>
      <c r="X729" s="211"/>
      <c r="Y729" s="211"/>
      <c r="Z729" s="211"/>
      <c r="AA729" s="211"/>
      <c r="AB729" s="212"/>
      <c r="AD729" s="212"/>
      <c r="AF729" s="475"/>
      <c r="AM729" s="212"/>
    </row>
    <row r="730" spans="1:39" x14ac:dyDescent="0.3">
      <c r="A730" s="212"/>
      <c r="B730" s="539"/>
      <c r="D730" s="212"/>
      <c r="F730" s="212"/>
      <c r="G730" s="212"/>
      <c r="J730" s="539"/>
      <c r="S730" s="212"/>
      <c r="U730" s="539"/>
      <c r="V730" s="539"/>
      <c r="W730" s="540"/>
      <c r="X730" s="211"/>
      <c r="Y730" s="211"/>
      <c r="Z730" s="211"/>
      <c r="AA730" s="211"/>
      <c r="AB730" s="212"/>
      <c r="AD730" s="212"/>
      <c r="AF730" s="475"/>
      <c r="AM730" s="212"/>
    </row>
    <row r="731" spans="1:39" x14ac:dyDescent="0.3">
      <c r="A731" s="212"/>
      <c r="B731" s="539"/>
      <c r="D731" s="212"/>
      <c r="F731" s="212"/>
      <c r="G731" s="212"/>
      <c r="J731" s="539"/>
      <c r="S731" s="212"/>
      <c r="U731" s="539"/>
      <c r="V731" s="539"/>
      <c r="W731" s="540"/>
      <c r="X731" s="211"/>
      <c r="Y731" s="211"/>
      <c r="Z731" s="211"/>
      <c r="AA731" s="211"/>
      <c r="AB731" s="212"/>
      <c r="AD731" s="212"/>
      <c r="AF731" s="475"/>
      <c r="AM731" s="212"/>
    </row>
    <row r="732" spans="1:39" x14ac:dyDescent="0.3">
      <c r="A732" s="212"/>
      <c r="B732" s="539"/>
      <c r="D732" s="212"/>
      <c r="F732" s="212"/>
      <c r="G732" s="212"/>
      <c r="J732" s="539"/>
      <c r="S732" s="212"/>
      <c r="U732" s="539"/>
      <c r="V732" s="539"/>
      <c r="W732" s="540"/>
      <c r="X732" s="211"/>
      <c r="Y732" s="211"/>
      <c r="Z732" s="211"/>
      <c r="AA732" s="211"/>
      <c r="AB732" s="212"/>
      <c r="AD732" s="212"/>
      <c r="AF732" s="475"/>
      <c r="AM732" s="212"/>
    </row>
    <row r="733" spans="1:39" x14ac:dyDescent="0.3">
      <c r="A733" s="212"/>
      <c r="B733" s="539"/>
      <c r="D733" s="212"/>
      <c r="F733" s="212"/>
      <c r="G733" s="212"/>
      <c r="J733" s="539"/>
      <c r="S733" s="212"/>
      <c r="U733" s="539"/>
      <c r="V733" s="539"/>
      <c r="W733" s="540"/>
      <c r="X733" s="211"/>
      <c r="Y733" s="211"/>
      <c r="Z733" s="211"/>
      <c r="AA733" s="211"/>
      <c r="AB733" s="212"/>
      <c r="AD733" s="212"/>
      <c r="AF733" s="475"/>
      <c r="AM733" s="212"/>
    </row>
    <row r="734" spans="1:39" x14ac:dyDescent="0.3">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3">
      <c r="A735" s="212"/>
      <c r="B735" s="539"/>
      <c r="D735" s="212"/>
      <c r="F735" s="212"/>
      <c r="G735" s="212"/>
      <c r="J735" s="539"/>
      <c r="S735" s="212"/>
      <c r="U735" s="539"/>
      <c r="V735" s="539"/>
      <c r="W735" s="540"/>
      <c r="X735" s="211"/>
      <c r="Y735" s="211"/>
      <c r="Z735" s="211"/>
      <c r="AA735" s="211"/>
      <c r="AB735" s="212"/>
      <c r="AD735" s="212"/>
      <c r="AF735" s="475"/>
    </row>
    <row r="736" spans="1:39" x14ac:dyDescent="0.3">
      <c r="A736" s="212"/>
      <c r="B736" s="539"/>
      <c r="D736" s="212"/>
      <c r="F736" s="212"/>
      <c r="G736" s="212"/>
      <c r="J736" s="539"/>
      <c r="S736" s="212"/>
      <c r="U736" s="539"/>
      <c r="V736" s="539"/>
      <c r="W736" s="540"/>
      <c r="X736" s="211"/>
      <c r="Y736" s="211"/>
      <c r="Z736" s="211"/>
      <c r="AA736" s="211"/>
      <c r="AB736" s="212"/>
      <c r="AD736" s="212"/>
      <c r="AF736" s="475"/>
    </row>
    <row r="737" spans="1:32" x14ac:dyDescent="0.3">
      <c r="A737" s="212"/>
      <c r="B737" s="539"/>
      <c r="D737" s="212"/>
      <c r="F737" s="212"/>
      <c r="G737" s="212"/>
      <c r="J737" s="539"/>
      <c r="S737" s="212"/>
      <c r="U737" s="539"/>
      <c r="V737" s="539"/>
      <c r="W737" s="540"/>
      <c r="X737" s="211"/>
      <c r="Y737" s="211"/>
      <c r="Z737" s="211"/>
      <c r="AA737" s="211"/>
      <c r="AB737" s="212"/>
      <c r="AD737" s="212"/>
      <c r="AF737" s="475"/>
    </row>
    <row r="738" spans="1:32" x14ac:dyDescent="0.3">
      <c r="A738" s="212"/>
      <c r="B738" s="539"/>
      <c r="D738" s="212"/>
      <c r="F738" s="212"/>
      <c r="G738" s="212"/>
      <c r="J738" s="539"/>
      <c r="S738" s="212"/>
      <c r="U738" s="539"/>
      <c r="V738" s="539"/>
      <c r="W738" s="540"/>
      <c r="X738" s="211"/>
      <c r="Y738" s="211"/>
      <c r="Z738" s="211"/>
      <c r="AA738" s="211"/>
      <c r="AB738" s="212"/>
      <c r="AD738" s="212"/>
      <c r="AF738" s="475"/>
    </row>
    <row r="739" spans="1:32" x14ac:dyDescent="0.3">
      <c r="A739" s="212"/>
      <c r="B739" s="539"/>
      <c r="D739" s="212"/>
      <c r="F739" s="212"/>
      <c r="G739" s="212"/>
      <c r="J739" s="539"/>
      <c r="S739" s="212"/>
      <c r="U739" s="539"/>
      <c r="V739" s="539"/>
      <c r="W739" s="540"/>
      <c r="X739" s="211"/>
      <c r="Y739" s="211"/>
      <c r="Z739" s="211"/>
      <c r="AA739" s="211"/>
      <c r="AB739" s="212"/>
      <c r="AD739" s="212"/>
      <c r="AF739" s="475"/>
    </row>
    <row r="740" spans="1:32" x14ac:dyDescent="0.3">
      <c r="A740" s="212"/>
      <c r="B740" s="539"/>
      <c r="D740" s="212"/>
      <c r="F740" s="212"/>
      <c r="G740" s="212"/>
      <c r="J740" s="539"/>
      <c r="S740" s="212"/>
      <c r="U740" s="539"/>
      <c r="V740" s="539"/>
      <c r="W740" s="540"/>
      <c r="X740" s="211"/>
      <c r="Y740" s="211"/>
      <c r="Z740" s="211"/>
      <c r="AA740" s="211"/>
      <c r="AB740" s="212"/>
      <c r="AD740" s="212"/>
      <c r="AF740" s="475"/>
    </row>
    <row r="741" spans="1:32" x14ac:dyDescent="0.3">
      <c r="A741" s="212"/>
      <c r="B741" s="539"/>
      <c r="D741" s="212"/>
      <c r="F741" s="212"/>
      <c r="G741" s="212"/>
      <c r="J741" s="539"/>
      <c r="S741" s="212"/>
      <c r="U741" s="539"/>
      <c r="V741" s="539"/>
      <c r="W741" s="540"/>
      <c r="X741" s="211"/>
      <c r="Y741" s="211"/>
      <c r="Z741" s="211"/>
      <c r="AA741" s="211"/>
      <c r="AB741" s="212"/>
      <c r="AD741" s="212"/>
      <c r="AF741" s="475"/>
    </row>
    <row r="742" spans="1:32" x14ac:dyDescent="0.3">
      <c r="A742" s="212"/>
      <c r="B742" s="539"/>
      <c r="D742" s="212"/>
      <c r="F742" s="212"/>
      <c r="G742" s="212"/>
      <c r="J742" s="539"/>
      <c r="S742" s="212"/>
      <c r="U742" s="539"/>
      <c r="V742" s="539"/>
      <c r="W742" s="540"/>
      <c r="X742" s="211"/>
      <c r="Y742" s="211"/>
      <c r="Z742" s="211"/>
      <c r="AA742" s="211"/>
      <c r="AB742" s="212"/>
      <c r="AD742" s="212"/>
      <c r="AF742" s="475"/>
    </row>
    <row r="743" spans="1:32" x14ac:dyDescent="0.3">
      <c r="A743" s="212"/>
      <c r="B743" s="539"/>
      <c r="D743" s="212"/>
      <c r="F743" s="212"/>
      <c r="G743" s="212"/>
      <c r="J743" s="539"/>
      <c r="S743" s="212"/>
      <c r="U743" s="539"/>
      <c r="V743" s="539"/>
      <c r="W743" s="540"/>
      <c r="X743" s="211"/>
      <c r="Y743" s="211"/>
      <c r="Z743" s="211"/>
      <c r="AA743" s="211"/>
      <c r="AB743" s="212"/>
      <c r="AD743" s="212"/>
      <c r="AF743" s="475"/>
    </row>
    <row r="744" spans="1:32" x14ac:dyDescent="0.3">
      <c r="A744" s="212"/>
      <c r="B744" s="539"/>
      <c r="D744" s="212"/>
      <c r="F744" s="212"/>
      <c r="G744" s="212"/>
      <c r="J744" s="539"/>
      <c r="S744" s="212"/>
      <c r="U744" s="539"/>
      <c r="V744" s="539"/>
      <c r="W744" s="540"/>
      <c r="X744" s="211"/>
      <c r="Y744" s="211"/>
      <c r="Z744" s="211"/>
      <c r="AA744" s="211"/>
      <c r="AB744" s="212"/>
      <c r="AD744" s="212"/>
      <c r="AF744" s="475"/>
    </row>
    <row r="745" spans="1:32" x14ac:dyDescent="0.3">
      <c r="A745" s="212"/>
      <c r="B745" s="539"/>
      <c r="D745" s="212"/>
      <c r="F745" s="212"/>
      <c r="G745" s="212"/>
      <c r="J745" s="539"/>
      <c r="S745" s="212"/>
      <c r="U745" s="539"/>
      <c r="V745" s="539"/>
      <c r="W745" s="540"/>
      <c r="X745" s="211"/>
      <c r="Y745" s="211"/>
      <c r="Z745" s="211"/>
      <c r="AA745" s="211"/>
      <c r="AB745" s="212"/>
      <c r="AD745" s="212"/>
      <c r="AF745" s="475"/>
    </row>
    <row r="746" spans="1:32" x14ac:dyDescent="0.3">
      <c r="A746" s="212"/>
      <c r="B746" s="539"/>
      <c r="D746" s="212"/>
      <c r="F746" s="212"/>
      <c r="G746" s="212"/>
      <c r="J746" s="539"/>
      <c r="S746" s="212"/>
      <c r="U746" s="539"/>
      <c r="V746" s="539"/>
      <c r="W746" s="540"/>
      <c r="X746" s="211"/>
      <c r="Y746" s="211"/>
      <c r="Z746" s="211"/>
      <c r="AA746" s="211"/>
      <c r="AB746" s="212"/>
      <c r="AD746" s="212"/>
      <c r="AF746" s="475"/>
    </row>
    <row r="747" spans="1:32" x14ac:dyDescent="0.3">
      <c r="A747" s="212"/>
      <c r="B747" s="539"/>
      <c r="D747" s="212"/>
      <c r="F747" s="212"/>
      <c r="G747" s="212"/>
      <c r="J747" s="539"/>
      <c r="S747" s="212"/>
      <c r="U747" s="539"/>
      <c r="V747" s="539"/>
      <c r="W747" s="540"/>
      <c r="X747" s="211"/>
      <c r="Y747" s="211"/>
      <c r="Z747" s="211"/>
      <c r="AA747" s="211"/>
      <c r="AB747" s="212"/>
      <c r="AD747" s="212"/>
      <c r="AF747" s="475"/>
    </row>
    <row r="748" spans="1:32" x14ac:dyDescent="0.3">
      <c r="A748" s="212"/>
      <c r="B748" s="539"/>
      <c r="D748" s="212"/>
      <c r="F748" s="212"/>
      <c r="G748" s="212"/>
      <c r="J748" s="539"/>
      <c r="S748" s="212"/>
      <c r="U748" s="539"/>
      <c r="V748" s="539"/>
      <c r="W748" s="540"/>
      <c r="X748" s="211"/>
      <c r="Y748" s="211"/>
      <c r="Z748" s="211"/>
      <c r="AA748" s="211"/>
      <c r="AB748" s="212"/>
      <c r="AD748" s="212"/>
      <c r="AF748" s="475"/>
    </row>
    <row r="749" spans="1:32" x14ac:dyDescent="0.3">
      <c r="A749" s="212"/>
      <c r="B749" s="539"/>
      <c r="D749" s="212"/>
      <c r="F749" s="212"/>
      <c r="G749" s="212"/>
      <c r="J749" s="539"/>
      <c r="S749" s="212"/>
      <c r="U749" s="539"/>
      <c r="V749" s="539"/>
      <c r="W749" s="540"/>
      <c r="X749" s="211"/>
      <c r="Y749" s="211"/>
      <c r="Z749" s="211"/>
      <c r="AA749" s="211"/>
      <c r="AB749" s="212"/>
      <c r="AD749" s="212"/>
      <c r="AF749" s="475"/>
    </row>
    <row r="750" spans="1:32" x14ac:dyDescent="0.3">
      <c r="A750" s="212"/>
      <c r="B750" s="539"/>
      <c r="D750" s="212"/>
      <c r="F750" s="212"/>
      <c r="G750" s="212"/>
      <c r="J750" s="539"/>
      <c r="S750" s="212"/>
      <c r="U750" s="539"/>
      <c r="V750" s="539"/>
      <c r="W750" s="540"/>
      <c r="X750" s="211"/>
      <c r="Y750" s="211"/>
      <c r="Z750" s="211"/>
      <c r="AA750" s="211"/>
      <c r="AB750" s="212"/>
      <c r="AD750" s="212"/>
      <c r="AF750" s="475"/>
    </row>
    <row r="751" spans="1:32" x14ac:dyDescent="0.3">
      <c r="A751" s="212"/>
      <c r="B751" s="539"/>
      <c r="D751" s="212"/>
      <c r="F751" s="212"/>
      <c r="G751" s="212"/>
      <c r="J751" s="539"/>
      <c r="S751" s="212"/>
      <c r="U751" s="539"/>
      <c r="V751" s="539"/>
      <c r="W751" s="540"/>
      <c r="X751" s="211"/>
      <c r="Y751" s="211"/>
      <c r="Z751" s="211"/>
      <c r="AA751" s="211"/>
      <c r="AB751" s="212"/>
      <c r="AD751" s="212"/>
      <c r="AF751" s="475"/>
    </row>
    <row r="752" spans="1:32" x14ac:dyDescent="0.3">
      <c r="A752" s="212"/>
      <c r="B752" s="539"/>
      <c r="D752" s="212"/>
      <c r="F752" s="212"/>
      <c r="G752" s="212"/>
      <c r="J752" s="539"/>
      <c r="S752" s="212"/>
      <c r="U752" s="539"/>
      <c r="V752" s="539"/>
      <c r="W752" s="540"/>
      <c r="X752" s="211"/>
      <c r="Y752" s="211"/>
      <c r="Z752" s="211"/>
      <c r="AA752" s="211"/>
      <c r="AB752" s="212"/>
      <c r="AD752" s="212"/>
      <c r="AF752" s="475"/>
    </row>
    <row r="753" spans="1:32" x14ac:dyDescent="0.3">
      <c r="A753" s="212"/>
      <c r="B753" s="539"/>
      <c r="D753" s="212"/>
      <c r="F753" s="212"/>
      <c r="G753" s="212"/>
      <c r="J753" s="539"/>
      <c r="S753" s="212"/>
      <c r="U753" s="539"/>
      <c r="V753" s="539"/>
      <c r="W753" s="540"/>
      <c r="X753" s="211"/>
      <c r="Y753" s="211"/>
      <c r="Z753" s="211"/>
      <c r="AA753" s="211"/>
      <c r="AB753" s="212"/>
      <c r="AD753" s="212"/>
      <c r="AF753" s="475"/>
    </row>
    <row r="754" spans="1:32" x14ac:dyDescent="0.3">
      <c r="A754" s="212"/>
      <c r="B754" s="539"/>
      <c r="D754" s="212"/>
      <c r="F754" s="212"/>
      <c r="G754" s="212"/>
      <c r="J754" s="539"/>
      <c r="S754" s="212"/>
      <c r="U754" s="539"/>
      <c r="V754" s="539"/>
      <c r="W754" s="540"/>
      <c r="X754" s="211"/>
      <c r="Y754" s="211"/>
      <c r="Z754" s="211"/>
      <c r="AA754" s="211"/>
      <c r="AB754" s="212"/>
      <c r="AD754" s="212"/>
      <c r="AF754" s="475"/>
    </row>
    <row r="755" spans="1:32" x14ac:dyDescent="0.3">
      <c r="A755" s="212"/>
      <c r="B755" s="539"/>
      <c r="D755" s="212"/>
      <c r="F755" s="212"/>
      <c r="G755" s="212"/>
      <c r="J755" s="539"/>
      <c r="S755" s="212"/>
      <c r="U755" s="539"/>
      <c r="V755" s="539"/>
      <c r="W755" s="540"/>
      <c r="X755" s="211"/>
      <c r="Y755" s="211"/>
      <c r="Z755" s="211"/>
      <c r="AA755" s="211"/>
      <c r="AB755" s="212"/>
      <c r="AD755" s="212"/>
      <c r="AF755" s="475"/>
    </row>
    <row r="756" spans="1:32" x14ac:dyDescent="0.3">
      <c r="A756" s="212"/>
      <c r="B756" s="539"/>
      <c r="D756" s="212"/>
      <c r="F756" s="212"/>
      <c r="G756" s="212"/>
      <c r="J756" s="539"/>
      <c r="S756" s="212"/>
      <c r="U756" s="539"/>
      <c r="V756" s="539"/>
      <c r="W756" s="540"/>
      <c r="X756" s="211"/>
      <c r="Y756" s="211"/>
      <c r="Z756" s="211"/>
      <c r="AA756" s="211"/>
      <c r="AB756" s="212"/>
      <c r="AD756" s="212"/>
      <c r="AF756" s="475"/>
    </row>
    <row r="757" spans="1:32" x14ac:dyDescent="0.3">
      <c r="A757" s="212"/>
      <c r="B757" s="539"/>
      <c r="D757" s="212"/>
      <c r="F757" s="212"/>
      <c r="G757" s="212"/>
      <c r="J757" s="539"/>
      <c r="S757" s="212"/>
      <c r="U757" s="539"/>
      <c r="V757" s="539"/>
      <c r="W757" s="540"/>
      <c r="X757" s="211"/>
      <c r="Y757" s="211"/>
      <c r="Z757" s="211"/>
      <c r="AA757" s="211"/>
      <c r="AB757" s="212"/>
      <c r="AD757" s="212"/>
      <c r="AF757" s="475"/>
    </row>
    <row r="758" spans="1:32" x14ac:dyDescent="0.3">
      <c r="A758" s="212"/>
      <c r="B758" s="539"/>
      <c r="D758" s="212"/>
      <c r="F758" s="212"/>
      <c r="G758" s="212"/>
      <c r="J758" s="539"/>
      <c r="S758" s="212"/>
      <c r="U758" s="539"/>
      <c r="V758" s="539"/>
      <c r="W758" s="540"/>
      <c r="X758" s="211"/>
      <c r="Y758" s="211"/>
      <c r="Z758" s="211"/>
      <c r="AA758" s="211"/>
      <c r="AB758" s="212"/>
      <c r="AD758" s="212"/>
      <c r="AF758" s="475"/>
    </row>
    <row r="759" spans="1:32" x14ac:dyDescent="0.3">
      <c r="A759" s="212"/>
      <c r="B759" s="539"/>
      <c r="D759" s="212"/>
      <c r="F759" s="212"/>
      <c r="G759" s="212"/>
      <c r="J759" s="539"/>
      <c r="S759" s="212"/>
      <c r="U759" s="539"/>
      <c r="V759" s="539"/>
      <c r="W759" s="540"/>
      <c r="X759" s="211"/>
      <c r="Y759" s="211"/>
      <c r="Z759" s="211"/>
      <c r="AA759" s="211"/>
      <c r="AB759" s="212"/>
      <c r="AD759" s="212"/>
      <c r="AF759" s="475"/>
    </row>
    <row r="760" spans="1:32" x14ac:dyDescent="0.3">
      <c r="A760" s="212"/>
      <c r="B760" s="539"/>
      <c r="D760" s="212"/>
      <c r="F760" s="212"/>
      <c r="G760" s="212"/>
      <c r="J760" s="539"/>
      <c r="S760" s="212"/>
      <c r="U760" s="539"/>
      <c r="V760" s="539"/>
      <c r="W760" s="540"/>
      <c r="X760" s="211"/>
      <c r="Y760" s="211"/>
      <c r="Z760" s="211"/>
      <c r="AA760" s="211"/>
      <c r="AB760" s="212"/>
      <c r="AD760" s="212"/>
      <c r="AF760" s="475"/>
    </row>
    <row r="761" spans="1:32" x14ac:dyDescent="0.3">
      <c r="A761" s="212"/>
      <c r="B761" s="539"/>
      <c r="D761" s="212"/>
      <c r="F761" s="212"/>
      <c r="G761" s="212"/>
      <c r="J761" s="539"/>
      <c r="S761" s="212"/>
      <c r="U761" s="539"/>
      <c r="V761" s="539"/>
      <c r="W761" s="540"/>
      <c r="X761" s="211"/>
      <c r="Y761" s="211"/>
      <c r="Z761" s="211"/>
      <c r="AA761" s="211"/>
      <c r="AB761" s="212"/>
      <c r="AD761" s="212"/>
      <c r="AF761" s="475"/>
    </row>
    <row r="762" spans="1:32" x14ac:dyDescent="0.3">
      <c r="A762" s="212"/>
      <c r="B762" s="539"/>
      <c r="D762" s="212"/>
      <c r="F762" s="212"/>
      <c r="G762" s="212"/>
      <c r="J762" s="539"/>
      <c r="S762" s="212"/>
      <c r="U762" s="539"/>
      <c r="V762" s="539"/>
      <c r="W762" s="540"/>
      <c r="X762" s="211"/>
      <c r="Y762" s="211"/>
      <c r="Z762" s="211"/>
      <c r="AA762" s="211"/>
      <c r="AB762" s="212"/>
      <c r="AD762" s="212"/>
      <c r="AF762" s="475"/>
    </row>
    <row r="763" spans="1:32" x14ac:dyDescent="0.3">
      <c r="A763" s="212"/>
      <c r="B763" s="539"/>
      <c r="D763" s="212"/>
      <c r="F763" s="212"/>
      <c r="G763" s="212"/>
      <c r="J763" s="539"/>
      <c r="S763" s="212"/>
      <c r="U763" s="539"/>
      <c r="V763" s="539"/>
      <c r="W763" s="540"/>
      <c r="X763" s="211"/>
      <c r="Y763" s="211"/>
      <c r="Z763" s="211"/>
      <c r="AA763" s="211"/>
      <c r="AB763" s="212"/>
      <c r="AD763" s="212"/>
      <c r="AF763" s="475"/>
    </row>
    <row r="764" spans="1:32" x14ac:dyDescent="0.3">
      <c r="A764" s="212"/>
      <c r="B764" s="539"/>
      <c r="D764" s="212"/>
      <c r="F764" s="212"/>
      <c r="G764" s="212"/>
      <c r="J764" s="539"/>
      <c r="S764" s="212"/>
      <c r="U764" s="539"/>
      <c r="V764" s="539"/>
      <c r="W764" s="540"/>
      <c r="X764" s="211"/>
      <c r="Y764" s="211"/>
      <c r="Z764" s="211"/>
      <c r="AA764" s="211"/>
      <c r="AB764" s="212"/>
      <c r="AD764" s="212"/>
      <c r="AF764" s="475"/>
    </row>
    <row r="765" spans="1:32" x14ac:dyDescent="0.3">
      <c r="A765" s="212"/>
      <c r="B765" s="539"/>
      <c r="D765" s="212"/>
      <c r="F765" s="212"/>
      <c r="G765" s="212"/>
      <c r="J765" s="539"/>
      <c r="S765" s="212"/>
      <c r="U765" s="539"/>
      <c r="V765" s="539"/>
      <c r="W765" s="540"/>
      <c r="X765" s="211"/>
      <c r="Y765" s="211"/>
      <c r="Z765" s="211"/>
      <c r="AA765" s="211"/>
      <c r="AB765" s="212"/>
      <c r="AD765" s="212"/>
      <c r="AF765" s="475"/>
    </row>
    <row r="766" spans="1:32" x14ac:dyDescent="0.3">
      <c r="A766" s="212"/>
      <c r="B766" s="539"/>
      <c r="D766" s="212"/>
      <c r="F766" s="212"/>
      <c r="G766" s="212"/>
      <c r="J766" s="539"/>
      <c r="S766" s="212"/>
      <c r="U766" s="539"/>
      <c r="V766" s="539"/>
      <c r="W766" s="540"/>
      <c r="X766" s="211"/>
      <c r="Y766" s="211"/>
      <c r="Z766" s="211"/>
      <c r="AA766" s="211"/>
      <c r="AB766" s="212"/>
      <c r="AD766" s="212"/>
      <c r="AF766" s="475"/>
    </row>
    <row r="767" spans="1:32" x14ac:dyDescent="0.3">
      <c r="A767" s="212"/>
      <c r="B767" s="539"/>
      <c r="D767" s="212"/>
      <c r="F767" s="212"/>
      <c r="G767" s="212"/>
      <c r="J767" s="539"/>
      <c r="S767" s="212"/>
      <c r="U767" s="539"/>
      <c r="V767" s="539"/>
      <c r="W767" s="540"/>
      <c r="X767" s="211"/>
      <c r="Y767" s="211"/>
      <c r="Z767" s="211"/>
      <c r="AA767" s="211"/>
      <c r="AB767" s="212"/>
      <c r="AD767" s="212"/>
      <c r="AF767" s="475"/>
    </row>
    <row r="768" spans="1:32" x14ac:dyDescent="0.3">
      <c r="A768" s="212"/>
      <c r="B768" s="539"/>
      <c r="D768" s="212"/>
      <c r="F768" s="212"/>
      <c r="G768" s="212"/>
      <c r="J768" s="539"/>
      <c r="S768" s="212"/>
      <c r="U768" s="539"/>
      <c r="V768" s="539"/>
      <c r="W768" s="540"/>
      <c r="X768" s="211"/>
      <c r="Y768" s="211"/>
      <c r="Z768" s="211"/>
      <c r="AA768" s="211"/>
      <c r="AB768" s="212"/>
      <c r="AD768" s="212"/>
      <c r="AF768" s="475"/>
    </row>
    <row r="769" spans="1:32" x14ac:dyDescent="0.3">
      <c r="A769" s="212"/>
      <c r="B769" s="539"/>
      <c r="D769" s="212"/>
      <c r="F769" s="212"/>
      <c r="G769" s="212"/>
      <c r="J769" s="539"/>
      <c r="S769" s="212"/>
      <c r="U769" s="539"/>
      <c r="V769" s="539"/>
      <c r="W769" s="540"/>
      <c r="X769" s="211"/>
      <c r="Y769" s="211"/>
      <c r="Z769" s="211"/>
      <c r="AA769" s="211"/>
      <c r="AB769" s="212"/>
      <c r="AD769" s="212"/>
      <c r="AF769" s="475"/>
    </row>
    <row r="770" spans="1:32" x14ac:dyDescent="0.3">
      <c r="A770" s="212"/>
      <c r="B770" s="539"/>
      <c r="D770" s="212"/>
      <c r="F770" s="212"/>
      <c r="G770" s="212"/>
      <c r="J770" s="539"/>
      <c r="S770" s="212"/>
      <c r="U770" s="539"/>
      <c r="V770" s="539"/>
      <c r="W770" s="540"/>
      <c r="X770" s="211"/>
      <c r="Y770" s="211"/>
      <c r="Z770" s="211"/>
      <c r="AA770" s="211"/>
      <c r="AB770" s="212"/>
      <c r="AD770" s="212"/>
      <c r="AF770" s="475"/>
    </row>
    <row r="771" spans="1:32" x14ac:dyDescent="0.3">
      <c r="A771" s="212"/>
      <c r="B771" s="539"/>
      <c r="D771" s="212"/>
      <c r="F771" s="212"/>
      <c r="G771" s="212"/>
      <c r="J771" s="539"/>
      <c r="S771" s="212"/>
      <c r="U771" s="539"/>
      <c r="V771" s="539"/>
      <c r="W771" s="540"/>
      <c r="X771" s="211"/>
      <c r="Y771" s="211"/>
      <c r="Z771" s="211"/>
      <c r="AA771" s="211"/>
      <c r="AB771" s="212"/>
      <c r="AD771" s="212"/>
      <c r="AF771" s="475"/>
    </row>
    <row r="772" spans="1:32" x14ac:dyDescent="0.3">
      <c r="A772" s="212"/>
      <c r="B772" s="539"/>
      <c r="D772" s="212"/>
      <c r="F772" s="212"/>
      <c r="G772" s="212"/>
      <c r="J772" s="539"/>
      <c r="S772" s="212"/>
      <c r="U772" s="539"/>
      <c r="V772" s="539"/>
      <c r="W772" s="540"/>
      <c r="X772" s="211"/>
      <c r="Y772" s="211"/>
      <c r="Z772" s="211"/>
      <c r="AA772" s="211"/>
      <c r="AB772" s="212"/>
      <c r="AD772" s="212"/>
      <c r="AF772" s="475"/>
    </row>
    <row r="773" spans="1:32" x14ac:dyDescent="0.3">
      <c r="A773" s="212"/>
      <c r="B773" s="539"/>
      <c r="D773" s="212"/>
      <c r="F773" s="212"/>
      <c r="G773" s="212"/>
      <c r="J773" s="539"/>
      <c r="S773" s="212"/>
      <c r="U773" s="539"/>
      <c r="V773" s="539"/>
      <c r="W773" s="540"/>
      <c r="X773" s="211"/>
      <c r="Y773" s="211"/>
      <c r="Z773" s="211"/>
      <c r="AA773" s="211"/>
      <c r="AB773" s="212"/>
      <c r="AD773" s="212"/>
      <c r="AF773" s="475"/>
    </row>
    <row r="774" spans="1:32" x14ac:dyDescent="0.3">
      <c r="A774" s="212"/>
      <c r="B774" s="539"/>
      <c r="D774" s="212"/>
      <c r="F774" s="212"/>
      <c r="G774" s="212"/>
      <c r="J774" s="539"/>
      <c r="S774" s="212"/>
      <c r="U774" s="539"/>
      <c r="V774" s="539"/>
      <c r="W774" s="540"/>
      <c r="X774" s="211"/>
      <c r="Y774" s="211"/>
      <c r="Z774" s="211"/>
      <c r="AA774" s="211"/>
      <c r="AB774" s="212"/>
      <c r="AD774" s="212"/>
      <c r="AF774" s="475"/>
    </row>
    <row r="775" spans="1:32" x14ac:dyDescent="0.3">
      <c r="A775" s="212"/>
      <c r="B775" s="539"/>
      <c r="D775" s="212"/>
      <c r="F775" s="212"/>
      <c r="G775" s="212"/>
      <c r="J775" s="539"/>
      <c r="S775" s="212"/>
      <c r="U775" s="539"/>
      <c r="V775" s="539"/>
      <c r="W775" s="540"/>
      <c r="X775" s="211"/>
      <c r="Y775" s="211"/>
      <c r="Z775" s="211"/>
      <c r="AA775" s="211"/>
      <c r="AB775" s="212"/>
      <c r="AD775" s="212"/>
      <c r="AF775" s="475"/>
    </row>
    <row r="776" spans="1:32" x14ac:dyDescent="0.3">
      <c r="A776" s="212"/>
      <c r="B776" s="539"/>
      <c r="D776" s="212"/>
      <c r="F776" s="212"/>
      <c r="G776" s="212"/>
      <c r="J776" s="539"/>
      <c r="S776" s="212"/>
      <c r="U776" s="539"/>
      <c r="V776" s="539"/>
      <c r="W776" s="540"/>
      <c r="X776" s="211"/>
      <c r="Y776" s="211"/>
      <c r="Z776" s="211"/>
      <c r="AA776" s="211"/>
      <c r="AB776" s="212"/>
      <c r="AD776" s="212"/>
      <c r="AF776" s="475"/>
    </row>
    <row r="777" spans="1:32" x14ac:dyDescent="0.3">
      <c r="A777" s="212"/>
      <c r="B777" s="539"/>
      <c r="D777" s="212"/>
      <c r="F777" s="212"/>
      <c r="G777" s="212"/>
      <c r="J777" s="539"/>
      <c r="S777" s="212"/>
      <c r="U777" s="539"/>
      <c r="V777" s="539"/>
      <c r="W777" s="540"/>
      <c r="X777" s="211"/>
      <c r="Y777" s="211"/>
      <c r="Z777" s="211"/>
      <c r="AA777" s="211"/>
      <c r="AB777" s="212"/>
      <c r="AD777" s="212"/>
      <c r="AF777" s="475"/>
    </row>
    <row r="778" spans="1:32" x14ac:dyDescent="0.3">
      <c r="A778" s="212"/>
      <c r="B778" s="539"/>
      <c r="D778" s="212"/>
      <c r="F778" s="212"/>
      <c r="G778" s="212"/>
      <c r="J778" s="539"/>
      <c r="S778" s="212"/>
      <c r="U778" s="539"/>
      <c r="V778" s="539"/>
      <c r="W778" s="540"/>
      <c r="X778" s="211"/>
      <c r="Y778" s="211"/>
      <c r="Z778" s="211"/>
      <c r="AA778" s="211"/>
      <c r="AB778" s="212"/>
      <c r="AD778" s="212"/>
      <c r="AF778" s="475"/>
    </row>
    <row r="779" spans="1:32" x14ac:dyDescent="0.3">
      <c r="A779" s="212"/>
      <c r="B779" s="539"/>
      <c r="D779" s="212"/>
      <c r="F779" s="212"/>
      <c r="G779" s="212"/>
      <c r="J779" s="539"/>
      <c r="S779" s="212"/>
      <c r="U779" s="539"/>
      <c r="V779" s="539"/>
      <c r="W779" s="540"/>
      <c r="X779" s="211"/>
      <c r="Y779" s="211"/>
      <c r="Z779" s="211"/>
      <c r="AA779" s="211"/>
      <c r="AB779" s="212"/>
      <c r="AD779" s="212"/>
      <c r="AF779" s="475"/>
    </row>
    <row r="780" spans="1:32" x14ac:dyDescent="0.3">
      <c r="A780" s="212"/>
      <c r="B780" s="539"/>
      <c r="D780" s="212"/>
      <c r="F780" s="212"/>
      <c r="G780" s="212"/>
      <c r="J780" s="539"/>
      <c r="S780" s="212"/>
      <c r="U780" s="539"/>
      <c r="V780" s="539"/>
      <c r="W780" s="540"/>
      <c r="X780" s="211"/>
      <c r="Y780" s="211"/>
      <c r="Z780" s="211"/>
      <c r="AA780" s="211"/>
      <c r="AB780" s="212"/>
      <c r="AD780" s="212"/>
      <c r="AF780" s="475"/>
    </row>
    <row r="781" spans="1:32" x14ac:dyDescent="0.3">
      <c r="A781" s="212"/>
      <c r="B781" s="539"/>
      <c r="D781" s="212"/>
      <c r="F781" s="212"/>
      <c r="G781" s="212"/>
      <c r="J781" s="539"/>
      <c r="S781" s="212"/>
      <c r="U781" s="539"/>
      <c r="V781" s="539"/>
      <c r="W781" s="540"/>
      <c r="X781" s="211"/>
      <c r="Y781" s="211"/>
      <c r="Z781" s="211"/>
      <c r="AA781" s="211"/>
      <c r="AB781" s="212"/>
      <c r="AD781" s="212"/>
      <c r="AF781" s="475"/>
    </row>
    <row r="782" spans="1:32" x14ac:dyDescent="0.3">
      <c r="A782" s="212"/>
      <c r="B782" s="539"/>
      <c r="D782" s="212"/>
      <c r="F782" s="212"/>
      <c r="G782" s="212"/>
      <c r="J782" s="539"/>
      <c r="S782" s="212"/>
      <c r="U782" s="539"/>
      <c r="V782" s="539"/>
      <c r="W782" s="540"/>
      <c r="X782" s="211"/>
      <c r="Y782" s="211"/>
      <c r="Z782" s="211"/>
      <c r="AA782" s="211"/>
      <c r="AB782" s="212"/>
      <c r="AD782" s="212"/>
      <c r="AF782" s="475"/>
    </row>
    <row r="783" spans="1:32" x14ac:dyDescent="0.3">
      <c r="A783" s="212"/>
      <c r="B783" s="539"/>
      <c r="D783" s="212"/>
      <c r="F783" s="212"/>
      <c r="G783" s="212"/>
      <c r="J783" s="539"/>
      <c r="S783" s="212"/>
      <c r="U783" s="539"/>
      <c r="V783" s="539"/>
      <c r="W783" s="540"/>
      <c r="X783" s="211"/>
      <c r="Y783" s="211"/>
      <c r="Z783" s="211"/>
      <c r="AA783" s="211"/>
      <c r="AB783" s="212"/>
      <c r="AD783" s="212"/>
      <c r="AF783" s="475"/>
    </row>
    <row r="784" spans="1:32" x14ac:dyDescent="0.3">
      <c r="A784" s="212"/>
      <c r="B784" s="539"/>
      <c r="D784" s="212"/>
      <c r="F784" s="212"/>
      <c r="G784" s="212"/>
      <c r="J784" s="539"/>
      <c r="S784" s="212"/>
      <c r="U784" s="539"/>
      <c r="V784" s="539"/>
      <c r="W784" s="540"/>
      <c r="X784" s="211"/>
      <c r="Y784" s="211"/>
      <c r="Z784" s="211"/>
      <c r="AA784" s="211"/>
      <c r="AB784" s="212"/>
      <c r="AD784" s="212"/>
      <c r="AF784" s="475"/>
    </row>
    <row r="785" spans="1:32" x14ac:dyDescent="0.3">
      <c r="A785" s="212"/>
      <c r="B785" s="539"/>
      <c r="D785" s="212"/>
      <c r="F785" s="212"/>
      <c r="G785" s="212"/>
      <c r="J785" s="539"/>
      <c r="S785" s="212"/>
      <c r="U785" s="539"/>
      <c r="V785" s="539"/>
      <c r="W785" s="540"/>
      <c r="X785" s="211"/>
      <c r="Y785" s="211"/>
      <c r="Z785" s="211"/>
      <c r="AA785" s="211"/>
      <c r="AB785" s="212"/>
      <c r="AD785" s="212"/>
      <c r="AF785" s="475"/>
    </row>
    <row r="786" spans="1:32" x14ac:dyDescent="0.3">
      <c r="A786" s="212"/>
      <c r="B786" s="539"/>
      <c r="D786" s="212"/>
      <c r="F786" s="212"/>
      <c r="G786" s="212"/>
      <c r="J786" s="539"/>
      <c r="S786" s="212"/>
      <c r="U786" s="539"/>
      <c r="V786" s="539"/>
      <c r="W786" s="540"/>
      <c r="X786" s="211"/>
      <c r="Y786" s="211"/>
      <c r="Z786" s="211"/>
      <c r="AA786" s="211"/>
      <c r="AB786" s="212"/>
      <c r="AD786" s="212"/>
      <c r="AF786" s="475"/>
    </row>
    <row r="787" spans="1:32" x14ac:dyDescent="0.3">
      <c r="A787" s="212"/>
      <c r="B787" s="539"/>
      <c r="D787" s="212"/>
      <c r="F787" s="212"/>
      <c r="G787" s="212"/>
      <c r="J787" s="539"/>
      <c r="S787" s="212"/>
      <c r="U787" s="539"/>
      <c r="V787" s="539"/>
      <c r="W787" s="540"/>
      <c r="X787" s="211"/>
      <c r="Y787" s="211"/>
      <c r="Z787" s="211"/>
      <c r="AA787" s="211"/>
      <c r="AB787" s="212"/>
      <c r="AD787" s="212"/>
      <c r="AF787" s="475"/>
    </row>
    <row r="788" spans="1:32" x14ac:dyDescent="0.3">
      <c r="A788" s="212"/>
      <c r="B788" s="539"/>
      <c r="D788" s="212"/>
      <c r="F788" s="212"/>
      <c r="G788" s="212"/>
      <c r="J788" s="539"/>
      <c r="S788" s="212"/>
      <c r="U788" s="539"/>
      <c r="V788" s="539"/>
      <c r="W788" s="540"/>
      <c r="X788" s="211"/>
      <c r="Y788" s="211"/>
      <c r="Z788" s="211"/>
      <c r="AA788" s="211"/>
      <c r="AB788" s="212"/>
      <c r="AD788" s="212"/>
      <c r="AF788" s="475"/>
    </row>
    <row r="789" spans="1:32" x14ac:dyDescent="0.3">
      <c r="A789" s="212"/>
      <c r="B789" s="539"/>
      <c r="D789" s="212"/>
      <c r="F789" s="212"/>
      <c r="G789" s="212"/>
      <c r="J789" s="539"/>
      <c r="S789" s="212"/>
      <c r="U789" s="539"/>
      <c r="V789" s="539"/>
      <c r="W789" s="540"/>
      <c r="X789" s="211"/>
      <c r="Y789" s="211"/>
      <c r="Z789" s="211"/>
      <c r="AA789" s="211"/>
      <c r="AB789" s="212"/>
      <c r="AD789" s="212"/>
      <c r="AF789" s="475"/>
    </row>
    <row r="790" spans="1:32" x14ac:dyDescent="0.3">
      <c r="A790" s="212"/>
      <c r="B790" s="539"/>
      <c r="D790" s="212"/>
      <c r="F790" s="212"/>
      <c r="G790" s="212"/>
      <c r="J790" s="539"/>
      <c r="S790" s="212"/>
      <c r="U790" s="539"/>
      <c r="V790" s="539"/>
      <c r="W790" s="540"/>
      <c r="X790" s="211"/>
      <c r="Y790" s="211"/>
      <c r="Z790" s="211"/>
      <c r="AA790" s="211"/>
      <c r="AB790" s="212"/>
      <c r="AD790" s="212"/>
      <c r="AF790" s="475"/>
    </row>
    <row r="791" spans="1:32" x14ac:dyDescent="0.3">
      <c r="A791" s="212"/>
      <c r="B791" s="539"/>
      <c r="D791" s="212"/>
      <c r="F791" s="212"/>
      <c r="G791" s="212"/>
      <c r="J791" s="539"/>
      <c r="S791" s="212"/>
      <c r="U791" s="539"/>
      <c r="V791" s="539"/>
      <c r="W791" s="540"/>
      <c r="X791" s="211"/>
      <c r="Y791" s="211"/>
      <c r="Z791" s="211"/>
      <c r="AA791" s="211"/>
      <c r="AB791" s="212"/>
      <c r="AD791" s="212"/>
      <c r="AF791" s="475"/>
    </row>
    <row r="792" spans="1:32" x14ac:dyDescent="0.3">
      <c r="A792" s="212"/>
      <c r="B792" s="539"/>
      <c r="D792" s="212"/>
      <c r="F792" s="212"/>
      <c r="G792" s="212"/>
      <c r="J792" s="539"/>
      <c r="S792" s="212"/>
      <c r="U792" s="539"/>
      <c r="V792" s="539"/>
      <c r="W792" s="540"/>
      <c r="X792" s="211"/>
      <c r="Y792" s="211"/>
      <c r="Z792" s="211"/>
      <c r="AA792" s="211"/>
      <c r="AB792" s="212"/>
      <c r="AD792" s="212"/>
      <c r="AF792" s="475"/>
    </row>
    <row r="793" spans="1:32" x14ac:dyDescent="0.3">
      <c r="A793" s="212"/>
      <c r="B793" s="539"/>
      <c r="D793" s="212"/>
      <c r="F793" s="212"/>
      <c r="G793" s="212"/>
      <c r="J793" s="539"/>
      <c r="S793" s="212"/>
      <c r="U793" s="539"/>
      <c r="V793" s="539"/>
      <c r="W793" s="540"/>
      <c r="X793" s="211"/>
      <c r="Y793" s="211"/>
      <c r="Z793" s="211"/>
      <c r="AA793" s="211"/>
      <c r="AB793" s="212"/>
      <c r="AD793" s="212"/>
      <c r="AF793" s="475"/>
    </row>
    <row r="794" spans="1:32" x14ac:dyDescent="0.3">
      <c r="A794" s="212"/>
      <c r="B794" s="539"/>
      <c r="D794" s="212"/>
      <c r="F794" s="212"/>
      <c r="G794" s="212"/>
      <c r="J794" s="539"/>
      <c r="S794" s="212"/>
      <c r="U794" s="539"/>
      <c r="V794" s="539"/>
      <c r="W794" s="540"/>
      <c r="X794" s="211"/>
      <c r="Y794" s="211"/>
      <c r="Z794" s="211"/>
      <c r="AA794" s="211"/>
      <c r="AB794" s="212"/>
      <c r="AD794" s="212"/>
      <c r="AF794" s="475"/>
    </row>
    <row r="795" spans="1:32" x14ac:dyDescent="0.3">
      <c r="A795" s="212"/>
      <c r="B795" s="539"/>
      <c r="D795" s="212"/>
      <c r="F795" s="212"/>
      <c r="G795" s="212"/>
      <c r="J795" s="539"/>
      <c r="S795" s="212"/>
      <c r="U795" s="539"/>
      <c r="V795" s="539"/>
      <c r="W795" s="540"/>
      <c r="X795" s="211"/>
      <c r="Y795" s="211"/>
      <c r="Z795" s="211"/>
      <c r="AA795" s="211"/>
      <c r="AB795" s="212"/>
      <c r="AD795" s="212"/>
      <c r="AF795" s="475"/>
    </row>
    <row r="796" spans="1:32" x14ac:dyDescent="0.3">
      <c r="A796" s="212"/>
      <c r="B796" s="539"/>
      <c r="D796" s="212"/>
      <c r="F796" s="212"/>
      <c r="G796" s="212"/>
      <c r="J796" s="539"/>
      <c r="S796" s="212"/>
      <c r="U796" s="539"/>
      <c r="V796" s="539"/>
      <c r="W796" s="540"/>
      <c r="X796" s="211"/>
      <c r="Y796" s="211"/>
      <c r="Z796" s="211"/>
      <c r="AA796" s="211"/>
      <c r="AB796" s="212"/>
      <c r="AD796" s="212"/>
      <c r="AF796" s="475"/>
    </row>
    <row r="797" spans="1:32" x14ac:dyDescent="0.3">
      <c r="A797" s="212"/>
      <c r="B797" s="539"/>
      <c r="D797" s="212"/>
      <c r="F797" s="212"/>
      <c r="G797" s="212"/>
      <c r="J797" s="539"/>
      <c r="S797" s="212"/>
      <c r="U797" s="539"/>
      <c r="V797" s="539"/>
      <c r="W797" s="540"/>
      <c r="X797" s="211"/>
      <c r="Y797" s="211"/>
      <c r="Z797" s="211"/>
      <c r="AA797" s="211"/>
      <c r="AB797" s="212"/>
      <c r="AD797" s="212"/>
      <c r="AF797" s="475"/>
    </row>
    <row r="798" spans="1:32" x14ac:dyDescent="0.3">
      <c r="A798" s="212"/>
      <c r="B798" s="539"/>
      <c r="D798" s="212"/>
      <c r="F798" s="212"/>
      <c r="G798" s="212"/>
      <c r="J798" s="539"/>
      <c r="S798" s="212"/>
      <c r="U798" s="539"/>
      <c r="V798" s="539"/>
      <c r="W798" s="540"/>
      <c r="X798" s="211"/>
      <c r="Y798" s="211"/>
      <c r="Z798" s="211"/>
      <c r="AA798" s="211"/>
      <c r="AB798" s="212"/>
      <c r="AD798" s="212"/>
      <c r="AF798" s="475"/>
    </row>
    <row r="799" spans="1:32" x14ac:dyDescent="0.3">
      <c r="A799" s="212"/>
      <c r="B799" s="539"/>
      <c r="D799" s="212"/>
      <c r="F799" s="212"/>
      <c r="G799" s="212"/>
      <c r="J799" s="539"/>
      <c r="S799" s="212"/>
      <c r="U799" s="539"/>
      <c r="V799" s="539"/>
      <c r="W799" s="540"/>
      <c r="X799" s="211"/>
      <c r="Y799" s="211"/>
      <c r="Z799" s="211"/>
      <c r="AA799" s="211"/>
      <c r="AB799" s="212"/>
      <c r="AD799" s="212"/>
      <c r="AF799" s="475"/>
    </row>
    <row r="800" spans="1:32" x14ac:dyDescent="0.3">
      <c r="A800" s="212"/>
      <c r="B800" s="539"/>
      <c r="D800" s="212"/>
      <c r="F800" s="212"/>
      <c r="G800" s="212"/>
      <c r="J800" s="539"/>
      <c r="S800" s="212"/>
      <c r="U800" s="539"/>
      <c r="V800" s="539"/>
      <c r="W800" s="540"/>
      <c r="X800" s="211"/>
      <c r="Y800" s="211"/>
      <c r="Z800" s="211"/>
      <c r="AA800" s="211"/>
      <c r="AB800" s="212"/>
      <c r="AD800" s="212"/>
      <c r="AF800" s="475"/>
    </row>
    <row r="801" spans="1:32" x14ac:dyDescent="0.3">
      <c r="A801" s="212"/>
      <c r="B801" s="539"/>
      <c r="D801" s="212"/>
      <c r="F801" s="212"/>
      <c r="G801" s="212"/>
      <c r="J801" s="539"/>
      <c r="S801" s="212"/>
      <c r="U801" s="539"/>
      <c r="V801" s="539"/>
      <c r="W801" s="540"/>
      <c r="X801" s="211"/>
      <c r="Y801" s="211"/>
      <c r="Z801" s="211"/>
      <c r="AA801" s="211"/>
      <c r="AB801" s="212"/>
      <c r="AD801" s="212"/>
      <c r="AF801" s="475"/>
    </row>
    <row r="802" spans="1:32" x14ac:dyDescent="0.3">
      <c r="A802" s="212"/>
      <c r="B802" s="539"/>
      <c r="D802" s="212"/>
      <c r="F802" s="212"/>
      <c r="G802" s="212"/>
      <c r="J802" s="539"/>
      <c r="S802" s="212"/>
      <c r="U802" s="539"/>
      <c r="V802" s="539"/>
      <c r="W802" s="540"/>
      <c r="X802" s="211"/>
      <c r="Y802" s="211"/>
      <c r="Z802" s="211"/>
      <c r="AA802" s="211"/>
      <c r="AB802" s="212"/>
      <c r="AD802" s="212"/>
      <c r="AF802" s="475"/>
    </row>
    <row r="803" spans="1:32" x14ac:dyDescent="0.3">
      <c r="A803" s="212"/>
      <c r="B803" s="539"/>
      <c r="D803" s="212"/>
      <c r="F803" s="212"/>
      <c r="G803" s="212"/>
      <c r="J803" s="539"/>
      <c r="S803" s="212"/>
      <c r="U803" s="539"/>
      <c r="V803" s="539"/>
      <c r="W803" s="540"/>
      <c r="X803" s="211"/>
      <c r="Y803" s="211"/>
      <c r="Z803" s="211"/>
      <c r="AA803" s="211"/>
      <c r="AB803" s="212"/>
      <c r="AD803" s="212"/>
      <c r="AF803" s="475"/>
    </row>
    <row r="804" spans="1:32" x14ac:dyDescent="0.3">
      <c r="A804" s="212"/>
      <c r="B804" s="539"/>
      <c r="D804" s="212"/>
      <c r="F804" s="212"/>
      <c r="G804" s="212"/>
      <c r="J804" s="539"/>
      <c r="S804" s="212"/>
      <c r="U804" s="539"/>
      <c r="V804" s="539"/>
      <c r="W804" s="540"/>
      <c r="X804" s="211"/>
      <c r="Y804" s="211"/>
      <c r="Z804" s="211"/>
      <c r="AA804" s="211"/>
      <c r="AB804" s="212"/>
      <c r="AD804" s="212"/>
      <c r="AF804" s="475"/>
    </row>
    <row r="805" spans="1:32" x14ac:dyDescent="0.3">
      <c r="A805" s="212"/>
      <c r="B805" s="539"/>
      <c r="D805" s="212"/>
      <c r="F805" s="212"/>
      <c r="G805" s="212"/>
      <c r="J805" s="539"/>
      <c r="S805" s="212"/>
      <c r="U805" s="539"/>
      <c r="V805" s="539"/>
      <c r="W805" s="540"/>
      <c r="X805" s="211"/>
      <c r="Y805" s="211"/>
      <c r="Z805" s="211"/>
      <c r="AA805" s="211"/>
      <c r="AB805" s="212"/>
      <c r="AD805" s="212"/>
      <c r="AF805" s="475"/>
    </row>
    <row r="806" spans="1:32" x14ac:dyDescent="0.3">
      <c r="A806" s="212"/>
      <c r="B806" s="539"/>
      <c r="D806" s="212"/>
      <c r="F806" s="212"/>
      <c r="G806" s="212"/>
      <c r="J806" s="539"/>
      <c r="S806" s="212"/>
      <c r="U806" s="539"/>
      <c r="V806" s="539"/>
      <c r="W806" s="540"/>
      <c r="X806" s="211"/>
      <c r="Y806" s="211"/>
      <c r="Z806" s="211"/>
      <c r="AA806" s="211"/>
      <c r="AB806" s="212"/>
      <c r="AD806" s="212"/>
      <c r="AF806" s="475"/>
    </row>
    <row r="807" spans="1:32" x14ac:dyDescent="0.3">
      <c r="A807" s="212"/>
      <c r="B807" s="539"/>
      <c r="D807" s="212"/>
      <c r="F807" s="212"/>
      <c r="G807" s="212"/>
      <c r="J807" s="539"/>
      <c r="S807" s="212"/>
      <c r="U807" s="539"/>
      <c r="V807" s="539"/>
      <c r="W807" s="540"/>
      <c r="X807" s="211"/>
      <c r="Y807" s="211"/>
      <c r="Z807" s="211"/>
      <c r="AA807" s="211"/>
      <c r="AB807" s="212"/>
      <c r="AD807" s="212"/>
      <c r="AF807" s="475"/>
    </row>
    <row r="808" spans="1:32" x14ac:dyDescent="0.3">
      <c r="A808" s="212"/>
      <c r="B808" s="539"/>
      <c r="D808" s="212"/>
      <c r="F808" s="212"/>
      <c r="G808" s="212"/>
      <c r="J808" s="539"/>
      <c r="S808" s="212"/>
      <c r="U808" s="539"/>
      <c r="V808" s="539"/>
      <c r="W808" s="540"/>
      <c r="X808" s="211"/>
      <c r="Y808" s="211"/>
      <c r="Z808" s="211"/>
      <c r="AA808" s="211"/>
      <c r="AB808" s="212"/>
      <c r="AD808" s="212"/>
      <c r="AF808" s="475"/>
    </row>
    <row r="809" spans="1:32" x14ac:dyDescent="0.3">
      <c r="A809" s="212"/>
      <c r="B809" s="539"/>
      <c r="D809" s="212"/>
      <c r="F809" s="212"/>
      <c r="G809" s="212"/>
      <c r="J809" s="539"/>
      <c r="S809" s="212"/>
      <c r="U809" s="539"/>
      <c r="V809" s="539"/>
      <c r="W809" s="540"/>
      <c r="X809" s="211"/>
      <c r="Y809" s="211"/>
      <c r="Z809" s="211"/>
      <c r="AA809" s="211"/>
      <c r="AB809" s="212"/>
      <c r="AD809" s="212"/>
      <c r="AF809" s="475"/>
    </row>
    <row r="810" spans="1:32" x14ac:dyDescent="0.3">
      <c r="A810" s="212"/>
      <c r="B810" s="539"/>
      <c r="D810" s="212"/>
      <c r="F810" s="212"/>
      <c r="G810" s="212"/>
      <c r="J810" s="539"/>
      <c r="S810" s="212"/>
      <c r="U810" s="539"/>
      <c r="V810" s="539"/>
      <c r="W810" s="540"/>
      <c r="X810" s="211"/>
      <c r="Y810" s="211"/>
      <c r="Z810" s="211"/>
      <c r="AA810" s="211"/>
      <c r="AB810" s="212"/>
      <c r="AD810" s="212"/>
      <c r="AF810" s="475"/>
    </row>
    <row r="811" spans="1:32" x14ac:dyDescent="0.3">
      <c r="A811" s="212"/>
      <c r="B811" s="539"/>
      <c r="D811" s="212"/>
      <c r="F811" s="212"/>
      <c r="G811" s="212"/>
      <c r="J811" s="539"/>
      <c r="S811" s="212"/>
      <c r="U811" s="539"/>
      <c r="V811" s="539"/>
      <c r="W811" s="540"/>
      <c r="X811" s="211"/>
      <c r="Y811" s="211"/>
      <c r="Z811" s="211"/>
      <c r="AA811" s="211"/>
      <c r="AB811" s="212"/>
      <c r="AD811" s="212"/>
      <c r="AF811" s="475"/>
    </row>
    <row r="812" spans="1:32" x14ac:dyDescent="0.3">
      <c r="A812" s="212"/>
      <c r="B812" s="539"/>
      <c r="D812" s="212"/>
      <c r="F812" s="212"/>
      <c r="G812" s="212"/>
      <c r="J812" s="539"/>
      <c r="S812" s="212"/>
      <c r="U812" s="539"/>
      <c r="V812" s="539"/>
      <c r="W812" s="540"/>
      <c r="X812" s="211"/>
      <c r="Y812" s="211"/>
      <c r="Z812" s="211"/>
      <c r="AA812" s="211"/>
      <c r="AB812" s="212"/>
      <c r="AD812" s="212"/>
      <c r="AF812" s="475"/>
    </row>
    <row r="813" spans="1:32" x14ac:dyDescent="0.3">
      <c r="A813" s="212"/>
      <c r="B813" s="539"/>
      <c r="D813" s="212"/>
      <c r="F813" s="212"/>
      <c r="G813" s="212"/>
      <c r="J813" s="539"/>
      <c r="S813" s="212"/>
      <c r="U813" s="539"/>
      <c r="V813" s="539"/>
      <c r="W813" s="540"/>
      <c r="X813" s="211"/>
      <c r="Y813" s="211"/>
      <c r="Z813" s="211"/>
      <c r="AA813" s="211"/>
      <c r="AB813" s="212"/>
      <c r="AD813" s="212"/>
      <c r="AF813" s="475"/>
    </row>
    <row r="814" spans="1:32" x14ac:dyDescent="0.3">
      <c r="A814" s="212"/>
      <c r="B814" s="539"/>
      <c r="D814" s="212"/>
      <c r="F814" s="212"/>
      <c r="G814" s="212"/>
      <c r="J814" s="539"/>
      <c r="S814" s="212"/>
      <c r="U814" s="539"/>
      <c r="V814" s="539"/>
      <c r="W814" s="540"/>
      <c r="X814" s="211"/>
      <c r="Y814" s="211"/>
      <c r="Z814" s="211"/>
      <c r="AA814" s="211"/>
      <c r="AB814" s="212"/>
      <c r="AD814" s="212"/>
      <c r="AF814" s="475"/>
    </row>
    <row r="815" spans="1:32" x14ac:dyDescent="0.3">
      <c r="A815" s="212"/>
      <c r="B815" s="539"/>
      <c r="D815" s="212"/>
      <c r="F815" s="212"/>
      <c r="G815" s="212"/>
      <c r="J815" s="539"/>
      <c r="S815" s="212"/>
      <c r="U815" s="539"/>
      <c r="V815" s="539"/>
      <c r="W815" s="540"/>
      <c r="X815" s="211"/>
      <c r="Y815" s="211"/>
      <c r="Z815" s="211"/>
      <c r="AA815" s="211"/>
      <c r="AB815" s="212"/>
      <c r="AD815" s="212"/>
      <c r="AF815" s="475"/>
    </row>
    <row r="816" spans="1:32" x14ac:dyDescent="0.3">
      <c r="A816" s="212"/>
      <c r="B816" s="539"/>
      <c r="D816" s="212"/>
      <c r="F816" s="212"/>
      <c r="G816" s="212"/>
      <c r="J816" s="539"/>
      <c r="S816" s="212"/>
      <c r="U816" s="539"/>
      <c r="V816" s="539"/>
      <c r="W816" s="540"/>
      <c r="X816" s="211"/>
      <c r="Y816" s="211"/>
      <c r="Z816" s="211"/>
      <c r="AA816" s="211"/>
      <c r="AB816" s="212"/>
      <c r="AD816" s="212"/>
      <c r="AF816" s="475"/>
    </row>
    <row r="817" spans="1:32" x14ac:dyDescent="0.3">
      <c r="A817" s="212"/>
      <c r="B817" s="539"/>
      <c r="D817" s="212"/>
      <c r="F817" s="212"/>
      <c r="G817" s="212"/>
      <c r="J817" s="539"/>
      <c r="S817" s="212"/>
      <c r="U817" s="539"/>
      <c r="V817" s="539"/>
      <c r="W817" s="540"/>
      <c r="X817" s="211"/>
      <c r="Y817" s="211"/>
      <c r="Z817" s="211"/>
      <c r="AA817" s="211"/>
      <c r="AB817" s="212"/>
      <c r="AD817" s="212"/>
      <c r="AF817" s="475"/>
    </row>
    <row r="818" spans="1:32" x14ac:dyDescent="0.3">
      <c r="A818" s="212"/>
      <c r="B818" s="539"/>
      <c r="D818" s="212"/>
      <c r="F818" s="212"/>
      <c r="G818" s="212"/>
      <c r="J818" s="539"/>
      <c r="S818" s="212"/>
      <c r="U818" s="539"/>
      <c r="V818" s="539"/>
      <c r="W818" s="540"/>
      <c r="X818" s="211"/>
      <c r="Y818" s="211"/>
      <c r="Z818" s="211"/>
      <c r="AA818" s="211"/>
      <c r="AB818" s="212"/>
      <c r="AD818" s="212"/>
      <c r="AF818" s="475"/>
    </row>
    <row r="819" spans="1:32" x14ac:dyDescent="0.3">
      <c r="A819" s="212"/>
      <c r="B819" s="539"/>
      <c r="D819" s="212"/>
      <c r="F819" s="212"/>
      <c r="G819" s="212"/>
      <c r="J819" s="539"/>
      <c r="S819" s="212"/>
      <c r="U819" s="539"/>
      <c r="V819" s="539"/>
      <c r="W819" s="540"/>
      <c r="X819" s="211"/>
      <c r="Y819" s="211"/>
      <c r="Z819" s="211"/>
      <c r="AA819" s="211"/>
      <c r="AB819" s="212"/>
      <c r="AD819" s="212"/>
      <c r="AF819" s="475"/>
    </row>
    <row r="820" spans="1:32" x14ac:dyDescent="0.3">
      <c r="A820" s="212"/>
      <c r="B820" s="539"/>
      <c r="D820" s="212"/>
      <c r="F820" s="212"/>
      <c r="G820" s="212"/>
      <c r="J820" s="539"/>
      <c r="S820" s="212"/>
      <c r="U820" s="539"/>
      <c r="V820" s="539"/>
      <c r="W820" s="540"/>
      <c r="X820" s="211"/>
      <c r="Y820" s="211"/>
      <c r="Z820" s="211"/>
      <c r="AA820" s="211"/>
      <c r="AB820" s="212"/>
      <c r="AD820" s="212"/>
      <c r="AF820" s="475"/>
    </row>
    <row r="821" spans="1:32" x14ac:dyDescent="0.3">
      <c r="A821" s="212"/>
      <c r="B821" s="539"/>
      <c r="D821" s="212"/>
      <c r="F821" s="212"/>
      <c r="G821" s="212"/>
      <c r="J821" s="539"/>
      <c r="S821" s="212"/>
      <c r="U821" s="539"/>
      <c r="V821" s="539"/>
      <c r="W821" s="540"/>
      <c r="X821" s="211"/>
      <c r="Y821" s="211"/>
      <c r="Z821" s="211"/>
      <c r="AA821" s="211"/>
      <c r="AB821" s="212"/>
      <c r="AD821" s="212"/>
      <c r="AF821" s="475"/>
    </row>
    <row r="822" spans="1:32" x14ac:dyDescent="0.3">
      <c r="A822" s="212"/>
      <c r="B822" s="539"/>
      <c r="D822" s="212"/>
      <c r="F822" s="212"/>
      <c r="G822" s="212"/>
      <c r="J822" s="539"/>
      <c r="S822" s="212"/>
      <c r="U822" s="539"/>
      <c r="V822" s="539"/>
      <c r="W822" s="540"/>
      <c r="X822" s="211"/>
      <c r="Y822" s="211"/>
      <c r="Z822" s="211"/>
      <c r="AA822" s="211"/>
      <c r="AB822" s="212"/>
      <c r="AD822" s="212"/>
      <c r="AF822" s="475"/>
    </row>
    <row r="823" spans="1:32" x14ac:dyDescent="0.3">
      <c r="A823" s="212"/>
      <c r="B823" s="539"/>
      <c r="D823" s="212"/>
      <c r="F823" s="212"/>
      <c r="G823" s="212"/>
      <c r="J823" s="539"/>
      <c r="S823" s="212"/>
      <c r="U823" s="539"/>
      <c r="V823" s="539"/>
      <c r="W823" s="540"/>
      <c r="X823" s="211"/>
      <c r="Y823" s="211"/>
      <c r="Z823" s="211"/>
      <c r="AA823" s="211"/>
      <c r="AB823" s="212"/>
      <c r="AD823" s="212"/>
      <c r="AF823" s="475"/>
    </row>
    <row r="824" spans="1:32" x14ac:dyDescent="0.3">
      <c r="A824" s="212"/>
      <c r="B824" s="539"/>
      <c r="D824" s="212"/>
      <c r="F824" s="212"/>
      <c r="G824" s="212"/>
      <c r="J824" s="539"/>
      <c r="S824" s="212"/>
      <c r="U824" s="539"/>
      <c r="V824" s="539"/>
      <c r="W824" s="540"/>
      <c r="X824" s="211"/>
      <c r="Y824" s="211"/>
      <c r="Z824" s="211"/>
      <c r="AA824" s="211"/>
      <c r="AB824" s="212"/>
      <c r="AD824" s="212"/>
      <c r="AF824" s="475"/>
    </row>
    <row r="825" spans="1:32" x14ac:dyDescent="0.3">
      <c r="A825" s="212"/>
      <c r="B825" s="539"/>
      <c r="D825" s="212"/>
      <c r="F825" s="212"/>
      <c r="G825" s="212"/>
      <c r="J825" s="539"/>
      <c r="S825" s="212"/>
      <c r="U825" s="539"/>
      <c r="V825" s="539"/>
      <c r="W825" s="540"/>
      <c r="X825" s="211"/>
      <c r="Y825" s="211"/>
      <c r="Z825" s="211"/>
      <c r="AA825" s="211"/>
      <c r="AB825" s="212"/>
      <c r="AD825" s="212"/>
      <c r="AF825" s="475"/>
    </row>
    <row r="826" spans="1:32" x14ac:dyDescent="0.3">
      <c r="A826" s="212"/>
      <c r="B826" s="539"/>
      <c r="D826" s="212"/>
      <c r="F826" s="212"/>
      <c r="G826" s="212"/>
      <c r="J826" s="539"/>
      <c r="S826" s="212"/>
      <c r="U826" s="539"/>
      <c r="V826" s="539"/>
      <c r="W826" s="540"/>
      <c r="X826" s="211"/>
      <c r="Y826" s="211"/>
      <c r="Z826" s="211"/>
      <c r="AA826" s="211"/>
      <c r="AB826" s="212"/>
      <c r="AD826" s="212"/>
      <c r="AF826" s="475"/>
    </row>
    <row r="827" spans="1:32" x14ac:dyDescent="0.3">
      <c r="A827" s="212"/>
      <c r="B827" s="539"/>
      <c r="D827" s="212"/>
      <c r="F827" s="212"/>
      <c r="G827" s="212"/>
      <c r="J827" s="539"/>
      <c r="S827" s="212"/>
      <c r="U827" s="539"/>
      <c r="V827" s="539"/>
      <c r="W827" s="540"/>
      <c r="X827" s="211"/>
      <c r="Y827" s="211"/>
      <c r="Z827" s="211"/>
      <c r="AA827" s="211"/>
      <c r="AB827" s="212"/>
      <c r="AD827" s="212"/>
      <c r="AF827" s="475"/>
    </row>
    <row r="828" spans="1:32" x14ac:dyDescent="0.3">
      <c r="A828" s="212"/>
      <c r="B828" s="539"/>
      <c r="D828" s="212"/>
      <c r="F828" s="212"/>
      <c r="G828" s="212"/>
      <c r="J828" s="539"/>
      <c r="S828" s="212"/>
      <c r="U828" s="539"/>
      <c r="V828" s="539"/>
      <c r="W828" s="540"/>
      <c r="X828" s="211"/>
      <c r="Y828" s="211"/>
      <c r="Z828" s="211"/>
      <c r="AA828" s="211"/>
      <c r="AB828" s="212"/>
      <c r="AD828" s="212"/>
      <c r="AF828" s="475"/>
    </row>
    <row r="829" spans="1:32" x14ac:dyDescent="0.3">
      <c r="A829" s="212"/>
      <c r="B829" s="539"/>
      <c r="D829" s="212"/>
      <c r="F829" s="212"/>
      <c r="G829" s="212"/>
      <c r="J829" s="539"/>
      <c r="S829" s="212"/>
      <c r="U829" s="539"/>
      <c r="V829" s="539"/>
      <c r="W829" s="540"/>
      <c r="X829" s="211"/>
      <c r="Y829" s="211"/>
      <c r="Z829" s="211"/>
      <c r="AA829" s="211"/>
      <c r="AB829" s="212"/>
      <c r="AD829" s="212"/>
      <c r="AF829" s="475"/>
    </row>
    <row r="830" spans="1:32" x14ac:dyDescent="0.3">
      <c r="A830" s="212"/>
      <c r="B830" s="539"/>
      <c r="D830" s="212"/>
      <c r="F830" s="212"/>
      <c r="G830" s="212"/>
      <c r="J830" s="539"/>
      <c r="S830" s="212"/>
      <c r="U830" s="539"/>
      <c r="V830" s="539"/>
      <c r="W830" s="540"/>
      <c r="X830" s="211"/>
      <c r="Y830" s="211"/>
      <c r="Z830" s="211"/>
      <c r="AA830" s="211"/>
      <c r="AB830" s="212"/>
      <c r="AD830" s="212"/>
      <c r="AF830" s="475"/>
    </row>
    <row r="831" spans="1:32" x14ac:dyDescent="0.3">
      <c r="A831" s="212"/>
      <c r="B831" s="539"/>
      <c r="D831" s="212"/>
      <c r="F831" s="212"/>
      <c r="G831" s="212"/>
      <c r="J831" s="539"/>
      <c r="S831" s="212"/>
      <c r="U831" s="539"/>
      <c r="V831" s="539"/>
      <c r="W831" s="540"/>
      <c r="X831" s="211"/>
      <c r="Y831" s="211"/>
      <c r="Z831" s="211"/>
      <c r="AA831" s="211"/>
      <c r="AB831" s="212"/>
      <c r="AD831" s="212"/>
      <c r="AF831" s="475"/>
    </row>
    <row r="832" spans="1:32" x14ac:dyDescent="0.3">
      <c r="A832" s="212"/>
      <c r="B832" s="539"/>
      <c r="D832" s="212"/>
      <c r="F832" s="212"/>
      <c r="G832" s="212"/>
      <c r="J832" s="539"/>
      <c r="S832" s="212"/>
      <c r="U832" s="539"/>
      <c r="V832" s="539"/>
      <c r="W832" s="540"/>
      <c r="X832" s="211"/>
      <c r="Y832" s="211"/>
      <c r="Z832" s="211"/>
      <c r="AA832" s="211"/>
      <c r="AB832" s="212"/>
      <c r="AD832" s="212"/>
      <c r="AF832" s="475"/>
    </row>
    <row r="833" spans="1:32" x14ac:dyDescent="0.3">
      <c r="A833" s="212"/>
      <c r="B833" s="539"/>
      <c r="D833" s="212"/>
      <c r="F833" s="212"/>
      <c r="G833" s="212"/>
      <c r="J833" s="539"/>
      <c r="S833" s="212"/>
      <c r="U833" s="539"/>
      <c r="V833" s="539"/>
      <c r="W833" s="540"/>
      <c r="X833" s="211"/>
      <c r="Y833" s="211"/>
      <c r="Z833" s="211"/>
      <c r="AA833" s="211"/>
      <c r="AB833" s="212"/>
      <c r="AD833" s="212"/>
      <c r="AF833" s="475"/>
    </row>
    <row r="834" spans="1:32" x14ac:dyDescent="0.3">
      <c r="A834" s="212"/>
      <c r="B834" s="539"/>
      <c r="D834" s="212"/>
      <c r="F834" s="212"/>
      <c r="G834" s="212"/>
      <c r="J834" s="539"/>
      <c r="S834" s="212"/>
      <c r="U834" s="539"/>
      <c r="V834" s="539"/>
      <c r="W834" s="540"/>
      <c r="X834" s="211"/>
      <c r="Y834" s="211"/>
      <c r="Z834" s="211"/>
      <c r="AA834" s="211"/>
      <c r="AB834" s="212"/>
      <c r="AD834" s="212"/>
      <c r="AF834" s="475"/>
    </row>
    <row r="835" spans="1:32" x14ac:dyDescent="0.3">
      <c r="A835" s="212"/>
      <c r="B835" s="539"/>
      <c r="D835" s="212"/>
      <c r="F835" s="212"/>
      <c r="G835" s="212"/>
      <c r="J835" s="539"/>
      <c r="S835" s="212"/>
      <c r="U835" s="539"/>
      <c r="V835" s="539"/>
      <c r="W835" s="540"/>
      <c r="X835" s="211"/>
      <c r="Y835" s="211"/>
      <c r="Z835" s="211"/>
      <c r="AA835" s="211"/>
      <c r="AB835" s="212"/>
      <c r="AD835" s="212"/>
      <c r="AF835" s="475"/>
    </row>
    <row r="836" spans="1:32" x14ac:dyDescent="0.3">
      <c r="A836" s="212"/>
      <c r="B836" s="539"/>
      <c r="D836" s="212"/>
      <c r="F836" s="212"/>
      <c r="G836" s="212"/>
      <c r="J836" s="539"/>
      <c r="S836" s="212"/>
      <c r="U836" s="539"/>
      <c r="V836" s="539"/>
      <c r="W836" s="540"/>
      <c r="X836" s="211"/>
      <c r="Y836" s="211"/>
      <c r="Z836" s="211"/>
      <c r="AA836" s="211"/>
      <c r="AB836" s="212"/>
      <c r="AD836" s="212"/>
      <c r="AF836" s="475"/>
    </row>
    <row r="837" spans="1:32" x14ac:dyDescent="0.3">
      <c r="A837" s="212"/>
      <c r="B837" s="539"/>
      <c r="D837" s="212"/>
      <c r="F837" s="212"/>
      <c r="G837" s="212"/>
      <c r="J837" s="539"/>
      <c r="S837" s="212"/>
      <c r="U837" s="539"/>
      <c r="V837" s="539"/>
      <c r="W837" s="540"/>
      <c r="X837" s="211"/>
      <c r="Y837" s="211"/>
      <c r="Z837" s="211"/>
      <c r="AA837" s="211"/>
      <c r="AB837" s="212"/>
      <c r="AD837" s="212"/>
      <c r="AF837" s="475"/>
    </row>
    <row r="838" spans="1:32" x14ac:dyDescent="0.3">
      <c r="A838" s="212"/>
      <c r="B838" s="539"/>
      <c r="D838" s="212"/>
      <c r="F838" s="212"/>
      <c r="G838" s="212"/>
      <c r="J838" s="539"/>
      <c r="S838" s="212"/>
      <c r="U838" s="539"/>
      <c r="V838" s="539"/>
      <c r="W838" s="540"/>
      <c r="X838" s="211"/>
      <c r="Y838" s="211"/>
      <c r="Z838" s="211"/>
      <c r="AA838" s="211"/>
      <c r="AB838" s="212"/>
      <c r="AD838" s="212"/>
      <c r="AF838" s="475"/>
    </row>
    <row r="839" spans="1:32" x14ac:dyDescent="0.3">
      <c r="A839" s="212"/>
      <c r="B839" s="539"/>
      <c r="D839" s="212"/>
      <c r="F839" s="212"/>
      <c r="G839" s="212"/>
      <c r="J839" s="539"/>
      <c r="S839" s="212"/>
      <c r="U839" s="539"/>
      <c r="V839" s="539"/>
      <c r="W839" s="540"/>
      <c r="X839" s="211"/>
      <c r="Y839" s="211"/>
      <c r="Z839" s="211"/>
      <c r="AA839" s="211"/>
      <c r="AB839" s="212"/>
      <c r="AD839" s="212"/>
      <c r="AF839" s="475"/>
    </row>
    <row r="840" spans="1:32" x14ac:dyDescent="0.3">
      <c r="A840" s="212"/>
      <c r="B840" s="539"/>
      <c r="D840" s="212"/>
      <c r="F840" s="212"/>
      <c r="G840" s="212"/>
      <c r="J840" s="539"/>
      <c r="S840" s="212"/>
      <c r="U840" s="539"/>
      <c r="V840" s="539"/>
      <c r="W840" s="540"/>
      <c r="X840" s="211"/>
      <c r="Y840" s="211"/>
      <c r="Z840" s="211"/>
      <c r="AA840" s="211"/>
      <c r="AB840" s="212"/>
      <c r="AD840" s="212"/>
      <c r="AF840" s="475"/>
    </row>
    <row r="841" spans="1:32" x14ac:dyDescent="0.3">
      <c r="A841" s="212"/>
      <c r="B841" s="539"/>
      <c r="D841" s="212"/>
      <c r="F841" s="212"/>
      <c r="G841" s="212"/>
      <c r="J841" s="539"/>
      <c r="S841" s="212"/>
      <c r="U841" s="539"/>
      <c r="V841" s="539"/>
      <c r="W841" s="540"/>
      <c r="X841" s="211"/>
      <c r="Y841" s="211"/>
      <c r="Z841" s="211"/>
      <c r="AA841" s="211"/>
      <c r="AB841" s="212"/>
      <c r="AD841" s="212"/>
      <c r="AF841" s="475"/>
    </row>
    <row r="842" spans="1:32" x14ac:dyDescent="0.3">
      <c r="A842" s="212"/>
      <c r="B842" s="539"/>
      <c r="D842" s="212"/>
      <c r="F842" s="212"/>
      <c r="G842" s="212"/>
      <c r="J842" s="539"/>
      <c r="S842" s="212"/>
      <c r="U842" s="539"/>
      <c r="V842" s="539"/>
      <c r="W842" s="540"/>
      <c r="X842" s="211"/>
      <c r="Y842" s="211"/>
      <c r="Z842" s="211"/>
      <c r="AA842" s="211"/>
      <c r="AB842" s="212"/>
      <c r="AD842" s="212"/>
      <c r="AF842" s="475"/>
    </row>
    <row r="843" spans="1:32" x14ac:dyDescent="0.3">
      <c r="A843" s="212"/>
      <c r="B843" s="539"/>
      <c r="D843" s="212"/>
      <c r="F843" s="212"/>
      <c r="G843" s="212"/>
      <c r="J843" s="539"/>
      <c r="S843" s="212"/>
      <c r="U843" s="539"/>
      <c r="V843" s="539"/>
      <c r="W843" s="540"/>
      <c r="X843" s="211"/>
      <c r="Y843" s="211"/>
      <c r="Z843" s="211"/>
      <c r="AA843" s="211"/>
      <c r="AB843" s="212"/>
      <c r="AD843" s="212"/>
      <c r="AF843" s="475"/>
    </row>
    <row r="844" spans="1:32" x14ac:dyDescent="0.3">
      <c r="A844" s="212"/>
      <c r="B844" s="539"/>
      <c r="D844" s="212"/>
      <c r="F844" s="212"/>
      <c r="G844" s="212"/>
      <c r="J844" s="539"/>
      <c r="S844" s="212"/>
      <c r="U844" s="539"/>
      <c r="V844" s="539"/>
      <c r="W844" s="540"/>
      <c r="X844" s="211"/>
      <c r="Y844" s="211"/>
      <c r="Z844" s="211"/>
      <c r="AA844" s="211"/>
      <c r="AB844" s="212"/>
      <c r="AD844" s="212"/>
      <c r="AF844" s="475"/>
    </row>
    <row r="845" spans="1:32" x14ac:dyDescent="0.3">
      <c r="A845" s="212"/>
      <c r="B845" s="539"/>
      <c r="D845" s="212"/>
      <c r="F845" s="212"/>
      <c r="G845" s="212"/>
      <c r="J845" s="539"/>
      <c r="S845" s="212"/>
      <c r="U845" s="539"/>
      <c r="V845" s="539"/>
      <c r="W845" s="540"/>
      <c r="X845" s="211"/>
      <c r="Y845" s="211"/>
      <c r="Z845" s="211"/>
      <c r="AA845" s="211"/>
      <c r="AB845" s="212"/>
      <c r="AD845" s="212"/>
      <c r="AF845" s="475"/>
    </row>
    <row r="846" spans="1:32" x14ac:dyDescent="0.3">
      <c r="A846" s="212"/>
      <c r="B846" s="539"/>
      <c r="D846" s="212"/>
      <c r="F846" s="212"/>
      <c r="G846" s="212"/>
      <c r="J846" s="539"/>
      <c r="S846" s="212"/>
      <c r="U846" s="539"/>
      <c r="V846" s="539"/>
      <c r="W846" s="540"/>
      <c r="X846" s="211"/>
      <c r="Y846" s="211"/>
      <c r="Z846" s="211"/>
      <c r="AA846" s="211"/>
      <c r="AB846" s="212"/>
      <c r="AD846" s="212"/>
      <c r="AF846" s="475"/>
    </row>
    <row r="847" spans="1:32" x14ac:dyDescent="0.3">
      <c r="A847" s="212"/>
      <c r="B847" s="539"/>
      <c r="D847" s="212"/>
      <c r="F847" s="212"/>
      <c r="G847" s="212"/>
      <c r="J847" s="539"/>
      <c r="S847" s="212"/>
      <c r="U847" s="539"/>
      <c r="V847" s="539"/>
      <c r="W847" s="540"/>
      <c r="X847" s="211"/>
      <c r="Y847" s="211"/>
      <c r="Z847" s="211"/>
      <c r="AA847" s="211"/>
      <c r="AB847" s="212"/>
      <c r="AD847" s="212"/>
      <c r="AF847" s="475"/>
    </row>
    <row r="848" spans="1:32" x14ac:dyDescent="0.3">
      <c r="A848" s="212"/>
      <c r="B848" s="539"/>
      <c r="D848" s="212"/>
      <c r="F848" s="212"/>
      <c r="G848" s="212"/>
      <c r="J848" s="539"/>
      <c r="S848" s="212"/>
      <c r="U848" s="539"/>
      <c r="V848" s="539"/>
      <c r="W848" s="540"/>
      <c r="X848" s="211"/>
      <c r="Y848" s="211"/>
      <c r="Z848" s="211"/>
      <c r="AA848" s="211"/>
      <c r="AB848" s="212"/>
      <c r="AD848" s="212"/>
      <c r="AF848" s="475"/>
    </row>
    <row r="849" spans="1:32" x14ac:dyDescent="0.3">
      <c r="A849" s="212"/>
      <c r="B849" s="539"/>
      <c r="D849" s="212"/>
      <c r="F849" s="212"/>
      <c r="G849" s="212"/>
      <c r="J849" s="539"/>
      <c r="S849" s="212"/>
      <c r="U849" s="539"/>
      <c r="V849" s="539"/>
      <c r="W849" s="540"/>
      <c r="X849" s="211"/>
      <c r="Y849" s="211"/>
      <c r="Z849" s="211"/>
      <c r="AA849" s="211"/>
      <c r="AB849" s="212"/>
      <c r="AD849" s="212"/>
      <c r="AF849" s="475"/>
    </row>
    <row r="850" spans="1:32" x14ac:dyDescent="0.3">
      <c r="A850" s="212"/>
      <c r="B850" s="539"/>
      <c r="D850" s="212"/>
      <c r="F850" s="212"/>
      <c r="G850" s="212"/>
      <c r="J850" s="539"/>
      <c r="S850" s="212"/>
      <c r="U850" s="539"/>
      <c r="V850" s="539"/>
      <c r="W850" s="540"/>
      <c r="X850" s="211"/>
      <c r="Y850" s="211"/>
      <c r="Z850" s="211"/>
      <c r="AA850" s="211"/>
      <c r="AB850" s="212"/>
      <c r="AD850" s="212"/>
      <c r="AF850" s="475"/>
    </row>
    <row r="851" spans="1:32" x14ac:dyDescent="0.3">
      <c r="A851" s="212"/>
      <c r="B851" s="539"/>
      <c r="D851" s="212"/>
      <c r="F851" s="212"/>
      <c r="G851" s="212"/>
      <c r="J851" s="539"/>
      <c r="S851" s="212"/>
      <c r="U851" s="539"/>
      <c r="V851" s="539"/>
      <c r="W851" s="540"/>
      <c r="X851" s="211"/>
      <c r="Y851" s="211"/>
      <c r="Z851" s="211"/>
      <c r="AA851" s="211"/>
      <c r="AB851" s="212"/>
      <c r="AD851" s="212"/>
      <c r="AF851" s="475"/>
    </row>
    <row r="852" spans="1:32" x14ac:dyDescent="0.3">
      <c r="A852" s="212"/>
      <c r="B852" s="539"/>
      <c r="D852" s="212"/>
      <c r="F852" s="212"/>
      <c r="G852" s="212"/>
      <c r="J852" s="539"/>
      <c r="S852" s="212"/>
      <c r="U852" s="539"/>
      <c r="V852" s="539"/>
      <c r="W852" s="540"/>
      <c r="X852" s="211"/>
      <c r="Y852" s="211"/>
      <c r="Z852" s="211"/>
      <c r="AA852" s="211"/>
      <c r="AB852" s="212"/>
      <c r="AD852" s="212"/>
      <c r="AF852" s="475"/>
    </row>
    <row r="853" spans="1:32" x14ac:dyDescent="0.3">
      <c r="A853" s="212"/>
      <c r="B853" s="539"/>
      <c r="D853" s="212"/>
      <c r="F853" s="212"/>
      <c r="G853" s="212"/>
      <c r="J853" s="539"/>
      <c r="S853" s="212"/>
      <c r="U853" s="539"/>
      <c r="V853" s="539"/>
      <c r="W853" s="540"/>
      <c r="X853" s="211"/>
      <c r="Y853" s="211"/>
      <c r="Z853" s="211"/>
      <c r="AA853" s="211"/>
      <c r="AB853" s="212"/>
      <c r="AD853" s="212"/>
      <c r="AF853" s="475"/>
    </row>
    <row r="854" spans="1:32" x14ac:dyDescent="0.3">
      <c r="A854" s="212"/>
      <c r="B854" s="539"/>
      <c r="D854" s="212"/>
      <c r="F854" s="212"/>
      <c r="G854" s="212"/>
      <c r="J854" s="539"/>
      <c r="S854" s="212"/>
      <c r="U854" s="539"/>
      <c r="V854" s="539"/>
      <c r="W854" s="540"/>
      <c r="X854" s="211"/>
      <c r="Y854" s="211"/>
      <c r="Z854" s="211"/>
      <c r="AA854" s="211"/>
      <c r="AB854" s="212"/>
      <c r="AD854" s="212"/>
      <c r="AF854" s="475"/>
    </row>
    <row r="855" spans="1:32" x14ac:dyDescent="0.3">
      <c r="A855" s="212"/>
      <c r="B855" s="539"/>
      <c r="D855" s="212"/>
      <c r="F855" s="212"/>
      <c r="G855" s="212"/>
      <c r="J855" s="539"/>
      <c r="S855" s="212"/>
      <c r="U855" s="539"/>
      <c r="V855" s="539"/>
      <c r="W855" s="540"/>
      <c r="X855" s="211"/>
      <c r="Y855" s="211"/>
      <c r="Z855" s="211"/>
      <c r="AA855" s="211"/>
      <c r="AB855" s="212"/>
      <c r="AD855" s="212"/>
      <c r="AF855" s="475"/>
    </row>
    <row r="856" spans="1:32" x14ac:dyDescent="0.3">
      <c r="A856" s="212"/>
      <c r="B856" s="539"/>
      <c r="D856" s="212"/>
      <c r="F856" s="212"/>
      <c r="G856" s="212"/>
      <c r="J856" s="539"/>
      <c r="S856" s="212"/>
      <c r="U856" s="539"/>
      <c r="V856" s="539"/>
      <c r="W856" s="540"/>
      <c r="X856" s="211"/>
      <c r="Y856" s="211"/>
      <c r="Z856" s="211"/>
      <c r="AA856" s="211"/>
      <c r="AB856" s="212"/>
      <c r="AD856" s="212"/>
      <c r="AF856" s="475"/>
    </row>
    <row r="857" spans="1:32" x14ac:dyDescent="0.3">
      <c r="A857" s="212"/>
      <c r="B857" s="539"/>
      <c r="D857" s="212"/>
      <c r="F857" s="212"/>
      <c r="G857" s="212"/>
      <c r="J857" s="539"/>
      <c r="S857" s="212"/>
      <c r="U857" s="539"/>
      <c r="V857" s="539"/>
      <c r="W857" s="540"/>
      <c r="X857" s="211"/>
      <c r="Y857" s="211"/>
      <c r="Z857" s="211"/>
      <c r="AA857" s="211"/>
      <c r="AB857" s="212"/>
      <c r="AD857" s="212"/>
      <c r="AF857" s="475"/>
    </row>
    <row r="858" spans="1:32" x14ac:dyDescent="0.3">
      <c r="A858" s="212"/>
      <c r="B858" s="539"/>
      <c r="D858" s="212"/>
      <c r="F858" s="212"/>
      <c r="G858" s="212"/>
      <c r="J858" s="539"/>
      <c r="S858" s="212"/>
      <c r="U858" s="539"/>
      <c r="V858" s="539"/>
      <c r="W858" s="540"/>
      <c r="X858" s="211"/>
      <c r="Y858" s="211"/>
      <c r="Z858" s="211"/>
      <c r="AA858" s="211"/>
      <c r="AB858" s="212"/>
      <c r="AD858" s="212"/>
      <c r="AF858" s="475"/>
    </row>
    <row r="859" spans="1:32" x14ac:dyDescent="0.3">
      <c r="A859" s="212"/>
      <c r="B859" s="539"/>
      <c r="D859" s="212"/>
      <c r="F859" s="212"/>
      <c r="G859" s="212"/>
      <c r="J859" s="539"/>
      <c r="S859" s="212"/>
      <c r="U859" s="539"/>
      <c r="V859" s="539"/>
      <c r="W859" s="540"/>
      <c r="X859" s="211"/>
      <c r="Y859" s="211"/>
      <c r="Z859" s="211"/>
      <c r="AA859" s="211"/>
      <c r="AB859" s="212"/>
      <c r="AD859" s="212"/>
      <c r="AF859" s="475"/>
    </row>
    <row r="860" spans="1:32" x14ac:dyDescent="0.3">
      <c r="A860" s="212"/>
      <c r="B860" s="539"/>
      <c r="D860" s="212"/>
      <c r="F860" s="212"/>
      <c r="G860" s="212"/>
      <c r="J860" s="539"/>
      <c r="S860" s="212"/>
      <c r="U860" s="539"/>
      <c r="V860" s="539"/>
      <c r="W860" s="540"/>
      <c r="X860" s="211"/>
      <c r="Y860" s="211"/>
      <c r="Z860" s="211"/>
      <c r="AA860" s="211"/>
      <c r="AB860" s="212"/>
      <c r="AD860" s="212"/>
      <c r="AF860" s="475"/>
    </row>
    <row r="861" spans="1:32" x14ac:dyDescent="0.3">
      <c r="A861" s="212"/>
      <c r="B861" s="539"/>
      <c r="D861" s="212"/>
      <c r="F861" s="212"/>
      <c r="G861" s="212"/>
      <c r="J861" s="539"/>
      <c r="S861" s="212"/>
      <c r="U861" s="539"/>
      <c r="V861" s="539"/>
      <c r="W861" s="540"/>
      <c r="X861" s="211"/>
      <c r="Y861" s="211"/>
      <c r="Z861" s="211"/>
      <c r="AA861" s="211"/>
      <c r="AB861" s="212"/>
      <c r="AD861" s="212"/>
      <c r="AF861" s="475"/>
    </row>
    <row r="862" spans="1:32" x14ac:dyDescent="0.3">
      <c r="A862" s="212"/>
      <c r="B862" s="539"/>
      <c r="D862" s="212"/>
      <c r="F862" s="212"/>
      <c r="G862" s="212"/>
      <c r="J862" s="539"/>
      <c r="S862" s="212"/>
      <c r="U862" s="539"/>
      <c r="V862" s="539"/>
      <c r="W862" s="540"/>
      <c r="X862" s="211"/>
      <c r="Y862" s="211"/>
      <c r="Z862" s="211"/>
      <c r="AA862" s="211"/>
      <c r="AB862" s="212"/>
      <c r="AD862" s="212"/>
      <c r="AF862" s="475"/>
    </row>
    <row r="863" spans="1:32" x14ac:dyDescent="0.3">
      <c r="A863" s="212"/>
      <c r="B863" s="539"/>
      <c r="D863" s="212"/>
      <c r="F863" s="212"/>
      <c r="G863" s="212"/>
      <c r="J863" s="539"/>
      <c r="S863" s="212"/>
      <c r="U863" s="539"/>
      <c r="V863" s="539"/>
      <c r="W863" s="540"/>
      <c r="X863" s="211"/>
      <c r="Y863" s="211"/>
      <c r="Z863" s="211"/>
      <c r="AA863" s="211"/>
      <c r="AB863" s="212"/>
      <c r="AD863" s="212"/>
      <c r="AF863" s="475"/>
    </row>
    <row r="864" spans="1:32" x14ac:dyDescent="0.3">
      <c r="A864" s="212"/>
      <c r="B864" s="539"/>
      <c r="D864" s="212"/>
      <c r="F864" s="212"/>
      <c r="G864" s="212"/>
      <c r="J864" s="539"/>
      <c r="S864" s="212"/>
      <c r="U864" s="539"/>
      <c r="V864" s="539"/>
      <c r="W864" s="540"/>
      <c r="X864" s="211"/>
      <c r="Y864" s="211"/>
      <c r="Z864" s="211"/>
      <c r="AA864" s="211"/>
      <c r="AB864" s="212"/>
      <c r="AD864" s="212"/>
      <c r="AF864" s="475"/>
    </row>
    <row r="865" spans="1:32" x14ac:dyDescent="0.3">
      <c r="A865" s="212"/>
      <c r="B865" s="539"/>
      <c r="D865" s="212"/>
      <c r="F865" s="212"/>
      <c r="G865" s="212"/>
      <c r="J865" s="539"/>
      <c r="S865" s="212"/>
      <c r="U865" s="539"/>
      <c r="V865" s="539"/>
      <c r="W865" s="540"/>
      <c r="X865" s="211"/>
      <c r="Y865" s="211"/>
      <c r="Z865" s="211"/>
      <c r="AA865" s="211"/>
      <c r="AB865" s="212"/>
      <c r="AD865" s="212"/>
      <c r="AF865" s="475"/>
    </row>
    <row r="866" spans="1:32" x14ac:dyDescent="0.3">
      <c r="A866" s="212"/>
      <c r="B866" s="539"/>
      <c r="D866" s="212"/>
      <c r="F866" s="212"/>
      <c r="G866" s="212"/>
      <c r="J866" s="539"/>
      <c r="S866" s="212"/>
      <c r="U866" s="539"/>
      <c r="V866" s="539"/>
      <c r="W866" s="540"/>
      <c r="X866" s="211"/>
      <c r="Y866" s="211"/>
      <c r="Z866" s="211"/>
      <c r="AA866" s="211"/>
      <c r="AB866" s="212"/>
      <c r="AD866" s="212"/>
      <c r="AF866" s="475"/>
    </row>
    <row r="867" spans="1:32" x14ac:dyDescent="0.3">
      <c r="A867" s="212"/>
      <c r="B867" s="539"/>
      <c r="D867" s="212"/>
      <c r="F867" s="212"/>
      <c r="G867" s="212"/>
      <c r="J867" s="539"/>
      <c r="S867" s="212"/>
      <c r="U867" s="539"/>
      <c r="V867" s="539"/>
      <c r="W867" s="540"/>
      <c r="X867" s="211"/>
      <c r="Y867" s="211"/>
      <c r="Z867" s="211"/>
      <c r="AA867" s="211"/>
      <c r="AB867" s="212"/>
      <c r="AD867" s="212"/>
      <c r="AF867" s="475"/>
    </row>
    <row r="868" spans="1:32" x14ac:dyDescent="0.3">
      <c r="A868" s="212"/>
      <c r="B868" s="539"/>
      <c r="D868" s="212"/>
      <c r="F868" s="212"/>
      <c r="G868" s="212"/>
      <c r="J868" s="539"/>
      <c r="S868" s="212"/>
      <c r="U868" s="539"/>
      <c r="V868" s="539"/>
      <c r="W868" s="540"/>
      <c r="X868" s="211"/>
      <c r="Y868" s="211"/>
      <c r="Z868" s="211"/>
      <c r="AA868" s="211"/>
      <c r="AB868" s="212"/>
      <c r="AD868" s="212"/>
      <c r="AF868" s="475"/>
    </row>
    <row r="869" spans="1:32" x14ac:dyDescent="0.3">
      <c r="A869" s="212"/>
      <c r="B869" s="539"/>
      <c r="D869" s="212"/>
      <c r="F869" s="212"/>
      <c r="G869" s="212"/>
      <c r="J869" s="539"/>
      <c r="S869" s="212"/>
      <c r="U869" s="539"/>
      <c r="V869" s="539"/>
      <c r="W869" s="540"/>
      <c r="X869" s="211"/>
      <c r="Y869" s="211"/>
      <c r="Z869" s="211"/>
      <c r="AA869" s="211"/>
      <c r="AB869" s="212"/>
      <c r="AD869" s="212"/>
      <c r="AF869" s="475"/>
    </row>
    <row r="870" spans="1:32" x14ac:dyDescent="0.3">
      <c r="A870" s="212"/>
      <c r="B870" s="539"/>
      <c r="D870" s="212"/>
      <c r="F870" s="212"/>
      <c r="G870" s="212"/>
      <c r="J870" s="539"/>
      <c r="S870" s="212"/>
      <c r="U870" s="539"/>
      <c r="V870" s="539"/>
      <c r="W870" s="540"/>
      <c r="X870" s="211"/>
      <c r="Y870" s="211"/>
      <c r="Z870" s="211"/>
      <c r="AA870" s="211"/>
      <c r="AB870" s="212"/>
      <c r="AD870" s="212"/>
      <c r="AF870" s="475"/>
    </row>
    <row r="871" spans="1:32" x14ac:dyDescent="0.3">
      <c r="A871" s="212"/>
      <c r="B871" s="539"/>
      <c r="D871" s="212"/>
      <c r="F871" s="212"/>
      <c r="G871" s="212"/>
      <c r="J871" s="539"/>
      <c r="S871" s="212"/>
      <c r="U871" s="539"/>
      <c r="V871" s="539"/>
      <c r="W871" s="540"/>
      <c r="X871" s="211"/>
      <c r="Y871" s="211"/>
      <c r="Z871" s="211"/>
      <c r="AA871" s="211"/>
      <c r="AB871" s="212"/>
      <c r="AD871" s="212"/>
      <c r="AF871" s="475"/>
    </row>
    <row r="872" spans="1:32" x14ac:dyDescent="0.3">
      <c r="A872" s="212"/>
      <c r="B872" s="539"/>
      <c r="D872" s="212"/>
      <c r="F872" s="212"/>
      <c r="G872" s="212"/>
      <c r="J872" s="539"/>
      <c r="S872" s="212"/>
      <c r="U872" s="539"/>
      <c r="V872" s="539"/>
      <c r="W872" s="540"/>
      <c r="X872" s="211"/>
      <c r="Y872" s="211"/>
      <c r="Z872" s="211"/>
      <c r="AA872" s="211"/>
      <c r="AB872" s="212"/>
      <c r="AD872" s="212"/>
      <c r="AF872" s="475"/>
    </row>
    <row r="873" spans="1:32" x14ac:dyDescent="0.3">
      <c r="A873" s="212"/>
      <c r="B873" s="539"/>
      <c r="D873" s="212"/>
      <c r="F873" s="212"/>
      <c r="G873" s="212"/>
      <c r="J873" s="539"/>
      <c r="S873" s="212"/>
      <c r="U873" s="539"/>
      <c r="V873" s="539"/>
      <c r="W873" s="540"/>
      <c r="X873" s="211"/>
      <c r="Y873" s="211"/>
      <c r="Z873" s="211"/>
      <c r="AA873" s="211"/>
      <c r="AB873" s="212"/>
      <c r="AD873" s="212"/>
      <c r="AF873" s="475"/>
    </row>
    <row r="874" spans="1:32" x14ac:dyDescent="0.3">
      <c r="A874" s="212"/>
      <c r="B874" s="539"/>
      <c r="D874" s="212"/>
      <c r="F874" s="212"/>
      <c r="G874" s="212"/>
      <c r="J874" s="539"/>
      <c r="S874" s="212"/>
      <c r="U874" s="539"/>
      <c r="V874" s="539"/>
      <c r="W874" s="540"/>
      <c r="X874" s="211"/>
      <c r="Y874" s="211"/>
      <c r="Z874" s="211"/>
      <c r="AA874" s="211"/>
      <c r="AB874" s="212"/>
      <c r="AD874" s="212"/>
      <c r="AF874" s="475"/>
    </row>
    <row r="875" spans="1:32" x14ac:dyDescent="0.3">
      <c r="A875" s="212"/>
      <c r="B875" s="539"/>
      <c r="D875" s="212"/>
      <c r="F875" s="212"/>
      <c r="G875" s="212"/>
      <c r="J875" s="539"/>
      <c r="S875" s="212"/>
      <c r="U875" s="539"/>
      <c r="V875" s="539"/>
      <c r="W875" s="540"/>
      <c r="X875" s="211"/>
      <c r="Y875" s="211"/>
      <c r="Z875" s="211"/>
      <c r="AA875" s="211"/>
      <c r="AB875" s="212"/>
      <c r="AD875" s="212"/>
      <c r="AF875" s="475"/>
    </row>
    <row r="876" spans="1:32" x14ac:dyDescent="0.3">
      <c r="A876" s="212"/>
      <c r="B876" s="539"/>
      <c r="D876" s="212"/>
      <c r="F876" s="212"/>
      <c r="G876" s="212"/>
      <c r="J876" s="539"/>
      <c r="S876" s="212"/>
      <c r="U876" s="539"/>
      <c r="V876" s="539"/>
      <c r="W876" s="540"/>
      <c r="X876" s="211"/>
      <c r="Y876" s="211"/>
      <c r="Z876" s="211"/>
      <c r="AA876" s="211"/>
      <c r="AB876" s="212"/>
      <c r="AD876" s="212"/>
      <c r="AF876" s="475"/>
    </row>
    <row r="877" spans="1:32" x14ac:dyDescent="0.3">
      <c r="A877" s="212"/>
      <c r="B877" s="539"/>
      <c r="D877" s="212"/>
      <c r="F877" s="212"/>
      <c r="G877" s="212"/>
      <c r="J877" s="539"/>
      <c r="S877" s="212"/>
      <c r="U877" s="539"/>
      <c r="V877" s="539"/>
      <c r="W877" s="540"/>
      <c r="X877" s="211"/>
      <c r="Y877" s="211"/>
      <c r="Z877" s="211"/>
      <c r="AA877" s="211"/>
      <c r="AB877" s="212"/>
      <c r="AD877" s="212"/>
      <c r="AF877" s="475"/>
    </row>
    <row r="878" spans="1:32" x14ac:dyDescent="0.3">
      <c r="A878" s="212"/>
      <c r="B878" s="539"/>
      <c r="D878" s="212"/>
      <c r="F878" s="212"/>
      <c r="G878" s="212"/>
      <c r="J878" s="539"/>
      <c r="S878" s="212"/>
      <c r="U878" s="539"/>
      <c r="V878" s="539"/>
      <c r="W878" s="540"/>
      <c r="X878" s="211"/>
      <c r="Y878" s="211"/>
      <c r="Z878" s="211"/>
      <c r="AA878" s="211"/>
      <c r="AB878" s="212"/>
      <c r="AD878" s="212"/>
      <c r="AF878" s="475"/>
    </row>
    <row r="879" spans="1:32" x14ac:dyDescent="0.3">
      <c r="A879" s="212"/>
      <c r="B879" s="539"/>
      <c r="D879" s="212"/>
      <c r="F879" s="212"/>
      <c r="G879" s="212"/>
      <c r="J879" s="539"/>
      <c r="S879" s="212"/>
      <c r="U879" s="539"/>
      <c r="V879" s="539"/>
      <c r="W879" s="540"/>
      <c r="X879" s="211"/>
      <c r="Y879" s="211"/>
      <c r="Z879" s="211"/>
      <c r="AA879" s="211"/>
      <c r="AB879" s="212"/>
      <c r="AD879" s="212"/>
      <c r="AF879" s="475"/>
    </row>
    <row r="880" spans="1:32" x14ac:dyDescent="0.3">
      <c r="A880" s="212"/>
      <c r="B880" s="539"/>
      <c r="D880" s="212"/>
      <c r="F880" s="212"/>
      <c r="G880" s="212"/>
      <c r="J880" s="539"/>
      <c r="S880" s="212"/>
      <c r="U880" s="539"/>
      <c r="V880" s="539"/>
      <c r="W880" s="540"/>
      <c r="X880" s="211"/>
      <c r="Y880" s="211"/>
      <c r="Z880" s="211"/>
      <c r="AA880" s="211"/>
      <c r="AB880" s="212"/>
      <c r="AD880" s="212"/>
      <c r="AF880" s="475"/>
    </row>
    <row r="881" spans="1:32" x14ac:dyDescent="0.3">
      <c r="A881" s="212"/>
      <c r="B881" s="539"/>
      <c r="D881" s="212"/>
      <c r="F881" s="212"/>
      <c r="G881" s="212"/>
      <c r="J881" s="539"/>
      <c r="S881" s="212"/>
      <c r="U881" s="539"/>
      <c r="V881" s="539"/>
      <c r="W881" s="540"/>
      <c r="X881" s="211"/>
      <c r="Y881" s="211"/>
      <c r="Z881" s="211"/>
      <c r="AA881" s="211"/>
      <c r="AB881" s="212"/>
      <c r="AD881" s="212"/>
      <c r="AF881" s="475"/>
    </row>
    <row r="882" spans="1:32" x14ac:dyDescent="0.3">
      <c r="A882" s="212"/>
      <c r="B882" s="539"/>
      <c r="D882" s="212"/>
      <c r="F882" s="212"/>
      <c r="G882" s="212"/>
      <c r="J882" s="539"/>
      <c r="S882" s="212"/>
      <c r="U882" s="539"/>
      <c r="V882" s="539"/>
      <c r="W882" s="540"/>
      <c r="X882" s="211"/>
      <c r="Y882" s="211"/>
      <c r="Z882" s="211"/>
      <c r="AA882" s="211"/>
      <c r="AB882" s="212"/>
      <c r="AD882" s="212"/>
      <c r="AF882" s="475"/>
    </row>
    <row r="883" spans="1:32" x14ac:dyDescent="0.3">
      <c r="A883" s="212"/>
      <c r="B883" s="539"/>
      <c r="D883" s="212"/>
      <c r="F883" s="212"/>
      <c r="G883" s="212"/>
      <c r="J883" s="539"/>
      <c r="S883" s="212"/>
      <c r="U883" s="539"/>
      <c r="V883" s="539"/>
      <c r="W883" s="540"/>
      <c r="X883" s="211"/>
      <c r="Y883" s="211"/>
      <c r="Z883" s="211"/>
      <c r="AA883" s="211"/>
      <c r="AB883" s="212"/>
      <c r="AD883" s="212"/>
      <c r="AF883" s="475"/>
    </row>
    <row r="884" spans="1:32" x14ac:dyDescent="0.3">
      <c r="A884" s="212"/>
      <c r="B884" s="539"/>
      <c r="D884" s="212"/>
      <c r="F884" s="212"/>
      <c r="G884" s="212"/>
      <c r="J884" s="539"/>
      <c r="S884" s="212"/>
      <c r="U884" s="539"/>
      <c r="V884" s="539"/>
      <c r="W884" s="540"/>
      <c r="X884" s="211"/>
      <c r="Y884" s="211"/>
      <c r="Z884" s="211"/>
      <c r="AA884" s="211"/>
      <c r="AB884" s="212"/>
      <c r="AD884" s="212"/>
      <c r="AF884" s="475"/>
    </row>
    <row r="885" spans="1:32" x14ac:dyDescent="0.3">
      <c r="A885" s="212"/>
      <c r="B885" s="539"/>
      <c r="D885" s="212"/>
      <c r="F885" s="212"/>
      <c r="G885" s="212"/>
      <c r="J885" s="539"/>
      <c r="S885" s="212"/>
      <c r="U885" s="539"/>
      <c r="V885" s="539"/>
      <c r="W885" s="540"/>
      <c r="X885" s="211"/>
      <c r="Y885" s="211"/>
      <c r="Z885" s="211"/>
      <c r="AA885" s="211"/>
      <c r="AB885" s="212"/>
      <c r="AD885" s="212"/>
      <c r="AF885" s="475"/>
    </row>
    <row r="886" spans="1:32" x14ac:dyDescent="0.3">
      <c r="A886" s="212"/>
      <c r="B886" s="539"/>
      <c r="D886" s="212"/>
      <c r="F886" s="212"/>
      <c r="G886" s="212"/>
      <c r="J886" s="539"/>
      <c r="S886" s="212"/>
      <c r="U886" s="539"/>
      <c r="V886" s="539"/>
      <c r="W886" s="540"/>
      <c r="X886" s="211"/>
      <c r="Y886" s="211"/>
      <c r="Z886" s="211"/>
      <c r="AA886" s="211"/>
      <c r="AB886" s="212"/>
      <c r="AD886" s="212"/>
      <c r="AF886" s="475"/>
    </row>
    <row r="887" spans="1:32" x14ac:dyDescent="0.3">
      <c r="A887" s="212"/>
      <c r="B887" s="539"/>
      <c r="D887" s="212"/>
      <c r="F887" s="212"/>
      <c r="G887" s="212"/>
      <c r="J887" s="539"/>
      <c r="S887" s="212"/>
      <c r="U887" s="539"/>
      <c r="V887" s="539"/>
      <c r="W887" s="540"/>
      <c r="X887" s="211"/>
      <c r="Y887" s="211"/>
      <c r="Z887" s="211"/>
      <c r="AA887" s="211"/>
      <c r="AB887" s="212"/>
      <c r="AD887" s="212"/>
      <c r="AF887" s="475"/>
    </row>
    <row r="888" spans="1:32" x14ac:dyDescent="0.3">
      <c r="A888" s="212"/>
      <c r="B888" s="539"/>
      <c r="D888" s="212"/>
      <c r="F888" s="212"/>
      <c r="G888" s="212"/>
      <c r="J888" s="539"/>
      <c r="S888" s="212"/>
      <c r="U888" s="539"/>
      <c r="V888" s="539"/>
      <c r="W888" s="540"/>
      <c r="X888" s="211"/>
      <c r="Y888" s="211"/>
      <c r="Z888" s="211"/>
      <c r="AA888" s="211"/>
      <c r="AB888" s="212"/>
      <c r="AD888" s="212"/>
      <c r="AF888" s="475"/>
    </row>
    <row r="889" spans="1:32" x14ac:dyDescent="0.3">
      <c r="A889" s="212"/>
      <c r="B889" s="539"/>
      <c r="D889" s="212"/>
      <c r="F889" s="212"/>
      <c r="G889" s="212"/>
      <c r="J889" s="539"/>
      <c r="S889" s="212"/>
      <c r="U889" s="539"/>
      <c r="V889" s="539"/>
      <c r="W889" s="540"/>
      <c r="X889" s="211"/>
      <c r="Y889" s="211"/>
      <c r="Z889" s="211"/>
      <c r="AA889" s="211"/>
      <c r="AB889" s="212"/>
      <c r="AD889" s="212"/>
      <c r="AF889" s="475"/>
    </row>
    <row r="890" spans="1:32" x14ac:dyDescent="0.3">
      <c r="A890" s="212"/>
      <c r="B890" s="539"/>
      <c r="D890" s="212"/>
      <c r="F890" s="212"/>
      <c r="G890" s="212"/>
      <c r="J890" s="539"/>
      <c r="S890" s="212"/>
      <c r="U890" s="539"/>
      <c r="V890" s="539"/>
      <c r="W890" s="540"/>
      <c r="X890" s="211"/>
      <c r="Y890" s="211"/>
      <c r="Z890" s="211"/>
      <c r="AA890" s="211"/>
      <c r="AB890" s="212"/>
      <c r="AD890" s="212"/>
      <c r="AF890" s="475"/>
    </row>
    <row r="891" spans="1:32" x14ac:dyDescent="0.3">
      <c r="V891" s="406"/>
      <c r="W891" s="362"/>
    </row>
    <row r="892" spans="1:32" x14ac:dyDescent="0.3">
      <c r="V892" s="406"/>
      <c r="W892" s="362"/>
    </row>
    <row r="893" spans="1:32" x14ac:dyDescent="0.3">
      <c r="V893" s="406"/>
      <c r="W893" s="362"/>
    </row>
    <row r="894" spans="1:32" x14ac:dyDescent="0.3">
      <c r="V894" s="406"/>
      <c r="W894" s="362"/>
    </row>
    <row r="895" spans="1:32" x14ac:dyDescent="0.3">
      <c r="V895" s="406"/>
      <c r="W895" s="362"/>
    </row>
    <row r="896" spans="1:32" x14ac:dyDescent="0.3">
      <c r="V896" s="406"/>
      <c r="W896" s="362"/>
    </row>
    <row r="897" spans="22:23" x14ac:dyDescent="0.3">
      <c r="V897" s="406"/>
      <c r="W897" s="362"/>
    </row>
    <row r="898" spans="22:23" x14ac:dyDescent="0.3">
      <c r="V898" s="406"/>
      <c r="W898" s="362"/>
    </row>
    <row r="899" spans="22:23" x14ac:dyDescent="0.3">
      <c r="V899" s="406"/>
      <c r="W899" s="362"/>
    </row>
    <row r="900" spans="22:23" x14ac:dyDescent="0.3">
      <c r="V900" s="406"/>
      <c r="W900" s="362"/>
    </row>
    <row r="901" spans="22:23" x14ac:dyDescent="0.3">
      <c r="V901" s="406"/>
      <c r="W901" s="362"/>
    </row>
    <row r="902" spans="22:23" x14ac:dyDescent="0.3">
      <c r="V902" s="406"/>
      <c r="W902" s="362"/>
    </row>
    <row r="903" spans="22:23" x14ac:dyDescent="0.3">
      <c r="V903" s="406"/>
      <c r="W903" s="362"/>
    </row>
    <row r="904" spans="22:23" x14ac:dyDescent="0.3">
      <c r="V904" s="406"/>
      <c r="W904" s="362"/>
    </row>
    <row r="905" spans="22:23" x14ac:dyDescent="0.3">
      <c r="V905" s="406"/>
      <c r="W905" s="362"/>
    </row>
    <row r="906" spans="22:23" x14ac:dyDescent="0.3">
      <c r="V906" s="406"/>
      <c r="W906" s="362"/>
    </row>
    <row r="907" spans="22:23" x14ac:dyDescent="0.3">
      <c r="V907" s="406"/>
      <c r="W907" s="362"/>
    </row>
    <row r="908" spans="22:23" x14ac:dyDescent="0.3">
      <c r="V908" s="406"/>
      <c r="W908" s="362"/>
    </row>
    <row r="909" spans="22:23" x14ac:dyDescent="0.3">
      <c r="V909" s="406"/>
      <c r="W909" s="362"/>
    </row>
    <row r="910" spans="22:23" x14ac:dyDescent="0.3">
      <c r="V910" s="406"/>
      <c r="W910" s="362"/>
    </row>
    <row r="911" spans="22:23" x14ac:dyDescent="0.3">
      <c r="V911" s="406"/>
      <c r="W911" s="362"/>
    </row>
    <row r="912" spans="22:23" x14ac:dyDescent="0.3">
      <c r="V912" s="406"/>
      <c r="W912" s="362"/>
    </row>
    <row r="913" spans="22:23" x14ac:dyDescent="0.3">
      <c r="V913" s="406"/>
      <c r="W913" s="362"/>
    </row>
    <row r="914" spans="22:23" x14ac:dyDescent="0.3">
      <c r="V914" s="406"/>
      <c r="W914" s="362"/>
    </row>
    <row r="915" spans="22:23" x14ac:dyDescent="0.3">
      <c r="V915" s="406"/>
      <c r="W915" s="362"/>
    </row>
    <row r="916" spans="22:23" x14ac:dyDescent="0.3">
      <c r="V916" s="406"/>
      <c r="W916" s="362"/>
    </row>
    <row r="917" spans="22:23" x14ac:dyDescent="0.3">
      <c r="V917" s="406"/>
      <c r="W917" s="362"/>
    </row>
    <row r="918" spans="22:23" x14ac:dyDescent="0.3">
      <c r="V918" s="406"/>
      <c r="W918" s="362"/>
    </row>
    <row r="919" spans="22:23" x14ac:dyDescent="0.3">
      <c r="V919" s="406"/>
      <c r="W919" s="362"/>
    </row>
    <row r="920" spans="22:23" x14ac:dyDescent="0.3">
      <c r="V920" s="406"/>
      <c r="W920" s="362"/>
    </row>
    <row r="921" spans="22:23" x14ac:dyDescent="0.3">
      <c r="V921" s="406"/>
      <c r="W921" s="362"/>
    </row>
    <row r="922" spans="22:23" x14ac:dyDescent="0.3">
      <c r="V922" s="406"/>
      <c r="W922" s="362"/>
    </row>
    <row r="923" spans="22:23" x14ac:dyDescent="0.3">
      <c r="V923" s="406"/>
      <c r="W923" s="362"/>
    </row>
    <row r="924" spans="22:23" x14ac:dyDescent="0.3">
      <c r="V924" s="406"/>
      <c r="W924" s="362"/>
    </row>
    <row r="925" spans="22:23" x14ac:dyDescent="0.3">
      <c r="V925" s="406"/>
      <c r="W925" s="362"/>
    </row>
    <row r="926" spans="22:23" x14ac:dyDescent="0.3">
      <c r="V926" s="406"/>
      <c r="W926" s="362"/>
    </row>
    <row r="927" spans="22:23" x14ac:dyDescent="0.3">
      <c r="V927" s="406"/>
      <c r="W927" s="362"/>
    </row>
    <row r="928" spans="22:23" x14ac:dyDescent="0.3">
      <c r="V928" s="406"/>
      <c r="W928" s="362"/>
    </row>
    <row r="929" spans="22:23" x14ac:dyDescent="0.3">
      <c r="V929" s="406"/>
      <c r="W929" s="362"/>
    </row>
    <row r="930" spans="22:23" x14ac:dyDescent="0.3">
      <c r="V930" s="406"/>
      <c r="W930" s="362"/>
    </row>
    <row r="931" spans="22:23" x14ac:dyDescent="0.3">
      <c r="V931" s="406"/>
      <c r="W931" s="362"/>
    </row>
    <row r="932" spans="22:23" x14ac:dyDescent="0.3">
      <c r="V932" s="406"/>
      <c r="W932" s="362"/>
    </row>
    <row r="933" spans="22:23" x14ac:dyDescent="0.3">
      <c r="V933" s="406"/>
      <c r="W933" s="362"/>
    </row>
    <row r="934" spans="22:23" x14ac:dyDescent="0.3">
      <c r="V934" s="406"/>
      <c r="W934" s="362"/>
    </row>
    <row r="935" spans="22:23" x14ac:dyDescent="0.3">
      <c r="V935" s="406"/>
      <c r="W935" s="362"/>
    </row>
    <row r="936" spans="22:23" x14ac:dyDescent="0.3">
      <c r="V936" s="406"/>
      <c r="W936" s="362"/>
    </row>
    <row r="937" spans="22:23" x14ac:dyDescent="0.3">
      <c r="V937" s="406"/>
      <c r="W937" s="362"/>
    </row>
    <row r="938" spans="22:23" x14ac:dyDescent="0.3">
      <c r="V938" s="406"/>
      <c r="W938" s="362"/>
    </row>
    <row r="939" spans="22:23" x14ac:dyDescent="0.3">
      <c r="V939" s="406"/>
      <c r="W939" s="362"/>
    </row>
    <row r="940" spans="22:23" x14ac:dyDescent="0.3">
      <c r="V940" s="406"/>
      <c r="W940" s="362"/>
    </row>
    <row r="941" spans="22:23" x14ac:dyDescent="0.3">
      <c r="V941" s="406"/>
      <c r="W941" s="362"/>
    </row>
    <row r="942" spans="22:23" x14ac:dyDescent="0.3">
      <c r="V942" s="406"/>
      <c r="W942" s="362"/>
    </row>
    <row r="943" spans="22:23" x14ac:dyDescent="0.3">
      <c r="V943" s="406"/>
      <c r="W943" s="362"/>
    </row>
    <row r="944" spans="22:23" x14ac:dyDescent="0.3">
      <c r="V944" s="406"/>
      <c r="W944" s="362"/>
    </row>
    <row r="945" spans="22:23" x14ac:dyDescent="0.3">
      <c r="V945" s="406"/>
      <c r="W945" s="362"/>
    </row>
    <row r="946" spans="22:23" x14ac:dyDescent="0.3">
      <c r="V946" s="406"/>
      <c r="W946" s="362"/>
    </row>
    <row r="947" spans="22:23" x14ac:dyDescent="0.3">
      <c r="V947" s="406"/>
      <c r="W947" s="362"/>
    </row>
    <row r="948" spans="22:23" x14ac:dyDescent="0.3">
      <c r="V948" s="406"/>
      <c r="W948" s="362"/>
    </row>
    <row r="949" spans="22:23" x14ac:dyDescent="0.3">
      <c r="V949" s="406"/>
      <c r="W949" s="362"/>
    </row>
    <row r="950" spans="22:23" x14ac:dyDescent="0.3">
      <c r="V950" s="406"/>
      <c r="W950" s="362"/>
    </row>
    <row r="951" spans="22:23" x14ac:dyDescent="0.3">
      <c r="V951" s="406"/>
      <c r="W951" s="362"/>
    </row>
    <row r="952" spans="22:23" x14ac:dyDescent="0.3">
      <c r="V952" s="406"/>
      <c r="W952" s="362"/>
    </row>
    <row r="953" spans="22:23" x14ac:dyDescent="0.3">
      <c r="V953" s="406"/>
      <c r="W953" s="362"/>
    </row>
    <row r="954" spans="22:23" x14ac:dyDescent="0.3">
      <c r="V954" s="406"/>
      <c r="W954" s="362"/>
    </row>
    <row r="955" spans="22:23" x14ac:dyDescent="0.3">
      <c r="V955" s="406"/>
      <c r="W955" s="362"/>
    </row>
    <row r="956" spans="22:23" x14ac:dyDescent="0.3">
      <c r="V956" s="406"/>
      <c r="W956" s="362"/>
    </row>
    <row r="957" spans="22:23" x14ac:dyDescent="0.3">
      <c r="V957" s="406"/>
      <c r="W957" s="362"/>
    </row>
    <row r="958" spans="22:23" x14ac:dyDescent="0.3">
      <c r="V958" s="406"/>
      <c r="W958" s="362"/>
    </row>
    <row r="959" spans="22:23" x14ac:dyDescent="0.3">
      <c r="V959" s="406"/>
      <c r="W959" s="362"/>
    </row>
    <row r="960" spans="22:23" x14ac:dyDescent="0.3">
      <c r="V960" s="406"/>
      <c r="W960" s="362"/>
    </row>
    <row r="961" spans="22:23" x14ac:dyDescent="0.3">
      <c r="V961" s="406"/>
      <c r="W961" s="362"/>
    </row>
    <row r="962" spans="22:23" x14ac:dyDescent="0.3">
      <c r="V962" s="406"/>
      <c r="W962" s="362"/>
    </row>
    <row r="963" spans="22:23" x14ac:dyDescent="0.3">
      <c r="V963" s="406"/>
      <c r="W963" s="362"/>
    </row>
    <row r="964" spans="22:23" x14ac:dyDescent="0.3">
      <c r="V964" s="406"/>
      <c r="W964" s="362"/>
    </row>
    <row r="965" spans="22:23" x14ac:dyDescent="0.3">
      <c r="V965" s="406"/>
      <c r="W965" s="362"/>
    </row>
    <row r="966" spans="22:23" x14ac:dyDescent="0.3">
      <c r="V966" s="406"/>
      <c r="W966" s="362"/>
    </row>
    <row r="967" spans="22:23" x14ac:dyDescent="0.3">
      <c r="V967" s="406"/>
      <c r="W967" s="362"/>
    </row>
    <row r="968" spans="22:23" x14ac:dyDescent="0.3">
      <c r="V968" s="406"/>
      <c r="W968" s="362"/>
    </row>
    <row r="969" spans="22:23" x14ac:dyDescent="0.3">
      <c r="V969" s="406"/>
      <c r="W969" s="362"/>
    </row>
    <row r="970" spans="22:23" x14ac:dyDescent="0.3">
      <c r="V970" s="406"/>
      <c r="W970" s="362"/>
    </row>
    <row r="971" spans="22:23" x14ac:dyDescent="0.3">
      <c r="V971" s="406"/>
      <c r="W971" s="362"/>
    </row>
    <row r="972" spans="22:23" x14ac:dyDescent="0.3">
      <c r="V972" s="406"/>
      <c r="W972" s="362"/>
    </row>
    <row r="973" spans="22:23" x14ac:dyDescent="0.3">
      <c r="V973" s="406"/>
      <c r="W973" s="362"/>
    </row>
    <row r="974" spans="22:23" x14ac:dyDescent="0.3">
      <c r="V974" s="406"/>
      <c r="W974" s="362"/>
    </row>
    <row r="975" spans="22:23" x14ac:dyDescent="0.3">
      <c r="V975" s="406"/>
      <c r="W975" s="362"/>
    </row>
    <row r="976" spans="22:23" x14ac:dyDescent="0.3">
      <c r="V976" s="406"/>
      <c r="W976" s="362"/>
    </row>
    <row r="977" spans="22:23" x14ac:dyDescent="0.3">
      <c r="V977" s="406"/>
      <c r="W977" s="362"/>
    </row>
    <row r="978" spans="22:23" x14ac:dyDescent="0.3">
      <c r="V978" s="406"/>
      <c r="W978" s="362"/>
    </row>
    <row r="979" spans="22:23" x14ac:dyDescent="0.3">
      <c r="V979" s="406"/>
      <c r="W979" s="362"/>
    </row>
    <row r="980" spans="22:23" x14ac:dyDescent="0.3">
      <c r="V980" s="406"/>
      <c r="W980" s="362"/>
    </row>
    <row r="981" spans="22:23" x14ac:dyDescent="0.3">
      <c r="V981" s="406"/>
      <c r="W981" s="362"/>
    </row>
    <row r="982" spans="22:23" x14ac:dyDescent="0.3">
      <c r="V982" s="406"/>
      <c r="W982" s="362"/>
    </row>
    <row r="983" spans="22:23" x14ac:dyDescent="0.3">
      <c r="V983" s="406"/>
      <c r="W983" s="362"/>
    </row>
    <row r="984" spans="22:23" x14ac:dyDescent="0.3">
      <c r="V984" s="406"/>
      <c r="W984" s="362"/>
    </row>
    <row r="985" spans="22:23" x14ac:dyDescent="0.3">
      <c r="V985" s="406"/>
      <c r="W985" s="362"/>
    </row>
    <row r="986" spans="22:23" x14ac:dyDescent="0.3">
      <c r="V986" s="406"/>
      <c r="W986" s="362"/>
    </row>
    <row r="987" spans="22:23" x14ac:dyDescent="0.3">
      <c r="V987" s="406"/>
      <c r="W987" s="362"/>
    </row>
    <row r="988" spans="22:23" x14ac:dyDescent="0.3">
      <c r="V988" s="406"/>
      <c r="W988" s="362"/>
    </row>
    <row r="989" spans="22:23" x14ac:dyDescent="0.3">
      <c r="V989" s="406"/>
      <c r="W989" s="362"/>
    </row>
    <row r="990" spans="22:23" x14ac:dyDescent="0.3">
      <c r="V990" s="406"/>
      <c r="W990" s="362"/>
    </row>
    <row r="991" spans="22:23" x14ac:dyDescent="0.3">
      <c r="V991" s="406"/>
      <c r="W991" s="362"/>
    </row>
    <row r="992" spans="22:23" x14ac:dyDescent="0.3">
      <c r="V992" s="406"/>
      <c r="W992" s="362"/>
    </row>
    <row r="993" spans="22:23" x14ac:dyDescent="0.3">
      <c r="V993" s="406"/>
      <c r="W993" s="362"/>
    </row>
    <row r="994" spans="22:23" x14ac:dyDescent="0.3">
      <c r="V994" s="406"/>
      <c r="W994" s="362"/>
    </row>
    <row r="995" spans="22:23" x14ac:dyDescent="0.3">
      <c r="V995" s="406"/>
      <c r="W995" s="362"/>
    </row>
    <row r="996" spans="22:23" x14ac:dyDescent="0.3">
      <c r="V996" s="406"/>
      <c r="W996" s="362"/>
    </row>
    <row r="997" spans="22:23" x14ac:dyDescent="0.3">
      <c r="V997" s="406"/>
      <c r="W997" s="362"/>
    </row>
    <row r="998" spans="22:23" x14ac:dyDescent="0.3">
      <c r="V998" s="406"/>
      <c r="W998" s="362"/>
    </row>
    <row r="999" spans="22:23" x14ac:dyDescent="0.3">
      <c r="V999" s="406"/>
      <c r="W999" s="362"/>
    </row>
    <row r="1000" spans="22:23" x14ac:dyDescent="0.3">
      <c r="V1000" s="406"/>
      <c r="W1000" s="362"/>
    </row>
    <row r="1001" spans="22:23" x14ac:dyDescent="0.3">
      <c r="V1001" s="406"/>
      <c r="W1001" s="362"/>
    </row>
    <row r="1002" spans="22:23" x14ac:dyDescent="0.3">
      <c r="V1002" s="406"/>
      <c r="W1002" s="362"/>
    </row>
    <row r="1003" spans="22:23" x14ac:dyDescent="0.3">
      <c r="V1003" s="406"/>
      <c r="W1003" s="362"/>
    </row>
    <row r="1004" spans="22:23" x14ac:dyDescent="0.3">
      <c r="V1004" s="406"/>
      <c r="W1004" s="362"/>
    </row>
    <row r="1005" spans="22:23" x14ac:dyDescent="0.3">
      <c r="V1005" s="406"/>
      <c r="W1005" s="362"/>
    </row>
    <row r="1006" spans="22:23" x14ac:dyDescent="0.3">
      <c r="V1006" s="406"/>
      <c r="W1006" s="362"/>
    </row>
    <row r="1007" spans="22:23" x14ac:dyDescent="0.3">
      <c r="V1007" s="406"/>
      <c r="W1007" s="362"/>
    </row>
    <row r="1008" spans="22:23" x14ac:dyDescent="0.3">
      <c r="V1008" s="406"/>
      <c r="W1008" s="362"/>
    </row>
    <row r="1009" spans="22:23" x14ac:dyDescent="0.3">
      <c r="V1009" s="406"/>
      <c r="W1009" s="362"/>
    </row>
    <row r="1010" spans="22:23" x14ac:dyDescent="0.3">
      <c r="V1010" s="406"/>
      <c r="W1010" s="362"/>
    </row>
    <row r="1011" spans="22:23" x14ac:dyDescent="0.3">
      <c r="V1011" s="406"/>
      <c r="W1011" s="362"/>
    </row>
    <row r="1012" spans="22:23" x14ac:dyDescent="0.3">
      <c r="V1012" s="406"/>
      <c r="W1012" s="362"/>
    </row>
    <row r="1013" spans="22:23" x14ac:dyDescent="0.3">
      <c r="V1013" s="406"/>
      <c r="W1013" s="362"/>
    </row>
    <row r="1014" spans="22:23" x14ac:dyDescent="0.3">
      <c r="V1014" s="406"/>
      <c r="W1014" s="362"/>
    </row>
    <row r="1015" spans="22:23" x14ac:dyDescent="0.3">
      <c r="V1015" s="406"/>
      <c r="W1015" s="362"/>
    </row>
    <row r="1016" spans="22:23" x14ac:dyDescent="0.3">
      <c r="V1016" s="406"/>
      <c r="W1016" s="362"/>
    </row>
    <row r="1017" spans="22:23" x14ac:dyDescent="0.3">
      <c r="V1017" s="406"/>
      <c r="W1017" s="362"/>
    </row>
    <row r="1018" spans="22:23" x14ac:dyDescent="0.3">
      <c r="V1018" s="406"/>
      <c r="W1018" s="362"/>
    </row>
    <row r="1019" spans="22:23" x14ac:dyDescent="0.3">
      <c r="V1019" s="406"/>
      <c r="W1019" s="362"/>
    </row>
    <row r="1020" spans="22:23" x14ac:dyDescent="0.3">
      <c r="V1020" s="406"/>
      <c r="W1020" s="362"/>
    </row>
    <row r="1021" spans="22:23" x14ac:dyDescent="0.3">
      <c r="V1021" s="406"/>
      <c r="W1021" s="362"/>
    </row>
    <row r="1022" spans="22:23" x14ac:dyDescent="0.3">
      <c r="V1022" s="406"/>
      <c r="W1022" s="362"/>
    </row>
    <row r="1023" spans="22:23" x14ac:dyDescent="0.3">
      <c r="V1023" s="406"/>
      <c r="W1023" s="362"/>
    </row>
    <row r="1024" spans="22:23" x14ac:dyDescent="0.3">
      <c r="V1024" s="406"/>
      <c r="W1024" s="362"/>
    </row>
    <row r="1025" spans="22:23" x14ac:dyDescent="0.3">
      <c r="V1025" s="406"/>
      <c r="W1025" s="362"/>
    </row>
    <row r="1026" spans="22:23" x14ac:dyDescent="0.3">
      <c r="V1026" s="406"/>
      <c r="W1026" s="362"/>
    </row>
    <row r="1027" spans="22:23" x14ac:dyDescent="0.3">
      <c r="V1027" s="406"/>
      <c r="W1027" s="362"/>
    </row>
    <row r="1028" spans="22:23" x14ac:dyDescent="0.3">
      <c r="V1028" s="406"/>
      <c r="W1028" s="362"/>
    </row>
    <row r="1029" spans="22:23" x14ac:dyDescent="0.3">
      <c r="V1029" s="406"/>
      <c r="W1029" s="362"/>
    </row>
    <row r="1030" spans="22:23" x14ac:dyDescent="0.3">
      <c r="V1030" s="406"/>
      <c r="W1030" s="362"/>
    </row>
    <row r="1031" spans="22:23" x14ac:dyDescent="0.3">
      <c r="V1031" s="406"/>
      <c r="W1031" s="362"/>
    </row>
    <row r="1032" spans="22:23" x14ac:dyDescent="0.3">
      <c r="V1032" s="406"/>
      <c r="W1032" s="362"/>
    </row>
    <row r="1033" spans="22:23" x14ac:dyDescent="0.3">
      <c r="V1033" s="406"/>
      <c r="W1033" s="362"/>
    </row>
    <row r="1034" spans="22:23" x14ac:dyDescent="0.3">
      <c r="V1034" s="406"/>
      <c r="W1034" s="362"/>
    </row>
    <row r="1035" spans="22:23" x14ac:dyDescent="0.3">
      <c r="V1035" s="406"/>
      <c r="W1035" s="362"/>
    </row>
    <row r="1036" spans="22:23" x14ac:dyDescent="0.3">
      <c r="V1036" s="406"/>
      <c r="W1036" s="362"/>
    </row>
    <row r="1037" spans="22:23" x14ac:dyDescent="0.3">
      <c r="V1037" s="406"/>
      <c r="W1037" s="362"/>
    </row>
    <row r="1038" spans="22:23" x14ac:dyDescent="0.3">
      <c r="V1038" s="406"/>
      <c r="W1038" s="362"/>
    </row>
    <row r="1039" spans="22:23" x14ac:dyDescent="0.3">
      <c r="V1039" s="406"/>
      <c r="W1039" s="362"/>
    </row>
    <row r="1040" spans="22:23" x14ac:dyDescent="0.3">
      <c r="V1040" s="406"/>
      <c r="W1040" s="362"/>
    </row>
    <row r="1041" spans="22:23" x14ac:dyDescent="0.3">
      <c r="V1041" s="406"/>
      <c r="W1041" s="362"/>
    </row>
    <row r="1042" spans="22:23" x14ac:dyDescent="0.3">
      <c r="V1042" s="406"/>
      <c r="W1042" s="362"/>
    </row>
    <row r="1043" spans="22:23" x14ac:dyDescent="0.3">
      <c r="V1043" s="406"/>
      <c r="W1043" s="362"/>
    </row>
    <row r="1044" spans="22:23" x14ac:dyDescent="0.3">
      <c r="V1044" s="406"/>
      <c r="W1044" s="362"/>
    </row>
    <row r="1045" spans="22:23" x14ac:dyDescent="0.3">
      <c r="V1045" s="406"/>
      <c r="W1045" s="362"/>
    </row>
    <row r="1046" spans="22:23" x14ac:dyDescent="0.3">
      <c r="V1046" s="406"/>
      <c r="W1046" s="362"/>
    </row>
    <row r="1047" spans="22:23" x14ac:dyDescent="0.3">
      <c r="V1047" s="406"/>
      <c r="W1047" s="362"/>
    </row>
    <row r="1048" spans="22:23" x14ac:dyDescent="0.3">
      <c r="V1048" s="406"/>
      <c r="W1048" s="362"/>
    </row>
    <row r="1049" spans="22:23" x14ac:dyDescent="0.3">
      <c r="V1049" s="406"/>
      <c r="W1049" s="362"/>
    </row>
    <row r="1050" spans="22:23" x14ac:dyDescent="0.3">
      <c r="V1050" s="406"/>
      <c r="W1050" s="362"/>
    </row>
    <row r="1051" spans="22:23" x14ac:dyDescent="0.3">
      <c r="V1051" s="406"/>
      <c r="W1051" s="362"/>
    </row>
    <row r="1052" spans="22:23" x14ac:dyDescent="0.3">
      <c r="V1052" s="406"/>
      <c r="W1052" s="362"/>
    </row>
    <row r="1053" spans="22:23" x14ac:dyDescent="0.3">
      <c r="V1053" s="406"/>
      <c r="W1053" s="362"/>
    </row>
    <row r="1054" spans="22:23" x14ac:dyDescent="0.3">
      <c r="V1054" s="406"/>
      <c r="W1054" s="362"/>
    </row>
    <row r="1055" spans="22:23" x14ac:dyDescent="0.3">
      <c r="V1055" s="406"/>
      <c r="W1055" s="362"/>
    </row>
    <row r="1056" spans="22:23" x14ac:dyDescent="0.3">
      <c r="V1056" s="406"/>
      <c r="W1056" s="362"/>
    </row>
    <row r="1057" spans="22:23" x14ac:dyDescent="0.3">
      <c r="V1057" s="406"/>
      <c r="W1057" s="362"/>
    </row>
    <row r="1058" spans="22:23" x14ac:dyDescent="0.3">
      <c r="V1058" s="406"/>
      <c r="W1058" s="362"/>
    </row>
    <row r="1059" spans="22:23" x14ac:dyDescent="0.3">
      <c r="V1059" s="406"/>
      <c r="W1059" s="362"/>
    </row>
    <row r="1060" spans="22:23" x14ac:dyDescent="0.3">
      <c r="V1060" s="406"/>
      <c r="W1060" s="362"/>
    </row>
    <row r="1061" spans="22:23" x14ac:dyDescent="0.3">
      <c r="V1061" s="406"/>
      <c r="W1061" s="362"/>
    </row>
    <row r="1062" spans="22:23" x14ac:dyDescent="0.3">
      <c r="V1062" s="406"/>
      <c r="W1062" s="362"/>
    </row>
    <row r="1063" spans="22:23" x14ac:dyDescent="0.3">
      <c r="V1063" s="406"/>
      <c r="W1063" s="362"/>
    </row>
    <row r="1064" spans="22:23" x14ac:dyDescent="0.3">
      <c r="V1064" s="406"/>
      <c r="W1064" s="362"/>
    </row>
    <row r="1065" spans="22:23" x14ac:dyDescent="0.3">
      <c r="V1065" s="406"/>
      <c r="W1065" s="362"/>
    </row>
    <row r="1066" spans="22:23" x14ac:dyDescent="0.3">
      <c r="V1066" s="406"/>
      <c r="W1066" s="362"/>
    </row>
    <row r="1067" spans="22:23" x14ac:dyDescent="0.3">
      <c r="V1067" s="406"/>
      <c r="W1067" s="362"/>
    </row>
    <row r="1068" spans="22:23" x14ac:dyDescent="0.3">
      <c r="V1068" s="406"/>
      <c r="W1068" s="362"/>
    </row>
    <row r="1069" spans="22:23" x14ac:dyDescent="0.3">
      <c r="V1069" s="406"/>
      <c r="W1069" s="362"/>
    </row>
    <row r="1070" spans="22:23" x14ac:dyDescent="0.3">
      <c r="V1070" s="406"/>
      <c r="W1070" s="362"/>
    </row>
    <row r="1071" spans="22:23" x14ac:dyDescent="0.3">
      <c r="V1071" s="406"/>
      <c r="W1071" s="362"/>
    </row>
    <row r="1072" spans="22:23" x14ac:dyDescent="0.3">
      <c r="V1072" s="406"/>
      <c r="W1072" s="362"/>
    </row>
    <row r="1073" spans="22:23" x14ac:dyDescent="0.3">
      <c r="V1073" s="406"/>
      <c r="W1073" s="362"/>
    </row>
    <row r="1074" spans="22:23" x14ac:dyDescent="0.3">
      <c r="V1074" s="406"/>
      <c r="W1074" s="362"/>
    </row>
    <row r="1075" spans="22:23" x14ac:dyDescent="0.3">
      <c r="V1075" s="406"/>
      <c r="W1075" s="362"/>
    </row>
    <row r="1076" spans="22:23" x14ac:dyDescent="0.3">
      <c r="V1076" s="406"/>
      <c r="W1076" s="362"/>
    </row>
    <row r="1077" spans="22:23" x14ac:dyDescent="0.3">
      <c r="V1077" s="406"/>
      <c r="W1077" s="362"/>
    </row>
    <row r="1078" spans="22:23" x14ac:dyDescent="0.3">
      <c r="V1078" s="406"/>
      <c r="W1078" s="362"/>
    </row>
    <row r="1079" spans="22:23" x14ac:dyDescent="0.3">
      <c r="V1079" s="406"/>
      <c r="W1079" s="362"/>
    </row>
    <row r="1080" spans="22:23" x14ac:dyDescent="0.3">
      <c r="V1080" s="406"/>
      <c r="W1080" s="362"/>
    </row>
    <row r="1081" spans="22:23" x14ac:dyDescent="0.3">
      <c r="V1081" s="406"/>
      <c r="W1081" s="362"/>
    </row>
    <row r="1082" spans="22:23" x14ac:dyDescent="0.3">
      <c r="V1082" s="406"/>
      <c r="W1082" s="362"/>
    </row>
    <row r="1083" spans="22:23" x14ac:dyDescent="0.3">
      <c r="V1083" s="406"/>
      <c r="W1083" s="362"/>
    </row>
    <row r="1084" spans="22:23" x14ac:dyDescent="0.3">
      <c r="V1084" s="406"/>
      <c r="W1084" s="362"/>
    </row>
    <row r="1085" spans="22:23" x14ac:dyDescent="0.3">
      <c r="V1085" s="406"/>
      <c r="W1085" s="362"/>
    </row>
    <row r="1086" spans="22:23" x14ac:dyDescent="0.3">
      <c r="V1086" s="406"/>
      <c r="W1086" s="362"/>
    </row>
    <row r="1087" spans="22:23" x14ac:dyDescent="0.3">
      <c r="V1087" s="406"/>
      <c r="W1087" s="362"/>
    </row>
    <row r="1088" spans="22:23" x14ac:dyDescent="0.3">
      <c r="V1088" s="406"/>
      <c r="W1088" s="362"/>
    </row>
    <row r="1089" spans="22:23" x14ac:dyDescent="0.3">
      <c r="V1089" s="406"/>
      <c r="W1089" s="362"/>
    </row>
    <row r="1090" spans="22:23" x14ac:dyDescent="0.3">
      <c r="V1090" s="406"/>
      <c r="W1090" s="362"/>
    </row>
    <row r="1091" spans="22:23" x14ac:dyDescent="0.3">
      <c r="V1091" s="406"/>
      <c r="W1091" s="362"/>
    </row>
    <row r="1092" spans="22:23" x14ac:dyDescent="0.3">
      <c r="V1092" s="406"/>
      <c r="W1092" s="362"/>
    </row>
    <row r="1093" spans="22:23" x14ac:dyDescent="0.3">
      <c r="V1093" s="406"/>
      <c r="W1093" s="362"/>
    </row>
    <row r="1094" spans="22:23" x14ac:dyDescent="0.3">
      <c r="V1094" s="406"/>
      <c r="W1094" s="362"/>
    </row>
    <row r="1095" spans="22:23" x14ac:dyDescent="0.3">
      <c r="V1095" s="406"/>
      <c r="W1095" s="362"/>
    </row>
    <row r="1096" spans="22:23" x14ac:dyDescent="0.3">
      <c r="V1096" s="406"/>
      <c r="W1096" s="362"/>
    </row>
    <row r="1097" spans="22:23" x14ac:dyDescent="0.3">
      <c r="V1097" s="406"/>
      <c r="W1097" s="362"/>
    </row>
    <row r="1098" spans="22:23" x14ac:dyDescent="0.3">
      <c r="V1098" s="406"/>
      <c r="W1098" s="362"/>
    </row>
    <row r="1099" spans="22:23" x14ac:dyDescent="0.3">
      <c r="V1099" s="406"/>
      <c r="W1099" s="362"/>
    </row>
    <row r="1100" spans="22:23" x14ac:dyDescent="0.3">
      <c r="V1100" s="406"/>
      <c r="W1100" s="362"/>
    </row>
    <row r="1101" spans="22:23" x14ac:dyDescent="0.3">
      <c r="V1101" s="406"/>
      <c r="W1101" s="362"/>
    </row>
    <row r="1102" spans="22:23" x14ac:dyDescent="0.3">
      <c r="V1102" s="406"/>
      <c r="W1102" s="362"/>
    </row>
    <row r="1103" spans="22:23" x14ac:dyDescent="0.3">
      <c r="V1103" s="406"/>
      <c r="W1103" s="362"/>
    </row>
    <row r="1104" spans="22:23" x14ac:dyDescent="0.3">
      <c r="V1104" s="406"/>
      <c r="W1104" s="362"/>
    </row>
    <row r="1105" spans="1:38" x14ac:dyDescent="0.3">
      <c r="V1105" s="406"/>
      <c r="W1105" s="362"/>
    </row>
    <row r="1106" spans="1:38" x14ac:dyDescent="0.3">
      <c r="V1106" s="406"/>
      <c r="W1106" s="362"/>
    </row>
    <row r="1107" spans="1:38" x14ac:dyDescent="0.3">
      <c r="V1107" s="406"/>
      <c r="W1107" s="362"/>
    </row>
    <row r="1108" spans="1:38" x14ac:dyDescent="0.3">
      <c r="V1108" s="406"/>
      <c r="W1108" s="362"/>
    </row>
    <row r="1109" spans="1:38" x14ac:dyDescent="0.3">
      <c r="V1109" s="406"/>
      <c r="W1109" s="362"/>
    </row>
    <row r="1110" spans="1:38" x14ac:dyDescent="0.3">
      <c r="V1110" s="406"/>
      <c r="W1110" s="362"/>
    </row>
    <row r="1111" spans="1:38" x14ac:dyDescent="0.3">
      <c r="V1111" s="406"/>
      <c r="W1111" s="362"/>
    </row>
    <row r="1112" spans="1:38" x14ac:dyDescent="0.3">
      <c r="V1112" s="406"/>
      <c r="W1112" s="362"/>
    </row>
    <row r="1113" spans="1:38" x14ac:dyDescent="0.3">
      <c r="V1113" s="406"/>
      <c r="W1113" s="362"/>
    </row>
    <row r="1114" spans="1:38" x14ac:dyDescent="0.3">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3">
      <c r="V1115" s="406"/>
      <c r="W1115" s="362"/>
    </row>
    <row r="1116" spans="1:38" x14ac:dyDescent="0.3">
      <c r="V1116" s="406"/>
      <c r="W1116" s="362"/>
    </row>
    <row r="1117" spans="1:38" x14ac:dyDescent="0.3">
      <c r="V1117" s="406"/>
      <c r="W1117" s="362"/>
    </row>
    <row r="1118" spans="1:38" x14ac:dyDescent="0.3">
      <c r="V1118" s="406"/>
      <c r="W1118" s="362"/>
    </row>
    <row r="1119" spans="1:38" x14ac:dyDescent="0.3">
      <c r="V1119" s="406"/>
      <c r="W1119" s="362"/>
    </row>
    <row r="1120" spans="1:38" x14ac:dyDescent="0.3">
      <c r="V1120" s="406"/>
      <c r="W1120" s="362"/>
    </row>
    <row r="1121" spans="22:23" x14ac:dyDescent="0.3">
      <c r="V1121" s="406"/>
      <c r="W1121" s="362"/>
    </row>
    <row r="1122" spans="22:23" x14ac:dyDescent="0.3">
      <c r="V1122" s="406"/>
      <c r="W1122" s="362"/>
    </row>
    <row r="1123" spans="22:23" x14ac:dyDescent="0.3">
      <c r="V1123" s="406"/>
      <c r="W1123" s="362"/>
    </row>
    <row r="1124" spans="22:23" x14ac:dyDescent="0.3">
      <c r="V1124" s="406"/>
      <c r="W1124" s="362"/>
    </row>
    <row r="1125" spans="22:23" x14ac:dyDescent="0.3">
      <c r="V1125" s="406"/>
      <c r="W1125" s="362"/>
    </row>
    <row r="1126" spans="22:23" x14ac:dyDescent="0.3">
      <c r="V1126" s="406"/>
      <c r="W1126" s="362"/>
    </row>
    <row r="1127" spans="22:23" x14ac:dyDescent="0.3">
      <c r="V1127" s="406"/>
      <c r="W1127" s="362"/>
    </row>
    <row r="1128" spans="22:23" x14ac:dyDescent="0.3">
      <c r="V1128" s="406"/>
      <c r="W1128" s="362"/>
    </row>
    <row r="1129" spans="22:23" x14ac:dyDescent="0.3">
      <c r="V1129" s="406"/>
      <c r="W1129" s="362"/>
    </row>
    <row r="1130" spans="22:23" x14ac:dyDescent="0.3">
      <c r="V1130" s="406"/>
      <c r="W1130" s="362"/>
    </row>
    <row r="1131" spans="22:23" x14ac:dyDescent="0.3">
      <c r="V1131" s="406"/>
      <c r="W1131" s="362"/>
    </row>
    <row r="1132" spans="22:23" x14ac:dyDescent="0.3">
      <c r="V1132" s="406"/>
      <c r="W1132" s="362"/>
    </row>
    <row r="1133" spans="22:23" x14ac:dyDescent="0.3">
      <c r="V1133" s="406"/>
      <c r="W1133" s="362"/>
    </row>
    <row r="1134" spans="22:23" x14ac:dyDescent="0.3">
      <c r="V1134" s="406"/>
      <c r="W1134" s="362"/>
    </row>
    <row r="1135" spans="22:23" x14ac:dyDescent="0.3">
      <c r="V1135" s="406"/>
      <c r="W1135" s="362"/>
    </row>
    <row r="1136" spans="22:23" x14ac:dyDescent="0.3">
      <c r="V1136" s="406"/>
      <c r="W1136" s="362"/>
    </row>
    <row r="1137" spans="22:23" x14ac:dyDescent="0.3">
      <c r="V1137" s="406"/>
      <c r="W1137" s="362"/>
    </row>
    <row r="1138" spans="22:23" x14ac:dyDescent="0.3">
      <c r="V1138" s="406"/>
      <c r="W1138" s="362"/>
    </row>
    <row r="1139" spans="22:23" x14ac:dyDescent="0.3">
      <c r="V1139" s="406"/>
      <c r="W1139" s="362"/>
    </row>
    <row r="1140" spans="22:23" x14ac:dyDescent="0.3">
      <c r="V1140" s="406"/>
      <c r="W1140" s="362"/>
    </row>
    <row r="1141" spans="22:23" x14ac:dyDescent="0.3">
      <c r="V1141" s="406"/>
      <c r="W1141" s="362"/>
    </row>
    <row r="1142" spans="22:23" x14ac:dyDescent="0.3">
      <c r="V1142" s="406"/>
      <c r="W1142" s="362"/>
    </row>
    <row r="1143" spans="22:23" x14ac:dyDescent="0.3">
      <c r="V1143" s="406"/>
      <c r="W1143" s="362"/>
    </row>
    <row r="1144" spans="22:23" x14ac:dyDescent="0.3">
      <c r="V1144" s="406"/>
      <c r="W1144" s="362"/>
    </row>
    <row r="1145" spans="22:23" x14ac:dyDescent="0.3">
      <c r="V1145" s="406"/>
      <c r="W1145" s="362"/>
    </row>
    <row r="1146" spans="22:23" x14ac:dyDescent="0.3">
      <c r="V1146" s="406"/>
      <c r="W1146" s="362"/>
    </row>
    <row r="1147" spans="22:23" x14ac:dyDescent="0.3">
      <c r="V1147" s="406"/>
      <c r="W1147" s="362"/>
    </row>
    <row r="1148" spans="22:23" x14ac:dyDescent="0.3">
      <c r="V1148" s="406"/>
      <c r="W1148" s="362"/>
    </row>
    <row r="1149" spans="22:23" x14ac:dyDescent="0.3">
      <c r="V1149" s="406"/>
      <c r="W1149" s="362"/>
    </row>
    <row r="1150" spans="22:23" x14ac:dyDescent="0.3">
      <c r="V1150" s="406"/>
      <c r="W1150" s="362"/>
    </row>
    <row r="1151" spans="22:23" x14ac:dyDescent="0.3">
      <c r="V1151" s="406"/>
      <c r="W1151" s="362"/>
    </row>
    <row r="1152" spans="22:23" x14ac:dyDescent="0.3">
      <c r="V1152" s="406"/>
      <c r="W1152" s="362"/>
    </row>
    <row r="1153" spans="22:23" x14ac:dyDescent="0.3">
      <c r="V1153" s="406"/>
      <c r="W1153" s="362"/>
    </row>
    <row r="1154" spans="22:23" x14ac:dyDescent="0.3">
      <c r="V1154" s="406"/>
      <c r="W1154" s="362"/>
    </row>
    <row r="1155" spans="22:23" x14ac:dyDescent="0.3">
      <c r="V1155" s="406"/>
      <c r="W1155" s="362"/>
    </row>
    <row r="1156" spans="22:23" x14ac:dyDescent="0.3">
      <c r="V1156" s="406"/>
      <c r="W1156" s="362"/>
    </row>
    <row r="1157" spans="22:23" x14ac:dyDescent="0.3">
      <c r="V1157" s="406"/>
      <c r="W1157" s="362"/>
    </row>
    <row r="1158" spans="22:23" x14ac:dyDescent="0.3">
      <c r="V1158" s="406"/>
      <c r="W1158" s="362"/>
    </row>
    <row r="1159" spans="22:23" x14ac:dyDescent="0.3">
      <c r="V1159" s="406"/>
      <c r="W1159" s="362"/>
    </row>
    <row r="1160" spans="22:23" x14ac:dyDescent="0.3">
      <c r="V1160" s="406"/>
      <c r="W1160" s="362"/>
    </row>
    <row r="1161" spans="22:23" x14ac:dyDescent="0.3">
      <c r="V1161" s="406"/>
      <c r="W1161" s="362"/>
    </row>
    <row r="1162" spans="22:23" x14ac:dyDescent="0.3">
      <c r="V1162" s="406"/>
      <c r="W1162" s="362"/>
    </row>
    <row r="1163" spans="22:23" x14ac:dyDescent="0.3">
      <c r="V1163" s="406"/>
      <c r="W1163" s="362"/>
    </row>
    <row r="1164" spans="22:23" x14ac:dyDescent="0.3">
      <c r="V1164" s="406"/>
      <c r="W1164" s="362"/>
    </row>
    <row r="1165" spans="22:23" x14ac:dyDescent="0.3">
      <c r="V1165" s="406"/>
      <c r="W1165" s="362"/>
    </row>
    <row r="1166" spans="22:23" x14ac:dyDescent="0.3">
      <c r="V1166" s="406"/>
      <c r="W1166" s="362"/>
    </row>
    <row r="1167" spans="22:23" x14ac:dyDescent="0.3">
      <c r="V1167" s="406"/>
      <c r="W1167" s="362"/>
    </row>
    <row r="1168" spans="22:23" x14ac:dyDescent="0.3">
      <c r="V1168" s="406"/>
      <c r="W1168" s="362"/>
    </row>
    <row r="1169" spans="22:23" x14ac:dyDescent="0.3">
      <c r="V1169" s="406"/>
      <c r="W1169" s="362"/>
    </row>
    <row r="1170" spans="22:23" x14ac:dyDescent="0.3">
      <c r="V1170" s="406"/>
      <c r="W1170" s="362"/>
    </row>
    <row r="1171" spans="22:23" x14ac:dyDescent="0.3">
      <c r="V1171" s="406"/>
      <c r="W1171" s="362"/>
    </row>
    <row r="1172" spans="22:23" x14ac:dyDescent="0.3">
      <c r="V1172" s="406"/>
      <c r="W1172" s="362"/>
    </row>
    <row r="1173" spans="22:23" x14ac:dyDescent="0.3">
      <c r="V1173" s="406"/>
      <c r="W1173" s="362"/>
    </row>
    <row r="1174" spans="22:23" x14ac:dyDescent="0.3">
      <c r="V1174" s="406"/>
      <c r="W1174" s="362"/>
    </row>
    <row r="1175" spans="22:23" x14ac:dyDescent="0.3">
      <c r="V1175" s="406"/>
      <c r="W1175" s="362"/>
    </row>
    <row r="1176" spans="22:23" x14ac:dyDescent="0.3">
      <c r="V1176" s="406"/>
      <c r="W1176" s="362"/>
    </row>
    <row r="1177" spans="22:23" x14ac:dyDescent="0.3">
      <c r="V1177" s="406"/>
      <c r="W1177" s="362"/>
    </row>
    <row r="1178" spans="22:23" x14ac:dyDescent="0.3">
      <c r="V1178" s="406"/>
      <c r="W1178" s="362"/>
    </row>
    <row r="1179" spans="22:23" x14ac:dyDescent="0.3">
      <c r="V1179" s="406"/>
      <c r="W1179" s="362"/>
    </row>
    <row r="1180" spans="22:23" x14ac:dyDescent="0.3">
      <c r="V1180" s="406"/>
      <c r="W1180" s="362"/>
    </row>
    <row r="1181" spans="22:23" x14ac:dyDescent="0.3">
      <c r="V1181" s="406"/>
      <c r="W1181" s="362"/>
    </row>
    <row r="1182" spans="22:23" x14ac:dyDescent="0.3">
      <c r="V1182" s="406"/>
      <c r="W1182" s="362"/>
    </row>
    <row r="1183" spans="22:23" x14ac:dyDescent="0.3">
      <c r="V1183" s="406"/>
      <c r="W1183" s="362"/>
    </row>
    <row r="1184" spans="22:23" x14ac:dyDescent="0.3">
      <c r="V1184" s="406"/>
      <c r="W1184" s="362"/>
    </row>
    <row r="1185" spans="22:23" x14ac:dyDescent="0.3">
      <c r="V1185" s="406"/>
      <c r="W1185" s="362"/>
    </row>
    <row r="1186" spans="22:23" x14ac:dyDescent="0.3">
      <c r="V1186" s="406"/>
      <c r="W1186" s="362"/>
    </row>
    <row r="1187" spans="22:23" x14ac:dyDescent="0.3">
      <c r="V1187" s="406"/>
      <c r="W1187" s="362"/>
    </row>
    <row r="1188" spans="22:23" x14ac:dyDescent="0.3">
      <c r="V1188" s="406"/>
      <c r="W1188" s="362"/>
    </row>
    <row r="1189" spans="22:23" x14ac:dyDescent="0.3">
      <c r="W1189" s="362"/>
    </row>
    <row r="1190" spans="22:23" x14ac:dyDescent="0.3">
      <c r="W1190" s="362"/>
    </row>
    <row r="1191" spans="22:23" x14ac:dyDescent="0.3">
      <c r="W1191" s="362"/>
    </row>
    <row r="1192" spans="22:23" x14ac:dyDescent="0.3">
      <c r="W1192" s="362"/>
    </row>
    <row r="1193" spans="22:23" x14ac:dyDescent="0.3">
      <c r="W1193" s="362"/>
    </row>
    <row r="1194" spans="22:23" x14ac:dyDescent="0.3">
      <c r="W1194" s="362"/>
    </row>
    <row r="1195" spans="22:23" x14ac:dyDescent="0.3">
      <c r="W1195" s="362"/>
    </row>
    <row r="1196" spans="22:23" x14ac:dyDescent="0.3">
      <c r="W1196" s="362"/>
    </row>
    <row r="1197" spans="22:23" x14ac:dyDescent="0.3">
      <c r="W1197" s="362"/>
    </row>
    <row r="1198" spans="22:23" x14ac:dyDescent="0.3">
      <c r="W1198" s="362"/>
    </row>
    <row r="1199" spans="22:23" x14ac:dyDescent="0.3">
      <c r="W1199" s="362"/>
    </row>
    <row r="1200" spans="22:23" x14ac:dyDescent="0.3">
      <c r="W1200" s="362"/>
    </row>
    <row r="1201" spans="23:23" x14ac:dyDescent="0.3">
      <c r="W1201" s="362"/>
    </row>
    <row r="1202" spans="23:23" x14ac:dyDescent="0.3">
      <c r="W1202" s="362"/>
    </row>
    <row r="1203" spans="23:23" x14ac:dyDescent="0.3">
      <c r="W1203" s="362"/>
    </row>
    <row r="1204" spans="23:23" x14ac:dyDescent="0.3">
      <c r="W1204" s="362"/>
    </row>
    <row r="1205" spans="23:23" x14ac:dyDescent="0.3">
      <c r="W1205" s="362"/>
    </row>
    <row r="1206" spans="23:23" x14ac:dyDescent="0.3">
      <c r="W1206" s="362"/>
    </row>
    <row r="1207" spans="23:23" x14ac:dyDescent="0.3">
      <c r="W1207" s="362"/>
    </row>
    <row r="1208" spans="23:23" x14ac:dyDescent="0.3">
      <c r="W1208" s="362"/>
    </row>
    <row r="1209" spans="23:23" x14ac:dyDescent="0.3">
      <c r="W1209" s="362"/>
    </row>
    <row r="1210" spans="23:23" x14ac:dyDescent="0.3">
      <c r="W1210" s="362"/>
    </row>
    <row r="1211" spans="23:23" x14ac:dyDescent="0.3">
      <c r="W1211" s="362"/>
    </row>
    <row r="1212" spans="23:23" x14ac:dyDescent="0.3">
      <c r="W1212" s="362"/>
    </row>
    <row r="1213" spans="23:23" x14ac:dyDescent="0.3">
      <c r="W1213" s="362"/>
    </row>
    <row r="1214" spans="23:23" x14ac:dyDescent="0.3">
      <c r="W1214" s="362"/>
    </row>
    <row r="1215" spans="23:23" x14ac:dyDescent="0.3">
      <c r="W1215" s="362"/>
    </row>
    <row r="1216" spans="23:23" x14ac:dyDescent="0.3">
      <c r="W1216" s="362"/>
    </row>
    <row r="1217" spans="23:23" x14ac:dyDescent="0.3">
      <c r="W1217" s="362"/>
    </row>
    <row r="1218" spans="23:23" x14ac:dyDescent="0.3">
      <c r="W1218" s="362"/>
    </row>
    <row r="1219" spans="23:23" x14ac:dyDescent="0.3">
      <c r="W1219" s="362"/>
    </row>
    <row r="1220" spans="23:23" x14ac:dyDescent="0.3">
      <c r="W1220" s="362"/>
    </row>
    <row r="1221" spans="23:23" x14ac:dyDescent="0.3">
      <c r="W1221" s="362"/>
    </row>
    <row r="1222" spans="23:23" x14ac:dyDescent="0.3">
      <c r="W1222" s="362"/>
    </row>
    <row r="1223" spans="23:23" x14ac:dyDescent="0.3">
      <c r="W1223" s="362"/>
    </row>
    <row r="1224" spans="23:23" x14ac:dyDescent="0.3">
      <c r="W1224" s="362"/>
    </row>
    <row r="1225" spans="23:23" x14ac:dyDescent="0.3">
      <c r="W1225" s="362"/>
    </row>
    <row r="1226" spans="23:23" x14ac:dyDescent="0.3">
      <c r="W1226" s="362"/>
    </row>
    <row r="1227" spans="23:23" x14ac:dyDescent="0.3">
      <c r="W1227" s="362"/>
    </row>
    <row r="1228" spans="23:23" x14ac:dyDescent="0.3">
      <c r="W1228" s="362"/>
    </row>
    <row r="1229" spans="23:23" x14ac:dyDescent="0.3">
      <c r="W1229" s="362"/>
    </row>
    <row r="1230" spans="23:23" x14ac:dyDescent="0.3">
      <c r="W1230" s="362"/>
    </row>
    <row r="1231" spans="23:23" x14ac:dyDescent="0.3">
      <c r="W1231" s="362"/>
    </row>
    <row r="1232" spans="23:23" x14ac:dyDescent="0.3">
      <c r="W1232" s="362"/>
    </row>
    <row r="1233" spans="23:23" x14ac:dyDescent="0.3">
      <c r="W1233" s="362"/>
    </row>
    <row r="1234" spans="23:23" x14ac:dyDescent="0.3">
      <c r="W1234" s="362"/>
    </row>
    <row r="1235" spans="23:23" x14ac:dyDescent="0.3">
      <c r="W1235" s="362"/>
    </row>
    <row r="1236" spans="23:23" x14ac:dyDescent="0.3">
      <c r="W1236" s="362"/>
    </row>
    <row r="1237" spans="23:23" x14ac:dyDescent="0.3">
      <c r="W1237" s="362"/>
    </row>
  </sheetData>
  <autoFilter ref="A1:AX669" xr:uid="{00000000-0009-0000-0000-00000B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5"/>
  <sheetViews>
    <sheetView workbookViewId="0">
      <pane ySplit="1" topLeftCell="A2" activePane="bottomLeft" state="frozen"/>
      <selection pane="bottomLeft" activeCell="G45" sqref="G45"/>
    </sheetView>
  </sheetViews>
  <sheetFormatPr baseColWidth="10" defaultColWidth="11.44140625" defaultRowHeight="13.8" x14ac:dyDescent="0.3"/>
  <cols>
    <col min="1" max="1" width="26.6640625" style="220" customWidth="1"/>
    <col min="2" max="2" width="5" style="220" customWidth="1"/>
    <col min="3" max="3" width="21.88671875" style="220" customWidth="1"/>
    <col min="4" max="4" width="33.6640625" style="220" customWidth="1"/>
    <col min="5" max="5" width="39.5546875" style="220" customWidth="1"/>
    <col min="6" max="11" width="16.6640625" style="232" customWidth="1"/>
    <col min="12" max="12" width="15.88671875" style="220" customWidth="1"/>
    <col min="13" max="13" width="19.109375" style="220" customWidth="1"/>
    <col min="14" max="16384" width="11.44140625" style="220"/>
  </cols>
  <sheetData>
    <row r="1" spans="1:13" ht="28.2" thickBot="1" x14ac:dyDescent="0.35">
      <c r="A1" s="215" t="s">
        <v>4667</v>
      </c>
      <c r="B1" s="1497" t="s">
        <v>4668</v>
      </c>
      <c r="C1" s="1497"/>
      <c r="D1" s="216" t="s">
        <v>4669</v>
      </c>
      <c r="E1" s="216" t="s">
        <v>4670</v>
      </c>
      <c r="F1" s="217" t="s">
        <v>4671</v>
      </c>
      <c r="G1" s="217" t="s">
        <v>4672</v>
      </c>
      <c r="H1" s="217" t="s">
        <v>4673</v>
      </c>
      <c r="I1" s="217" t="s">
        <v>4674</v>
      </c>
      <c r="J1" s="217" t="s">
        <v>2622</v>
      </c>
      <c r="K1" s="217" t="s">
        <v>4675</v>
      </c>
      <c r="L1" s="218" t="s">
        <v>4676</v>
      </c>
      <c r="M1" s="219" t="s">
        <v>4677</v>
      </c>
    </row>
    <row r="2" spans="1:13" x14ac:dyDescent="0.3">
      <c r="A2" s="1476" t="s">
        <v>4678</v>
      </c>
      <c r="B2" s="1498"/>
      <c r="C2" s="1499" t="s">
        <v>4679</v>
      </c>
      <c r="D2" s="1500" t="s">
        <v>4680</v>
      </c>
      <c r="E2" s="221" t="s">
        <v>4681</v>
      </c>
      <c r="F2" s="222">
        <v>414311953</v>
      </c>
      <c r="G2" s="222">
        <v>53640933</v>
      </c>
      <c r="H2" s="222">
        <v>360671020</v>
      </c>
      <c r="I2" s="222">
        <v>25895188</v>
      </c>
      <c r="J2" s="223">
        <v>100169374</v>
      </c>
      <c r="K2" s="223">
        <v>101622895</v>
      </c>
      <c r="L2" s="224">
        <v>227687457</v>
      </c>
      <c r="M2" s="225">
        <v>132983563</v>
      </c>
    </row>
    <row r="3" spans="1:13" x14ac:dyDescent="0.3">
      <c r="A3" s="1479"/>
      <c r="B3" s="1486"/>
      <c r="C3" s="1473"/>
      <c r="D3" s="1478"/>
      <c r="E3" s="226" t="s">
        <v>4682</v>
      </c>
      <c r="F3" s="227">
        <v>33985341</v>
      </c>
      <c r="G3" s="227">
        <v>27855341</v>
      </c>
      <c r="H3" s="227">
        <v>6130000</v>
      </c>
      <c r="I3" s="227">
        <v>0</v>
      </c>
      <c r="J3" s="227">
        <v>6130000</v>
      </c>
      <c r="K3" s="227">
        <v>0</v>
      </c>
      <c r="L3" s="224">
        <v>6130000</v>
      </c>
      <c r="M3" s="228">
        <v>0</v>
      </c>
    </row>
    <row r="4" spans="1:13" x14ac:dyDescent="0.3">
      <c r="A4" s="1479"/>
      <c r="B4" s="1486"/>
      <c r="C4" s="1473"/>
      <c r="D4" s="1478" t="s">
        <v>344</v>
      </c>
      <c r="E4" s="226" t="s">
        <v>4683</v>
      </c>
      <c r="F4" s="227">
        <v>11400000</v>
      </c>
      <c r="G4" s="227">
        <v>0</v>
      </c>
      <c r="H4" s="227">
        <v>11400000</v>
      </c>
      <c r="I4" s="227">
        <v>0</v>
      </c>
      <c r="J4" s="227">
        <v>0</v>
      </c>
      <c r="K4" s="227">
        <v>0</v>
      </c>
      <c r="L4" s="224">
        <v>0</v>
      </c>
      <c r="M4" s="228">
        <v>11400000</v>
      </c>
    </row>
    <row r="5" spans="1:13" x14ac:dyDescent="0.3">
      <c r="A5" s="1479"/>
      <c r="B5" s="1486"/>
      <c r="C5" s="1473"/>
      <c r="D5" s="1478"/>
      <c r="E5" s="226" t="s">
        <v>4684</v>
      </c>
      <c r="F5" s="227">
        <v>39485000</v>
      </c>
      <c r="G5" s="227">
        <v>0</v>
      </c>
      <c r="H5" s="227">
        <v>39485000</v>
      </c>
      <c r="I5" s="227">
        <v>0</v>
      </c>
      <c r="J5" s="227">
        <v>0</v>
      </c>
      <c r="K5" s="227">
        <v>0</v>
      </c>
      <c r="L5" s="224">
        <v>0</v>
      </c>
      <c r="M5" s="228">
        <v>39485000</v>
      </c>
    </row>
    <row r="6" spans="1:13" x14ac:dyDescent="0.3">
      <c r="A6" s="1479"/>
      <c r="B6" s="1486"/>
      <c r="C6" s="1473"/>
      <c r="D6" s="1473" t="s">
        <v>4685</v>
      </c>
      <c r="E6" s="226" t="s">
        <v>4686</v>
      </c>
      <c r="F6" s="227">
        <v>150208706</v>
      </c>
      <c r="G6" s="227">
        <v>0</v>
      </c>
      <c r="H6" s="227">
        <v>150208706</v>
      </c>
      <c r="I6" s="227">
        <v>0</v>
      </c>
      <c r="J6" s="227">
        <v>20526992</v>
      </c>
      <c r="K6" s="227">
        <v>0</v>
      </c>
      <c r="L6" s="224">
        <v>20526992</v>
      </c>
      <c r="M6" s="228">
        <v>129681714</v>
      </c>
    </row>
    <row r="7" spans="1:13" x14ac:dyDescent="0.3">
      <c r="A7" s="1479"/>
      <c r="B7" s="1486"/>
      <c r="C7" s="1473"/>
      <c r="D7" s="1473"/>
      <c r="E7" s="226" t="s">
        <v>4687</v>
      </c>
      <c r="F7" s="227">
        <v>3809271859</v>
      </c>
      <c r="G7" s="227">
        <v>0</v>
      </c>
      <c r="H7" s="227">
        <v>3809271859</v>
      </c>
      <c r="I7" s="227">
        <v>0</v>
      </c>
      <c r="J7" s="227">
        <v>268520631</v>
      </c>
      <c r="K7" s="227">
        <v>190303504</v>
      </c>
      <c r="L7" s="224">
        <v>458824135</v>
      </c>
      <c r="M7" s="228">
        <v>3350447724</v>
      </c>
    </row>
    <row r="8" spans="1:13" ht="14.4" thickBot="1" x14ac:dyDescent="0.3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4.4" thickBot="1" x14ac:dyDescent="0.35"/>
    <row r="10" spans="1:13" x14ac:dyDescent="0.3">
      <c r="A10" s="1484" t="s">
        <v>4688</v>
      </c>
      <c r="B10" s="1485"/>
      <c r="C10" s="1472" t="s">
        <v>4689</v>
      </c>
      <c r="D10" s="1472" t="s">
        <v>4690</v>
      </c>
      <c r="E10" s="233" t="s">
        <v>4691</v>
      </c>
      <c r="F10" s="234">
        <v>1</v>
      </c>
      <c r="G10" s="234">
        <v>0</v>
      </c>
      <c r="H10" s="234">
        <v>1</v>
      </c>
      <c r="I10" s="234">
        <v>0</v>
      </c>
      <c r="J10" s="234">
        <v>0</v>
      </c>
      <c r="K10" s="234">
        <v>0</v>
      </c>
      <c r="L10" s="235">
        <v>0</v>
      </c>
      <c r="M10" s="236">
        <v>1</v>
      </c>
    </row>
    <row r="11" spans="1:13" x14ac:dyDescent="0.3">
      <c r="A11" s="1479"/>
      <c r="B11" s="1486"/>
      <c r="C11" s="1473"/>
      <c r="D11" s="1473"/>
      <c r="E11" s="226" t="s">
        <v>4692</v>
      </c>
      <c r="F11" s="227">
        <v>31978507</v>
      </c>
      <c r="G11" s="227">
        <v>0</v>
      </c>
      <c r="H11" s="227">
        <v>31978507</v>
      </c>
      <c r="I11" s="227">
        <v>0</v>
      </c>
      <c r="J11" s="227">
        <v>0</v>
      </c>
      <c r="K11" s="227">
        <v>0</v>
      </c>
      <c r="L11" s="237">
        <v>0</v>
      </c>
      <c r="M11" s="228">
        <v>31978507</v>
      </c>
    </row>
    <row r="12" spans="1:13" x14ac:dyDescent="0.3">
      <c r="A12" s="1479"/>
      <c r="B12" s="1486"/>
      <c r="C12" s="1473"/>
      <c r="D12" s="1473"/>
      <c r="E12" s="226" t="s">
        <v>4693</v>
      </c>
      <c r="F12" s="227">
        <v>35536124</v>
      </c>
      <c r="G12" s="227">
        <v>0</v>
      </c>
      <c r="H12" s="227">
        <v>35536124</v>
      </c>
      <c r="I12" s="227">
        <v>0</v>
      </c>
      <c r="J12" s="227">
        <v>0</v>
      </c>
      <c r="K12" s="227">
        <v>0</v>
      </c>
      <c r="L12" s="237">
        <v>0</v>
      </c>
      <c r="M12" s="228">
        <v>35536124</v>
      </c>
    </row>
    <row r="13" spans="1:13" ht="14.4" thickBot="1" x14ac:dyDescent="0.35">
      <c r="A13" s="229"/>
      <c r="B13" s="230"/>
      <c r="C13" s="230"/>
      <c r="D13" s="230"/>
      <c r="E13" s="230"/>
      <c r="F13" s="231">
        <v>67514632</v>
      </c>
      <c r="G13" s="231">
        <v>0</v>
      </c>
      <c r="H13" s="231">
        <v>67514632</v>
      </c>
      <c r="I13" s="231">
        <v>0</v>
      </c>
      <c r="J13" s="231">
        <v>0</v>
      </c>
      <c r="K13" s="231">
        <v>0</v>
      </c>
      <c r="L13" s="231">
        <v>0</v>
      </c>
      <c r="M13" s="231">
        <v>67514632</v>
      </c>
    </row>
    <row r="14" spans="1:13" ht="14.4" thickBot="1" x14ac:dyDescent="0.35"/>
    <row r="15" spans="1:13" x14ac:dyDescent="0.3">
      <c r="A15" s="1484" t="s">
        <v>4694</v>
      </c>
      <c r="B15" s="1492"/>
      <c r="C15" s="1472" t="s">
        <v>4695</v>
      </c>
      <c r="D15" s="1495" t="s">
        <v>4690</v>
      </c>
      <c r="E15" s="1482" t="s">
        <v>4696</v>
      </c>
      <c r="F15" s="234">
        <v>329715062</v>
      </c>
      <c r="G15" s="234">
        <v>0</v>
      </c>
      <c r="H15" s="234">
        <v>329715062</v>
      </c>
      <c r="I15" s="234">
        <v>0</v>
      </c>
      <c r="J15" s="234">
        <v>10145833</v>
      </c>
      <c r="K15" s="234">
        <v>0</v>
      </c>
      <c r="L15" s="235">
        <v>10145833</v>
      </c>
      <c r="M15" s="236">
        <v>319569229</v>
      </c>
    </row>
    <row r="16" spans="1:13" ht="14.4" thickBot="1" x14ac:dyDescent="0.35">
      <c r="A16" s="1491"/>
      <c r="B16" s="1493"/>
      <c r="C16" s="1494"/>
      <c r="D16" s="1496"/>
      <c r="E16" s="1483"/>
      <c r="F16" s="231">
        <v>329715062</v>
      </c>
      <c r="G16" s="231">
        <v>0</v>
      </c>
      <c r="H16" s="231">
        <v>329715062</v>
      </c>
      <c r="I16" s="231">
        <v>0</v>
      </c>
      <c r="J16" s="231">
        <v>10145833</v>
      </c>
      <c r="K16" s="231">
        <v>0</v>
      </c>
      <c r="L16" s="231">
        <v>10145833</v>
      </c>
      <c r="M16" s="231">
        <v>319569229</v>
      </c>
    </row>
    <row r="17" spans="1:13" ht="14.4" thickBot="1" x14ac:dyDescent="0.35"/>
    <row r="18" spans="1:13" x14ac:dyDescent="0.3">
      <c r="A18" s="1484" t="s">
        <v>4697</v>
      </c>
      <c r="B18" s="1485"/>
      <c r="C18" s="1472" t="s">
        <v>4698</v>
      </c>
      <c r="D18" s="238" t="s">
        <v>164</v>
      </c>
      <c r="E18" s="233" t="s">
        <v>4699</v>
      </c>
      <c r="F18" s="234">
        <v>59329710</v>
      </c>
      <c r="G18" s="234">
        <v>0</v>
      </c>
      <c r="H18" s="234">
        <v>59329710</v>
      </c>
      <c r="I18" s="234">
        <v>0</v>
      </c>
      <c r="J18" s="234">
        <v>17124544</v>
      </c>
      <c r="K18" s="234">
        <v>20176125</v>
      </c>
      <c r="L18" s="234">
        <v>37300669</v>
      </c>
      <c r="M18" s="239">
        <v>22029041</v>
      </c>
    </row>
    <row r="19" spans="1:13" x14ac:dyDescent="0.3">
      <c r="A19" s="1479"/>
      <c r="B19" s="1486"/>
      <c r="C19" s="1473"/>
      <c r="D19" s="240" t="s">
        <v>4700</v>
      </c>
      <c r="E19" s="226" t="s">
        <v>4701</v>
      </c>
      <c r="F19" s="227">
        <v>2355567</v>
      </c>
      <c r="G19" s="227">
        <v>0</v>
      </c>
      <c r="H19" s="227">
        <v>2355567</v>
      </c>
      <c r="I19" s="227">
        <v>0</v>
      </c>
      <c r="J19" s="227">
        <v>1931167</v>
      </c>
      <c r="K19" s="227">
        <v>0</v>
      </c>
      <c r="L19" s="227">
        <v>1931167</v>
      </c>
      <c r="M19" s="241">
        <v>424400</v>
      </c>
    </row>
    <row r="20" spans="1:13" x14ac:dyDescent="0.3">
      <c r="A20" s="1479"/>
      <c r="B20" s="1486"/>
      <c r="C20" s="1473"/>
      <c r="D20" s="226" t="s">
        <v>214</v>
      </c>
      <c r="E20" s="226" t="s">
        <v>4702</v>
      </c>
      <c r="F20" s="242">
        <v>140946733</v>
      </c>
      <c r="G20" s="227">
        <v>0</v>
      </c>
      <c r="H20" s="227">
        <v>140946733</v>
      </c>
      <c r="I20" s="227">
        <v>0</v>
      </c>
      <c r="J20" s="226">
        <v>0</v>
      </c>
      <c r="K20" s="226">
        <v>0</v>
      </c>
      <c r="L20" s="226">
        <v>0</v>
      </c>
      <c r="M20" s="241">
        <v>140946733</v>
      </c>
    </row>
    <row r="21" spans="1:13" x14ac:dyDescent="0.3">
      <c r="A21" s="1479"/>
      <c r="B21" s="1486"/>
      <c r="C21" s="1473"/>
      <c r="D21" s="226" t="s">
        <v>184</v>
      </c>
      <c r="E21" s="226" t="s">
        <v>4703</v>
      </c>
      <c r="F21" s="227">
        <v>277204263</v>
      </c>
      <c r="G21" s="227">
        <v>0</v>
      </c>
      <c r="H21" s="227">
        <v>277204263</v>
      </c>
      <c r="I21" s="227">
        <v>0</v>
      </c>
      <c r="J21" s="227">
        <v>23024011</v>
      </c>
      <c r="K21" s="227">
        <v>37521178</v>
      </c>
      <c r="L21" s="227">
        <v>60545189</v>
      </c>
      <c r="M21" s="241">
        <v>216659074</v>
      </c>
    </row>
    <row r="22" spans="1:13" ht="14.4" thickBot="1" x14ac:dyDescent="0.35">
      <c r="A22" s="229"/>
      <c r="B22" s="230"/>
      <c r="C22" s="230"/>
      <c r="D22" s="230"/>
      <c r="E22" s="230"/>
      <c r="F22" s="231">
        <v>479836273</v>
      </c>
      <c r="G22" s="231">
        <v>0</v>
      </c>
      <c r="H22" s="231">
        <v>479836273</v>
      </c>
      <c r="I22" s="231">
        <v>0</v>
      </c>
      <c r="J22" s="231">
        <v>42079722</v>
      </c>
      <c r="K22" s="231">
        <v>57697303</v>
      </c>
      <c r="L22" s="231">
        <v>99777025</v>
      </c>
      <c r="M22" s="231">
        <v>380059248</v>
      </c>
    </row>
    <row r="23" spans="1:13" ht="14.4" thickBot="1" x14ac:dyDescent="0.35">
      <c r="E23" s="285">
        <f>+F22+F16+F13+F8</f>
        <v>5335728826</v>
      </c>
    </row>
    <row r="24" spans="1:13" s="251" customFormat="1" ht="28.2" thickBot="1" x14ac:dyDescent="0.35">
      <c r="A24" s="243" t="s">
        <v>4667</v>
      </c>
      <c r="B24" s="1487" t="s">
        <v>4704</v>
      </c>
      <c r="C24" s="1487"/>
      <c r="D24" s="244" t="s">
        <v>4669</v>
      </c>
      <c r="E24" s="244" t="s">
        <v>4670</v>
      </c>
      <c r="F24" s="245" t="s">
        <v>4671</v>
      </c>
      <c r="G24" s="246"/>
      <c r="H24" s="246"/>
      <c r="I24" s="247" t="s">
        <v>4674</v>
      </c>
      <c r="J24" s="248" t="s">
        <v>2622</v>
      </c>
      <c r="K24" s="249" t="s">
        <v>4675</v>
      </c>
      <c r="L24" s="250" t="s">
        <v>4676</v>
      </c>
      <c r="M24" s="250" t="s">
        <v>4677</v>
      </c>
    </row>
    <row r="25" spans="1:13" x14ac:dyDescent="0.3">
      <c r="A25" s="1476" t="s">
        <v>4705</v>
      </c>
      <c r="B25" s="1480">
        <v>295</v>
      </c>
      <c r="C25" s="1481" t="s">
        <v>4706</v>
      </c>
      <c r="D25" s="1457" t="s">
        <v>344</v>
      </c>
      <c r="E25" s="252" t="s">
        <v>343</v>
      </c>
      <c r="F25" s="253">
        <v>4459721939</v>
      </c>
      <c r="G25" s="254">
        <v>0</v>
      </c>
      <c r="H25" s="254">
        <v>4459721939</v>
      </c>
      <c r="I25" s="254">
        <v>0</v>
      </c>
      <c r="J25" s="254">
        <v>42932000</v>
      </c>
      <c r="K25" s="254">
        <v>0</v>
      </c>
      <c r="L25" s="253">
        <v>42932000</v>
      </c>
      <c r="M25" s="255">
        <v>4416789939</v>
      </c>
    </row>
    <row r="26" spans="1:13" x14ac:dyDescent="0.3">
      <c r="A26" s="1479"/>
      <c r="B26" s="1460"/>
      <c r="C26" s="1456"/>
      <c r="D26" s="1457"/>
      <c r="E26" s="252" t="s">
        <v>4707</v>
      </c>
      <c r="F26" s="256">
        <v>5423958273</v>
      </c>
      <c r="G26" s="256">
        <v>0</v>
      </c>
      <c r="H26" s="256">
        <v>5423958273</v>
      </c>
      <c r="I26" s="256">
        <v>0</v>
      </c>
      <c r="J26" s="256">
        <v>0</v>
      </c>
      <c r="K26" s="256">
        <v>1777877355</v>
      </c>
      <c r="L26" s="256">
        <v>1777877355</v>
      </c>
      <c r="M26" s="257">
        <v>3646080918</v>
      </c>
    </row>
    <row r="27" spans="1:13" ht="15" customHeight="1" x14ac:dyDescent="0.3">
      <c r="A27" s="1479"/>
      <c r="B27" s="1458">
        <v>289</v>
      </c>
      <c r="C27" s="1455" t="s">
        <v>4708</v>
      </c>
      <c r="D27" s="1473" t="s">
        <v>4685</v>
      </c>
      <c r="E27" s="252" t="s">
        <v>4709</v>
      </c>
      <c r="F27" s="256">
        <v>10333334</v>
      </c>
      <c r="G27" s="256">
        <v>0</v>
      </c>
      <c r="H27" s="256">
        <v>10333334</v>
      </c>
      <c r="I27" s="256">
        <v>0</v>
      </c>
      <c r="J27" s="256">
        <v>10000000</v>
      </c>
      <c r="K27" s="256">
        <v>0</v>
      </c>
      <c r="L27" s="256">
        <v>10000000</v>
      </c>
      <c r="M27" s="257">
        <v>333334</v>
      </c>
    </row>
    <row r="28" spans="1:13" x14ac:dyDescent="0.3">
      <c r="A28" s="1479"/>
      <c r="B28" s="1460"/>
      <c r="C28" s="1456"/>
      <c r="D28" s="1473"/>
      <c r="E28" s="252" t="s">
        <v>397</v>
      </c>
      <c r="F28" s="256">
        <v>0</v>
      </c>
      <c r="G28" s="256">
        <v>0</v>
      </c>
      <c r="H28" s="256">
        <v>0</v>
      </c>
      <c r="I28" s="256">
        <v>0</v>
      </c>
      <c r="J28" s="256">
        <v>0</v>
      </c>
      <c r="K28" s="256">
        <v>0</v>
      </c>
      <c r="L28" s="256">
        <v>0</v>
      </c>
      <c r="M28" s="257">
        <v>0</v>
      </c>
    </row>
    <row r="29" spans="1:13" ht="12.75" customHeight="1" x14ac:dyDescent="0.3">
      <c r="A29" s="1479"/>
      <c r="B29" s="252">
        <v>291</v>
      </c>
      <c r="C29" s="252" t="s">
        <v>4710</v>
      </c>
      <c r="D29" s="258" t="s">
        <v>344</v>
      </c>
      <c r="E29" s="252" t="s">
        <v>4711</v>
      </c>
      <c r="F29" s="256">
        <v>0</v>
      </c>
      <c r="G29" s="256">
        <v>0</v>
      </c>
      <c r="H29" s="256">
        <v>0</v>
      </c>
      <c r="I29" s="256">
        <v>0</v>
      </c>
      <c r="J29" s="256">
        <v>0</v>
      </c>
      <c r="K29" s="256">
        <v>0</v>
      </c>
      <c r="L29" s="256">
        <v>0</v>
      </c>
      <c r="M29" s="257">
        <v>0</v>
      </c>
    </row>
    <row r="30" spans="1:13" x14ac:dyDescent="0.3">
      <c r="A30" s="1479"/>
      <c r="B30" s="1458">
        <v>292</v>
      </c>
      <c r="C30" s="1455" t="s">
        <v>4712</v>
      </c>
      <c r="D30" s="1457" t="s">
        <v>4680</v>
      </c>
      <c r="E30" s="252" t="s">
        <v>283</v>
      </c>
      <c r="F30" s="256">
        <v>0</v>
      </c>
      <c r="G30" s="256">
        <v>0</v>
      </c>
      <c r="H30" s="256">
        <v>0</v>
      </c>
      <c r="I30" s="256">
        <v>0</v>
      </c>
      <c r="J30" s="256">
        <v>0</v>
      </c>
      <c r="K30" s="256">
        <v>0</v>
      </c>
      <c r="L30" s="256">
        <v>0</v>
      </c>
      <c r="M30" s="257">
        <v>0</v>
      </c>
    </row>
    <row r="31" spans="1:13" x14ac:dyDescent="0.3">
      <c r="A31" s="1479"/>
      <c r="B31" s="1459"/>
      <c r="C31" s="1461"/>
      <c r="D31" s="1457"/>
      <c r="E31" s="252" t="s">
        <v>4713</v>
      </c>
      <c r="F31" s="256">
        <v>0</v>
      </c>
      <c r="G31" s="256">
        <v>0</v>
      </c>
      <c r="H31" s="256">
        <v>0</v>
      </c>
      <c r="I31" s="256">
        <v>0</v>
      </c>
      <c r="J31" s="256">
        <v>0</v>
      </c>
      <c r="K31" s="256">
        <v>0</v>
      </c>
      <c r="L31" s="256">
        <v>0</v>
      </c>
      <c r="M31" s="257">
        <v>0</v>
      </c>
    </row>
    <row r="32" spans="1:13" x14ac:dyDescent="0.3">
      <c r="A32" s="1479"/>
      <c r="B32" s="1459"/>
      <c r="C32" s="1461"/>
      <c r="D32" s="1457"/>
      <c r="E32" s="252" t="s">
        <v>4714</v>
      </c>
      <c r="F32" s="256">
        <v>450773351</v>
      </c>
      <c r="G32" s="256">
        <v>19190000</v>
      </c>
      <c r="H32" s="256">
        <v>431583351</v>
      </c>
      <c r="I32" s="256">
        <v>0</v>
      </c>
      <c r="J32" s="256">
        <v>135148168</v>
      </c>
      <c r="K32" s="256">
        <v>93969438</v>
      </c>
      <c r="L32" s="256">
        <v>229117606</v>
      </c>
      <c r="M32" s="257">
        <v>202465745</v>
      </c>
    </row>
    <row r="33" spans="1:13" x14ac:dyDescent="0.3">
      <c r="A33" s="1479"/>
      <c r="B33" s="1459"/>
      <c r="C33" s="1461"/>
      <c r="D33" s="1457"/>
      <c r="E33" s="259" t="s">
        <v>269</v>
      </c>
      <c r="F33" s="256">
        <v>905426665</v>
      </c>
      <c r="G33" s="256">
        <v>49570000</v>
      </c>
      <c r="H33" s="256">
        <v>855856665</v>
      </c>
      <c r="I33" s="256">
        <v>0</v>
      </c>
      <c r="J33" s="256">
        <v>232710000</v>
      </c>
      <c r="K33" s="256">
        <v>104213333</v>
      </c>
      <c r="L33" s="260">
        <v>336923333</v>
      </c>
      <c r="M33" s="257">
        <v>518933332</v>
      </c>
    </row>
    <row r="34" spans="1:13" x14ac:dyDescent="0.3">
      <c r="A34" s="1479"/>
      <c r="B34" s="1459"/>
      <c r="C34" s="1461"/>
      <c r="D34" s="1457"/>
      <c r="E34" s="252" t="s">
        <v>4715</v>
      </c>
      <c r="F34" s="256">
        <v>1084564216</v>
      </c>
      <c r="G34" s="256">
        <v>0</v>
      </c>
      <c r="H34" s="256">
        <v>1084564216</v>
      </c>
      <c r="I34" s="256">
        <v>2850293</v>
      </c>
      <c r="J34" s="256">
        <v>166953847</v>
      </c>
      <c r="K34" s="256">
        <v>187497016</v>
      </c>
      <c r="L34" s="256">
        <v>357301156</v>
      </c>
      <c r="M34" s="257">
        <v>727263060</v>
      </c>
    </row>
    <row r="35" spans="1:13" x14ac:dyDescent="0.3">
      <c r="A35" s="1479"/>
      <c r="B35" s="1459"/>
      <c r="C35" s="1461"/>
      <c r="D35" s="1457"/>
      <c r="E35" s="252" t="s">
        <v>254</v>
      </c>
      <c r="F35" s="256">
        <v>0</v>
      </c>
      <c r="G35" s="256">
        <v>0</v>
      </c>
      <c r="H35" s="256">
        <v>0</v>
      </c>
      <c r="I35" s="256">
        <v>0</v>
      </c>
      <c r="J35" s="256">
        <v>0</v>
      </c>
      <c r="K35" s="256">
        <v>0</v>
      </c>
      <c r="L35" s="256">
        <v>0</v>
      </c>
      <c r="M35" s="257">
        <v>0</v>
      </c>
    </row>
    <row r="36" spans="1:13" x14ac:dyDescent="0.3">
      <c r="A36" s="1479"/>
      <c r="B36" s="1460"/>
      <c r="C36" s="1456"/>
      <c r="D36" s="1457"/>
      <c r="E36" s="252" t="s">
        <v>4716</v>
      </c>
      <c r="F36" s="256">
        <v>0</v>
      </c>
      <c r="G36" s="256">
        <v>0</v>
      </c>
      <c r="H36" s="256">
        <v>0</v>
      </c>
      <c r="I36" s="256">
        <v>0</v>
      </c>
      <c r="J36" s="256">
        <v>0</v>
      </c>
      <c r="K36" s="256">
        <v>0</v>
      </c>
      <c r="L36" s="256">
        <v>0</v>
      </c>
      <c r="M36" s="257">
        <v>0</v>
      </c>
    </row>
    <row r="37" spans="1:13" x14ac:dyDescent="0.3">
      <c r="A37" s="1479"/>
      <c r="B37" s="1458">
        <v>293</v>
      </c>
      <c r="C37" s="1455" t="s">
        <v>4717</v>
      </c>
      <c r="D37" s="1488" t="s">
        <v>4685</v>
      </c>
      <c r="E37" s="252" t="s">
        <v>390</v>
      </c>
      <c r="F37" s="260">
        <v>540620734</v>
      </c>
      <c r="G37" s="256">
        <v>0</v>
      </c>
      <c r="H37" s="256">
        <v>540620734</v>
      </c>
      <c r="I37" s="256">
        <v>0</v>
      </c>
      <c r="J37" s="256">
        <v>283109013</v>
      </c>
      <c r="K37" s="256">
        <v>129261322</v>
      </c>
      <c r="L37" s="260">
        <v>412370335</v>
      </c>
      <c r="M37" s="257">
        <v>128250399</v>
      </c>
    </row>
    <row r="38" spans="1:13" x14ac:dyDescent="0.3">
      <c r="A38" s="1479"/>
      <c r="B38" s="1459"/>
      <c r="C38" s="1461"/>
      <c r="D38" s="1489"/>
      <c r="E38" s="252" t="s">
        <v>4718</v>
      </c>
      <c r="F38" s="256">
        <v>3897513995</v>
      </c>
      <c r="G38" s="256">
        <v>0</v>
      </c>
      <c r="H38" s="256">
        <v>3897513995</v>
      </c>
      <c r="I38" s="256">
        <v>0</v>
      </c>
      <c r="J38" s="256">
        <v>0</v>
      </c>
      <c r="K38" s="256">
        <v>429489722</v>
      </c>
      <c r="L38" s="256">
        <v>429489722</v>
      </c>
      <c r="M38" s="257">
        <v>3468024273</v>
      </c>
    </row>
    <row r="39" spans="1:13" ht="12.75" customHeight="1" x14ac:dyDescent="0.3">
      <c r="A39" s="1479"/>
      <c r="B39" s="1460"/>
      <c r="C39" s="1456"/>
      <c r="D39" s="1490"/>
      <c r="E39" s="252" t="s">
        <v>421</v>
      </c>
      <c r="F39" s="256">
        <v>0</v>
      </c>
      <c r="G39" s="256">
        <v>0</v>
      </c>
      <c r="H39" s="256">
        <v>0</v>
      </c>
      <c r="I39" s="256">
        <v>0</v>
      </c>
      <c r="J39" s="256">
        <v>0</v>
      </c>
      <c r="K39" s="256">
        <v>0</v>
      </c>
      <c r="L39" s="256">
        <v>0</v>
      </c>
      <c r="M39" s="257">
        <v>0</v>
      </c>
    </row>
    <row r="40" spans="1:13" x14ac:dyDescent="0.3">
      <c r="A40" s="1479"/>
      <c r="B40" s="261">
        <v>294</v>
      </c>
      <c r="C40" s="258" t="s">
        <v>4719</v>
      </c>
      <c r="D40" s="1473" t="s">
        <v>4685</v>
      </c>
      <c r="E40" s="258" t="s">
        <v>4720</v>
      </c>
      <c r="F40" s="256">
        <v>6636995128</v>
      </c>
      <c r="G40" s="256">
        <v>0</v>
      </c>
      <c r="H40" s="256">
        <v>6636995128</v>
      </c>
      <c r="I40" s="256">
        <v>0</v>
      </c>
      <c r="J40" s="256">
        <v>0</v>
      </c>
      <c r="K40" s="256">
        <v>1580025696</v>
      </c>
      <c r="L40" s="256">
        <v>1580025696</v>
      </c>
      <c r="M40" s="257">
        <v>5056969432</v>
      </c>
    </row>
    <row r="41" spans="1:13" x14ac:dyDescent="0.3">
      <c r="A41" s="1479"/>
      <c r="B41" s="261">
        <v>296</v>
      </c>
      <c r="C41" s="252" t="s">
        <v>4721</v>
      </c>
      <c r="D41" s="1473"/>
      <c r="E41" s="252" t="s">
        <v>4722</v>
      </c>
      <c r="F41" s="256">
        <v>367820828</v>
      </c>
      <c r="G41" s="256">
        <v>13430000</v>
      </c>
      <c r="H41" s="256">
        <v>354390828</v>
      </c>
      <c r="I41" s="256">
        <v>0</v>
      </c>
      <c r="J41" s="256">
        <v>156517902</v>
      </c>
      <c r="K41" s="256">
        <v>86064327</v>
      </c>
      <c r="L41" s="256">
        <v>242582229</v>
      </c>
      <c r="M41" s="257">
        <v>111808599</v>
      </c>
    </row>
    <row r="42" spans="1:13" x14ac:dyDescent="0.3">
      <c r="A42" s="1479"/>
      <c r="B42" s="1458">
        <v>297</v>
      </c>
      <c r="C42" s="1455" t="s">
        <v>4723</v>
      </c>
      <c r="D42" s="1457" t="s">
        <v>4680</v>
      </c>
      <c r="E42" s="252" t="s">
        <v>4724</v>
      </c>
      <c r="F42" s="256">
        <v>748098733</v>
      </c>
      <c r="G42" s="256">
        <v>0</v>
      </c>
      <c r="H42" s="256">
        <v>748098733</v>
      </c>
      <c r="I42" s="256">
        <v>0</v>
      </c>
      <c r="J42" s="256">
        <v>51872067</v>
      </c>
      <c r="K42" s="256">
        <v>33100000</v>
      </c>
      <c r="L42" s="256">
        <v>84972067</v>
      </c>
      <c r="M42" s="257">
        <v>663126666</v>
      </c>
    </row>
    <row r="43" spans="1:13" x14ac:dyDescent="0.3">
      <c r="A43" s="1479"/>
      <c r="B43" s="1460"/>
      <c r="C43" s="1456"/>
      <c r="D43" s="1457"/>
      <c r="E43" s="252" t="s">
        <v>4725</v>
      </c>
      <c r="F43" s="256">
        <v>359222850</v>
      </c>
      <c r="G43" s="256">
        <v>0</v>
      </c>
      <c r="H43" s="256">
        <v>359222850</v>
      </c>
      <c r="I43" s="256">
        <v>28063505</v>
      </c>
      <c r="J43" s="256">
        <v>74571595</v>
      </c>
      <c r="K43" s="256">
        <v>51317550</v>
      </c>
      <c r="L43" s="256">
        <v>153952650</v>
      </c>
      <c r="M43" s="257">
        <v>205270200</v>
      </c>
    </row>
    <row r="44" spans="1:13" ht="14.4" thickBot="1" x14ac:dyDescent="0.3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4.4" thickBot="1" x14ac:dyDescent="0.35">
      <c r="A45" s="285"/>
      <c r="C45" s="286"/>
      <c r="D45" s="285"/>
      <c r="E45" s="285"/>
      <c r="F45" s="296"/>
      <c r="M45" s="266"/>
    </row>
    <row r="46" spans="1:13" x14ac:dyDescent="0.3">
      <c r="A46" s="1474" t="s">
        <v>4726</v>
      </c>
      <c r="B46" s="1470">
        <v>509</v>
      </c>
      <c r="C46" s="1470" t="s">
        <v>4727</v>
      </c>
      <c r="D46" s="1477"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3">
      <c r="A47" s="1475"/>
      <c r="B47" s="1471"/>
      <c r="C47" s="1471"/>
      <c r="D47" s="1478"/>
      <c r="E47" s="270" t="s">
        <v>4728</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3">
      <c r="A48" s="1475"/>
      <c r="B48" s="1471"/>
      <c r="C48" s="1471"/>
      <c r="D48" s="240" t="s">
        <v>184</v>
      </c>
      <c r="E48" s="226" t="s">
        <v>4729</v>
      </c>
      <c r="F48" s="256">
        <v>1348945476</v>
      </c>
      <c r="G48" s="256">
        <v>0</v>
      </c>
      <c r="H48" s="256">
        <f t="shared" si="0"/>
        <v>1348945476</v>
      </c>
      <c r="I48" s="256">
        <v>0</v>
      </c>
      <c r="J48" s="256">
        <v>169247286</v>
      </c>
      <c r="K48" s="256">
        <v>550876160</v>
      </c>
      <c r="L48" s="289">
        <f t="shared" si="1"/>
        <v>720123446</v>
      </c>
      <c r="M48" s="294">
        <f t="shared" si="2"/>
        <v>628822030</v>
      </c>
    </row>
    <row r="49" spans="1:13" x14ac:dyDescent="0.3">
      <c r="A49" s="1475"/>
      <c r="B49" s="1471"/>
      <c r="C49" s="1471"/>
      <c r="D49" s="287" t="s">
        <v>143</v>
      </c>
      <c r="E49" s="270" t="s">
        <v>4728</v>
      </c>
      <c r="F49" s="256">
        <v>779787974</v>
      </c>
      <c r="G49" s="256">
        <v>0</v>
      </c>
      <c r="H49" s="256">
        <f t="shared" si="0"/>
        <v>779787974</v>
      </c>
      <c r="I49" s="256">
        <v>0</v>
      </c>
      <c r="J49" s="256">
        <v>82200000</v>
      </c>
      <c r="K49" s="256">
        <v>51624361</v>
      </c>
      <c r="L49" s="289">
        <f t="shared" si="1"/>
        <v>133824361</v>
      </c>
      <c r="M49" s="294">
        <f t="shared" si="2"/>
        <v>645963613</v>
      </c>
    </row>
    <row r="50" spans="1:13" x14ac:dyDescent="0.3">
      <c r="A50" s="1475"/>
      <c r="B50" s="1471"/>
      <c r="C50" s="1471"/>
      <c r="D50" s="226" t="s">
        <v>210</v>
      </c>
      <c r="E50" s="270" t="s">
        <v>4728</v>
      </c>
      <c r="F50" s="256">
        <v>189354635</v>
      </c>
      <c r="G50" s="256">
        <v>0</v>
      </c>
      <c r="H50" s="256">
        <f t="shared" si="0"/>
        <v>189354635</v>
      </c>
      <c r="I50" s="256">
        <v>0</v>
      </c>
      <c r="J50" s="256">
        <v>69159674</v>
      </c>
      <c r="K50" s="256">
        <v>51351469</v>
      </c>
      <c r="L50" s="289">
        <f t="shared" si="1"/>
        <v>120511143</v>
      </c>
      <c r="M50" s="294">
        <f t="shared" si="2"/>
        <v>68843492</v>
      </c>
    </row>
    <row r="51" spans="1:13" x14ac:dyDescent="0.3">
      <c r="A51" s="1475"/>
      <c r="B51" s="1471"/>
      <c r="C51" s="1471"/>
      <c r="D51" s="226" t="s">
        <v>214</v>
      </c>
      <c r="E51" s="270" t="s">
        <v>4728</v>
      </c>
      <c r="F51" s="256">
        <v>986157067</v>
      </c>
      <c r="G51" s="256">
        <v>0</v>
      </c>
      <c r="H51" s="256">
        <f t="shared" si="0"/>
        <v>986157067</v>
      </c>
      <c r="I51" s="256">
        <v>0</v>
      </c>
      <c r="J51" s="256">
        <v>265945102</v>
      </c>
      <c r="K51" s="256">
        <v>244826741</v>
      </c>
      <c r="L51" s="289">
        <f t="shared" si="1"/>
        <v>510771843</v>
      </c>
      <c r="M51" s="294">
        <f t="shared" si="2"/>
        <v>475385224</v>
      </c>
    </row>
    <row r="52" spans="1:13" x14ac:dyDescent="0.3">
      <c r="A52" s="1476"/>
      <c r="B52" s="1471"/>
      <c r="C52" s="1471"/>
      <c r="D52" s="226" t="s">
        <v>206</v>
      </c>
      <c r="E52" s="270" t="s">
        <v>4728</v>
      </c>
      <c r="F52" s="256">
        <v>38133332</v>
      </c>
      <c r="G52" s="256">
        <v>0</v>
      </c>
      <c r="H52" s="295">
        <f t="shared" si="0"/>
        <v>38133332</v>
      </c>
      <c r="I52" s="256">
        <v>0</v>
      </c>
      <c r="J52" s="256">
        <v>12566666</v>
      </c>
      <c r="K52" s="256">
        <v>19716666</v>
      </c>
      <c r="L52" s="289">
        <f t="shared" si="1"/>
        <v>32283332</v>
      </c>
      <c r="M52" s="294">
        <f t="shared" si="2"/>
        <v>5850000</v>
      </c>
    </row>
    <row r="53" spans="1:13" ht="14.4" thickBot="1" x14ac:dyDescent="0.3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4.4" thickBot="1" x14ac:dyDescent="0.35">
      <c r="L54" s="272"/>
      <c r="M54" s="273">
        <v>0</v>
      </c>
    </row>
    <row r="55" spans="1:13" x14ac:dyDescent="0.3">
      <c r="A55" s="1468" t="s">
        <v>4730</v>
      </c>
      <c r="B55" s="1470">
        <v>278</v>
      </c>
      <c r="C55" s="1470" t="s">
        <v>4731</v>
      </c>
      <c r="D55" s="1472" t="s">
        <v>4690</v>
      </c>
      <c r="E55" s="267" t="s">
        <v>81</v>
      </c>
      <c r="F55" s="283">
        <v>318199601</v>
      </c>
      <c r="G55" s="268">
        <v>0</v>
      </c>
      <c r="H55" s="268">
        <v>318199601</v>
      </c>
      <c r="I55" s="268">
        <v>0</v>
      </c>
      <c r="J55" s="268">
        <v>0</v>
      </c>
      <c r="K55" s="268">
        <v>14629877</v>
      </c>
      <c r="L55" s="274">
        <v>14629877</v>
      </c>
      <c r="M55" s="269">
        <v>303569724</v>
      </c>
    </row>
    <row r="56" spans="1:13" x14ac:dyDescent="0.3">
      <c r="A56" s="1469"/>
      <c r="B56" s="1471"/>
      <c r="C56" s="1471"/>
      <c r="D56" s="1473"/>
      <c r="E56" s="270" t="s">
        <v>4732</v>
      </c>
      <c r="F56" s="256">
        <v>1231297370</v>
      </c>
      <c r="G56" s="256">
        <v>0</v>
      </c>
      <c r="H56" s="256">
        <v>1231297370</v>
      </c>
      <c r="I56" s="256">
        <v>0</v>
      </c>
      <c r="J56" s="256">
        <v>224383229</v>
      </c>
      <c r="K56" s="256">
        <v>88195896</v>
      </c>
      <c r="L56" s="256">
        <v>312579125</v>
      </c>
      <c r="M56" s="257">
        <v>918718245</v>
      </c>
    </row>
    <row r="57" spans="1:13" ht="12.75" customHeight="1" x14ac:dyDescent="0.3">
      <c r="A57" s="1469"/>
      <c r="B57" s="1471"/>
      <c r="C57" s="1471"/>
      <c r="D57" s="1473"/>
      <c r="E57" s="270" t="s">
        <v>4733</v>
      </c>
      <c r="F57" s="256">
        <v>383916527</v>
      </c>
      <c r="G57" s="256">
        <v>0</v>
      </c>
      <c r="H57" s="256">
        <v>383916527</v>
      </c>
      <c r="I57" s="256">
        <v>0</v>
      </c>
      <c r="J57" s="256">
        <v>190409230</v>
      </c>
      <c r="K57" s="256">
        <v>60903382</v>
      </c>
      <c r="L57" s="256">
        <v>251312612</v>
      </c>
      <c r="M57" s="257">
        <v>132603915</v>
      </c>
    </row>
    <row r="58" spans="1:13" x14ac:dyDescent="0.3">
      <c r="A58" s="1469"/>
      <c r="B58" s="1471"/>
      <c r="C58" s="1471"/>
      <c r="D58" s="1473"/>
      <c r="E58" s="226" t="s">
        <v>4734</v>
      </c>
      <c r="F58" s="256">
        <v>0</v>
      </c>
      <c r="G58" s="256">
        <v>0</v>
      </c>
      <c r="H58" s="256">
        <v>0</v>
      </c>
      <c r="I58" s="256">
        <v>0</v>
      </c>
      <c r="J58" s="256">
        <v>0</v>
      </c>
      <c r="K58" s="256">
        <v>0</v>
      </c>
      <c r="L58" s="256">
        <v>0</v>
      </c>
      <c r="M58" s="257">
        <v>0</v>
      </c>
    </row>
    <row r="59" spans="1:13" ht="14.4" thickBot="1" x14ac:dyDescent="0.3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4.4" thickBot="1" x14ac:dyDescent="0.35">
      <c r="F60" s="284">
        <f>+F59+F13</f>
        <v>2000928130</v>
      </c>
      <c r="M60" s="273">
        <v>0</v>
      </c>
    </row>
    <row r="61" spans="1:13" x14ac:dyDescent="0.3">
      <c r="A61" s="1468" t="s">
        <v>4735</v>
      </c>
      <c r="B61" s="1470">
        <v>335</v>
      </c>
      <c r="C61" s="1470" t="s">
        <v>4736</v>
      </c>
      <c r="D61" s="1466" t="s">
        <v>4690</v>
      </c>
      <c r="E61" s="233" t="s">
        <v>113</v>
      </c>
      <c r="F61" s="268">
        <v>2475172690</v>
      </c>
      <c r="G61" s="268">
        <v>0</v>
      </c>
      <c r="H61" s="268">
        <v>2475172690</v>
      </c>
      <c r="I61" s="268">
        <v>0</v>
      </c>
      <c r="J61" s="268">
        <v>960000000</v>
      </c>
      <c r="K61" s="268">
        <v>470000000</v>
      </c>
      <c r="L61" s="268">
        <v>1430000000</v>
      </c>
      <c r="M61" s="269">
        <v>1045172690</v>
      </c>
    </row>
    <row r="62" spans="1:13" x14ac:dyDescent="0.3">
      <c r="A62" s="1469"/>
      <c r="B62" s="1471"/>
      <c r="C62" s="1471"/>
      <c r="D62" s="1467"/>
      <c r="E62" s="226" t="s">
        <v>4737</v>
      </c>
      <c r="F62" s="256">
        <v>245315690</v>
      </c>
      <c r="G62" s="256">
        <v>0</v>
      </c>
      <c r="H62" s="256">
        <v>245315690</v>
      </c>
      <c r="I62" s="256">
        <v>0</v>
      </c>
      <c r="J62" s="256">
        <v>117997808</v>
      </c>
      <c r="K62" s="256">
        <v>78520699</v>
      </c>
      <c r="L62" s="256">
        <v>196518507</v>
      </c>
      <c r="M62" s="257">
        <v>48797183</v>
      </c>
    </row>
    <row r="63" spans="1:13" ht="14.4" thickBot="1" x14ac:dyDescent="0.3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4.4" thickBot="1" x14ac:dyDescent="0.35">
      <c r="F64" s="284">
        <f>+F63+F16</f>
        <v>3050203442</v>
      </c>
      <c r="M64" s="273">
        <v>0</v>
      </c>
    </row>
    <row r="65" spans="1:13" x14ac:dyDescent="0.3">
      <c r="A65" s="1462" t="s">
        <v>4738</v>
      </c>
      <c r="B65" s="1464">
        <v>5</v>
      </c>
      <c r="C65" s="1464" t="s">
        <v>4739</v>
      </c>
      <c r="D65" s="1466" t="s">
        <v>4690</v>
      </c>
      <c r="E65" s="233" t="s">
        <v>4740</v>
      </c>
      <c r="F65" s="268">
        <v>400000000</v>
      </c>
      <c r="G65" s="268">
        <v>0</v>
      </c>
      <c r="H65" s="268">
        <v>400000000</v>
      </c>
      <c r="I65" s="268">
        <v>0</v>
      </c>
      <c r="J65" s="268">
        <v>390632270</v>
      </c>
      <c r="K65" s="268">
        <v>4276920</v>
      </c>
      <c r="L65" s="234">
        <v>394909190</v>
      </c>
      <c r="M65" s="269">
        <v>5090810</v>
      </c>
    </row>
    <row r="66" spans="1:13" x14ac:dyDescent="0.3">
      <c r="A66" s="1463"/>
      <c r="B66" s="1465"/>
      <c r="C66" s="1465"/>
      <c r="D66" s="1467"/>
      <c r="E66" s="226" t="s">
        <v>4741</v>
      </c>
      <c r="F66" s="256">
        <v>0</v>
      </c>
      <c r="G66" s="256">
        <v>0</v>
      </c>
      <c r="H66" s="256">
        <v>0</v>
      </c>
      <c r="I66" s="256">
        <v>0</v>
      </c>
      <c r="J66" s="256">
        <v>0</v>
      </c>
      <c r="K66" s="256">
        <v>0</v>
      </c>
      <c r="L66" s="226">
        <v>0</v>
      </c>
      <c r="M66" s="257">
        <v>0</v>
      </c>
    </row>
    <row r="67" spans="1:13" ht="14.4" thickBot="1" x14ac:dyDescent="0.35">
      <c r="A67" s="229"/>
      <c r="B67" s="230"/>
      <c r="C67" s="230"/>
      <c r="D67" s="230"/>
      <c r="E67" s="230"/>
      <c r="F67" s="231">
        <v>400000000</v>
      </c>
      <c r="G67" s="231">
        <v>0</v>
      </c>
      <c r="H67" s="231">
        <v>400000000</v>
      </c>
      <c r="I67" s="231">
        <v>0</v>
      </c>
      <c r="J67" s="231">
        <v>390632270</v>
      </c>
      <c r="K67" s="231">
        <v>4276920</v>
      </c>
      <c r="L67" s="231">
        <v>394909190</v>
      </c>
      <c r="M67" s="231">
        <v>5090810</v>
      </c>
    </row>
    <row r="69" spans="1:13" ht="14.4" x14ac:dyDescent="0.3">
      <c r="E69" s="276" t="s">
        <v>4742</v>
      </c>
      <c r="F69" s="277">
        <v>41653138944</v>
      </c>
      <c r="G69" s="277">
        <v>163686274</v>
      </c>
      <c r="H69" s="277">
        <v>41489452670</v>
      </c>
      <c r="I69" s="277">
        <v>56808986</v>
      </c>
      <c r="J69" s="277">
        <v>4529413967</v>
      </c>
      <c r="K69" s="277">
        <v>7139501548</v>
      </c>
      <c r="L69" s="277">
        <v>11725724501</v>
      </c>
      <c r="M69" s="277">
        <v>29763728169</v>
      </c>
    </row>
    <row r="70" spans="1:13" ht="3" customHeight="1" x14ac:dyDescent="0.3">
      <c r="E70" s="278"/>
      <c r="F70" s="279"/>
      <c r="G70" s="279"/>
      <c r="H70" s="279"/>
      <c r="I70" s="279"/>
      <c r="J70" s="279"/>
      <c r="K70" s="279"/>
      <c r="L70" s="279"/>
      <c r="M70" s="279"/>
    </row>
    <row r="71" spans="1:13" x14ac:dyDescent="0.3">
      <c r="E71" s="280" t="s">
        <v>4743</v>
      </c>
      <c r="F71" s="281">
        <v>3102982477</v>
      </c>
      <c r="G71" s="281"/>
      <c r="H71" s="281">
        <v>3102982477</v>
      </c>
      <c r="I71" s="281">
        <v>56808986</v>
      </c>
      <c r="J71" s="281">
        <v>391172201</v>
      </c>
      <c r="K71" s="281">
        <v>150919843</v>
      </c>
      <c r="L71" s="281">
        <v>1398284235</v>
      </c>
      <c r="M71" s="281">
        <v>1704698242</v>
      </c>
    </row>
    <row r="72" spans="1:13" ht="3" customHeight="1" x14ac:dyDescent="0.3">
      <c r="E72" s="278"/>
    </row>
    <row r="73" spans="1:13" ht="14.4" x14ac:dyDescent="0.3">
      <c r="E73" s="276" t="s">
        <v>4744</v>
      </c>
      <c r="F73" s="277">
        <v>44756121421</v>
      </c>
      <c r="G73" s="277">
        <v>163686274</v>
      </c>
      <c r="H73" s="277">
        <v>44592435147</v>
      </c>
      <c r="I73" s="277">
        <v>113617972</v>
      </c>
      <c r="J73" s="277">
        <v>4920586168</v>
      </c>
      <c r="K73" s="277">
        <v>7290421391</v>
      </c>
      <c r="L73" s="277">
        <v>13124008736</v>
      </c>
      <c r="M73" s="277">
        <v>31468426411</v>
      </c>
    </row>
    <row r="75" spans="1:13" x14ac:dyDescent="0.3">
      <c r="E75" s="282" t="s">
        <v>4745</v>
      </c>
    </row>
  </sheetData>
  <mergeCells count="53">
    <mergeCell ref="B1:C1"/>
    <mergeCell ref="A2:A7"/>
    <mergeCell ref="B2:B7"/>
    <mergeCell ref="C2:C7"/>
    <mergeCell ref="D2:D3"/>
    <mergeCell ref="D4:D5"/>
    <mergeCell ref="D6:D7"/>
    <mergeCell ref="D37:D39"/>
    <mergeCell ref="A10:A12"/>
    <mergeCell ref="B10:B12"/>
    <mergeCell ref="C10:C12"/>
    <mergeCell ref="D10:D12"/>
    <mergeCell ref="A15:A16"/>
    <mergeCell ref="B15:B16"/>
    <mergeCell ref="C15:C16"/>
    <mergeCell ref="D15:D16"/>
    <mergeCell ref="E15:E16"/>
    <mergeCell ref="A18:A21"/>
    <mergeCell ref="B18:B21"/>
    <mergeCell ref="C18:C21"/>
    <mergeCell ref="B24:C24"/>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3"/>
  <sheetViews>
    <sheetView zoomScale="136" zoomScaleNormal="136" workbookViewId="0">
      <selection activeCell="G13" sqref="G13"/>
    </sheetView>
  </sheetViews>
  <sheetFormatPr baseColWidth="10" defaultColWidth="11.5546875" defaultRowHeight="14.4" x14ac:dyDescent="0.3"/>
  <cols>
    <col min="2" max="2" width="27.88671875" customWidth="1"/>
    <col min="3" max="3" width="18.5546875" customWidth="1"/>
    <col min="4" max="4" width="20.5546875" customWidth="1"/>
    <col min="5" max="5" width="15.109375" customWidth="1"/>
    <col min="6" max="6" width="16.44140625" customWidth="1"/>
    <col min="7" max="7" width="15.88671875" customWidth="1"/>
    <col min="8" max="8" width="20.88671875" customWidth="1"/>
    <col min="9" max="9" width="24.5546875" customWidth="1"/>
    <col min="10" max="10" width="108.88671875" customWidth="1"/>
    <col min="11" max="11" width="87.6640625" customWidth="1"/>
  </cols>
  <sheetData>
    <row r="1" spans="1:31" s="1" customFormat="1" ht="23.4" x14ac:dyDescent="0.45">
      <c r="A1" s="1501" t="s">
        <v>4746</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row>
    <row r="2" spans="1:31" s="1" customFormat="1" ht="23.4" x14ac:dyDescent="0.45">
      <c r="A2" s="1501" t="s">
        <v>4747</v>
      </c>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row>
    <row r="3" spans="1:31" s="1" customFormat="1" ht="23.4" x14ac:dyDescent="0.45">
      <c r="A3" s="1501" t="s">
        <v>4748</v>
      </c>
      <c r="B3" s="1502"/>
      <c r="C3" s="1502"/>
      <c r="D3" s="1502"/>
      <c r="E3" s="1502"/>
      <c r="F3" s="1502"/>
      <c r="G3" s="1502"/>
      <c r="H3" s="1502"/>
      <c r="I3" s="1502"/>
      <c r="J3" s="1502"/>
      <c r="K3" s="1502"/>
      <c r="L3" s="1502"/>
      <c r="M3" s="1502"/>
      <c r="N3" s="1502"/>
      <c r="O3" s="1502"/>
      <c r="P3" s="1502"/>
      <c r="Q3" s="1502"/>
      <c r="R3" s="1502"/>
      <c r="S3" s="1502"/>
      <c r="T3" s="1502"/>
      <c r="U3" s="1502"/>
      <c r="V3" s="1502"/>
      <c r="W3" s="1502"/>
      <c r="X3" s="1502"/>
      <c r="Y3" s="1502"/>
      <c r="Z3" s="1502"/>
      <c r="AA3" s="1502"/>
      <c r="AB3" s="1502"/>
      <c r="AC3" s="1502"/>
      <c r="AD3" s="1502"/>
      <c r="AE3" s="1502"/>
    </row>
    <row r="4" spans="1:31" s="1" customFormat="1" ht="23.4" x14ac:dyDescent="0.45">
      <c r="A4" s="188" t="s">
        <v>4749</v>
      </c>
      <c r="B4" s="189" t="s">
        <v>4750</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3"/>
    <row r="6" spans="1:31" s="1" customFormat="1" ht="15" thickBot="1" x14ac:dyDescent="0.35"/>
    <row r="7" spans="1:31" ht="63" thickBot="1" x14ac:dyDescent="0.35">
      <c r="A7" s="190" t="s">
        <v>4667</v>
      </c>
      <c r="B7" s="191" t="s">
        <v>4751</v>
      </c>
      <c r="C7" s="191" t="s">
        <v>4752</v>
      </c>
      <c r="D7" s="191" t="s">
        <v>4753</v>
      </c>
      <c r="E7" s="191" t="s">
        <v>4754</v>
      </c>
      <c r="F7" s="191" t="s">
        <v>4755</v>
      </c>
      <c r="G7" s="191" t="s">
        <v>4756</v>
      </c>
      <c r="H7" s="191" t="s">
        <v>4757</v>
      </c>
      <c r="I7" s="192" t="s">
        <v>4758</v>
      </c>
      <c r="J7" s="193" t="s">
        <v>4759</v>
      </c>
      <c r="K7" s="193" t="s">
        <v>4760</v>
      </c>
    </row>
    <row r="8" spans="1:31" ht="93" customHeight="1" x14ac:dyDescent="0.3">
      <c r="A8" s="194">
        <v>7628</v>
      </c>
      <c r="B8" s="195" t="s">
        <v>4761</v>
      </c>
      <c r="C8" s="196">
        <v>12591966000</v>
      </c>
      <c r="D8" s="196">
        <v>458448851</v>
      </c>
      <c r="E8" s="197">
        <f t="shared" ref="E8:E20" si="0">D8/C8</f>
        <v>3.6408043906725925E-2</v>
      </c>
      <c r="F8" s="197">
        <v>1</v>
      </c>
      <c r="G8" s="197">
        <v>1.2E-2</v>
      </c>
      <c r="H8" s="197">
        <f>G8/F8</f>
        <v>1.2E-2</v>
      </c>
      <c r="I8" s="198">
        <v>0.2024</v>
      </c>
      <c r="J8" s="199" t="s">
        <v>4762</v>
      </c>
      <c r="K8" s="199"/>
    </row>
    <row r="9" spans="1:31" ht="75" customHeight="1" x14ac:dyDescent="0.3">
      <c r="A9" s="148">
        <v>7660</v>
      </c>
      <c r="B9" s="199" t="s">
        <v>4763</v>
      </c>
      <c r="C9" s="200">
        <v>100000000</v>
      </c>
      <c r="D9" s="200">
        <v>0</v>
      </c>
      <c r="E9" s="201">
        <f t="shared" si="0"/>
        <v>0</v>
      </c>
      <c r="F9" s="202">
        <v>3396</v>
      </c>
      <c r="G9" s="202">
        <v>163</v>
      </c>
      <c r="H9" s="201">
        <f>G9/F9</f>
        <v>4.7997644287396939E-2</v>
      </c>
      <c r="I9" s="203">
        <v>0.1242</v>
      </c>
      <c r="J9" s="199" t="s">
        <v>4764</v>
      </c>
      <c r="K9" s="199"/>
    </row>
    <row r="10" spans="1:31" ht="106.5" customHeight="1" x14ac:dyDescent="0.3">
      <c r="A10" s="148">
        <v>7644</v>
      </c>
      <c r="B10" s="199" t="s">
        <v>37</v>
      </c>
      <c r="C10" s="200">
        <v>6894681000</v>
      </c>
      <c r="D10" s="200">
        <v>0</v>
      </c>
      <c r="E10" s="204">
        <f t="shared" si="0"/>
        <v>0</v>
      </c>
      <c r="F10" s="202">
        <v>475</v>
      </c>
      <c r="G10" s="202">
        <v>0</v>
      </c>
      <c r="H10" s="201">
        <v>0</v>
      </c>
      <c r="I10" s="198">
        <v>0</v>
      </c>
      <c r="J10" s="199" t="s">
        <v>4765</v>
      </c>
      <c r="K10" s="199" t="s">
        <v>4766</v>
      </c>
    </row>
    <row r="11" spans="1:31" ht="102.9" customHeight="1" x14ac:dyDescent="0.3">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4767</v>
      </c>
      <c r="K11" s="199"/>
    </row>
    <row r="12" spans="1:31" ht="75" customHeight="1" x14ac:dyDescent="0.3">
      <c r="A12" s="148">
        <v>7569</v>
      </c>
      <c r="B12" s="199" t="s">
        <v>4768</v>
      </c>
      <c r="C12" s="200">
        <v>294780000</v>
      </c>
      <c r="D12" s="200">
        <v>0</v>
      </c>
      <c r="E12" s="201">
        <f t="shared" si="0"/>
        <v>0</v>
      </c>
      <c r="F12" s="202">
        <v>1</v>
      </c>
      <c r="G12" s="202">
        <v>0</v>
      </c>
      <c r="H12" s="201">
        <f t="shared" si="1"/>
        <v>0</v>
      </c>
      <c r="I12" s="203">
        <v>0.2</v>
      </c>
      <c r="J12" s="199" t="s">
        <v>4769</v>
      </c>
      <c r="K12" s="199"/>
    </row>
    <row r="13" spans="1:31" ht="75" customHeight="1" x14ac:dyDescent="0.3">
      <c r="A13" s="148">
        <v>7569</v>
      </c>
      <c r="B13" s="199" t="s">
        <v>378</v>
      </c>
      <c r="C13" s="200">
        <v>300000000</v>
      </c>
      <c r="D13" s="200">
        <v>108350</v>
      </c>
      <c r="E13" s="201">
        <f t="shared" si="0"/>
        <v>3.6116666666666665E-4</v>
      </c>
      <c r="F13" s="206">
        <v>0.76</v>
      </c>
      <c r="G13" s="206">
        <v>0</v>
      </c>
      <c r="H13" s="201">
        <f t="shared" si="1"/>
        <v>0</v>
      </c>
      <c r="I13" s="203">
        <v>0.24</v>
      </c>
      <c r="J13" s="199" t="s">
        <v>4770</v>
      </c>
      <c r="K13" s="199"/>
    </row>
    <row r="14" spans="1:31" ht="75" customHeight="1" x14ac:dyDescent="0.3">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4771</v>
      </c>
      <c r="K14" s="199"/>
    </row>
    <row r="15" spans="1:31" ht="135" customHeight="1" x14ac:dyDescent="0.3">
      <c r="A15" s="148">
        <v>7569</v>
      </c>
      <c r="B15" s="199" t="s">
        <v>389</v>
      </c>
      <c r="C15" s="200">
        <v>42861454668</v>
      </c>
      <c r="D15" s="200">
        <v>0</v>
      </c>
      <c r="E15" s="201">
        <f t="shared" si="0"/>
        <v>0</v>
      </c>
      <c r="F15" s="204">
        <v>1</v>
      </c>
      <c r="G15" s="201">
        <v>8.3299999999999999E-2</v>
      </c>
      <c r="H15" s="201">
        <f t="shared" si="1"/>
        <v>8.3299999999999999E-2</v>
      </c>
      <c r="I15" s="203">
        <v>0.2167</v>
      </c>
      <c r="J15" s="199" t="s">
        <v>4772</v>
      </c>
      <c r="K15" s="199"/>
    </row>
    <row r="16" spans="1:31" ht="75" customHeight="1" x14ac:dyDescent="0.3">
      <c r="A16" s="148">
        <v>7569</v>
      </c>
      <c r="B16" s="199" t="s">
        <v>426</v>
      </c>
      <c r="C16" s="200">
        <v>19330561332</v>
      </c>
      <c r="D16" s="200">
        <v>0</v>
      </c>
      <c r="E16" s="201">
        <f t="shared" si="0"/>
        <v>0</v>
      </c>
      <c r="F16" s="204">
        <v>1</v>
      </c>
      <c r="G16" s="201">
        <v>8.3299999999999999E-2</v>
      </c>
      <c r="H16" s="201">
        <f t="shared" si="1"/>
        <v>8.3299999999999999E-2</v>
      </c>
      <c r="I16" s="203">
        <v>0.2167</v>
      </c>
      <c r="J16" s="199" t="s">
        <v>4773</v>
      </c>
      <c r="K16" s="199"/>
    </row>
    <row r="17" spans="1:11" ht="75" customHeight="1" x14ac:dyDescent="0.3">
      <c r="A17" s="148">
        <v>7569</v>
      </c>
      <c r="B17" s="199" t="s">
        <v>358</v>
      </c>
      <c r="C17" s="200">
        <v>1711170350</v>
      </c>
      <c r="D17" s="200">
        <v>57000000</v>
      </c>
      <c r="E17" s="201">
        <f t="shared" si="0"/>
        <v>3.3310535096637221E-2</v>
      </c>
      <c r="F17" s="202">
        <v>1</v>
      </c>
      <c r="G17" s="206">
        <v>0</v>
      </c>
      <c r="H17" s="201">
        <v>0</v>
      </c>
      <c r="I17" s="203">
        <v>0</v>
      </c>
      <c r="J17" s="199" t="s">
        <v>4770</v>
      </c>
      <c r="K17" s="199" t="s">
        <v>4774</v>
      </c>
    </row>
    <row r="18" spans="1:11" ht="75" customHeight="1" x14ac:dyDescent="0.3">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4775</v>
      </c>
      <c r="K18" s="199"/>
    </row>
    <row r="19" spans="1:11" ht="75" customHeight="1" x14ac:dyDescent="0.3">
      <c r="A19" s="148">
        <v>7652</v>
      </c>
      <c r="B19" s="199" t="s">
        <v>4776</v>
      </c>
      <c r="C19" s="200">
        <v>7926512000</v>
      </c>
      <c r="D19" s="200">
        <v>96984000</v>
      </c>
      <c r="E19" s="201">
        <f t="shared" si="0"/>
        <v>1.2235394332336846E-2</v>
      </c>
      <c r="F19" s="202">
        <v>23258</v>
      </c>
      <c r="G19" s="202">
        <v>1390</v>
      </c>
      <c r="H19" s="201">
        <f>G19/F19</f>
        <v>5.9764382148078082E-2</v>
      </c>
      <c r="I19" s="203">
        <v>0.10639999999999999</v>
      </c>
      <c r="J19" s="199" t="s">
        <v>4777</v>
      </c>
      <c r="K19" s="199"/>
    </row>
    <row r="20" spans="1:11" x14ac:dyDescent="0.3">
      <c r="B20" s="207" t="s">
        <v>4778</v>
      </c>
      <c r="C20" s="208">
        <f>SUM(C8:C19)</f>
        <v>147117947000</v>
      </c>
      <c r="D20" s="208">
        <f>SUM(D8:D19)</f>
        <v>2091294033</v>
      </c>
      <c r="E20" s="209">
        <f t="shared" si="0"/>
        <v>1.4215084397554841E-2</v>
      </c>
    </row>
    <row r="21" spans="1:11" s="1" customFormat="1" x14ac:dyDescent="0.3">
      <c r="A21" s="131" t="s">
        <v>4779</v>
      </c>
      <c r="B21" s="131"/>
    </row>
    <row r="22" spans="1:11" s="1" customFormat="1" x14ac:dyDescent="0.3"/>
    <row r="23" spans="1:11" s="1" customFormat="1" x14ac:dyDescent="0.3"/>
    <row r="24" spans="1:11" s="1" customFormat="1" x14ac:dyDescent="0.3"/>
    <row r="25" spans="1:11" s="1" customFormat="1" x14ac:dyDescent="0.3"/>
    <row r="26" spans="1:11" s="1" customFormat="1" x14ac:dyDescent="0.3"/>
    <row r="27" spans="1:11" s="1" customFormat="1" x14ac:dyDescent="0.3"/>
    <row r="28" spans="1:11" s="1" customFormat="1" x14ac:dyDescent="0.3"/>
    <row r="29" spans="1:11" s="1" customFormat="1" x14ac:dyDescent="0.3"/>
    <row r="30" spans="1:11" s="1" customFormat="1" x14ac:dyDescent="0.3"/>
    <row r="31" spans="1:11" s="1" customFormat="1" x14ac:dyDescent="0.3"/>
    <row r="32" spans="1:11" s="1" customFormat="1" x14ac:dyDescent="0.3"/>
    <row r="33" s="1" customFormat="1" x14ac:dyDescent="0.3"/>
  </sheetData>
  <autoFilter ref="A7:AE21" xr:uid="{00000000-0009-0000-0000-00000D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4140625" defaultRowHeight="13.8" x14ac:dyDescent="0.3"/>
  <cols>
    <col min="1" max="1" width="19.6640625" style="888" bestFit="1" customWidth="1"/>
    <col min="2" max="2" width="17.88671875" style="888" bestFit="1" customWidth="1"/>
    <col min="3" max="3" width="75.33203125" style="989" customWidth="1"/>
    <col min="4" max="4" width="13.88671875" style="888" bestFit="1" customWidth="1"/>
    <col min="5" max="5" width="13.88671875" style="990" customWidth="1"/>
    <col min="6" max="6" width="55.88671875" style="989" customWidth="1"/>
    <col min="7" max="7" width="11.44140625" style="972"/>
    <col min="8" max="16384" width="11.44140625" style="888"/>
  </cols>
  <sheetData>
    <row r="1" spans="1:7" x14ac:dyDescent="0.3">
      <c r="A1" s="1448" t="s">
        <v>444</v>
      </c>
      <c r="B1" s="1448"/>
      <c r="C1" s="1448"/>
      <c r="D1" s="1448"/>
      <c r="E1" s="1448"/>
      <c r="F1" s="1448"/>
    </row>
    <row r="2" spans="1:7" x14ac:dyDescent="0.3">
      <c r="A2" s="973" t="s">
        <v>445</v>
      </c>
      <c r="B2" s="973" t="s">
        <v>446</v>
      </c>
      <c r="C2" s="974" t="s">
        <v>447</v>
      </c>
      <c r="D2" s="973" t="s">
        <v>448</v>
      </c>
      <c r="E2" s="975" t="s">
        <v>449</v>
      </c>
      <c r="F2" s="974" t="s">
        <v>450</v>
      </c>
    </row>
    <row r="3" spans="1:7" ht="41.4" x14ac:dyDescent="0.3">
      <c r="A3" s="976" t="s">
        <v>451</v>
      </c>
      <c r="B3" s="976" t="s">
        <v>452</v>
      </c>
      <c r="C3" s="977" t="s">
        <v>453</v>
      </c>
      <c r="D3" s="976" t="s">
        <v>184</v>
      </c>
      <c r="E3" s="978">
        <v>4000000</v>
      </c>
      <c r="F3" s="977" t="s">
        <v>454</v>
      </c>
      <c r="G3" s="972" t="s">
        <v>455</v>
      </c>
    </row>
    <row r="4" spans="1:7" ht="41.4" x14ac:dyDescent="0.3">
      <c r="A4" s="976" t="s">
        <v>451</v>
      </c>
      <c r="B4" s="976" t="s">
        <v>456</v>
      </c>
      <c r="C4" s="977" t="s">
        <v>457</v>
      </c>
      <c r="D4" s="976" t="s">
        <v>458</v>
      </c>
      <c r="E4" s="978">
        <v>20000000</v>
      </c>
      <c r="F4" s="977" t="s">
        <v>454</v>
      </c>
      <c r="G4" s="972" t="s">
        <v>459</v>
      </c>
    </row>
    <row r="5" spans="1:7" ht="55.2" x14ac:dyDescent="0.3">
      <c r="A5" s="976" t="s">
        <v>451</v>
      </c>
      <c r="B5" s="976" t="s">
        <v>460</v>
      </c>
      <c r="C5" s="977" t="s">
        <v>461</v>
      </c>
      <c r="D5" s="976" t="s">
        <v>458</v>
      </c>
      <c r="E5" s="978">
        <v>23500000</v>
      </c>
      <c r="F5" s="977" t="s">
        <v>462</v>
      </c>
      <c r="G5" s="972" t="s">
        <v>459</v>
      </c>
    </row>
    <row r="6" spans="1:7" ht="69" x14ac:dyDescent="0.3">
      <c r="A6" s="976" t="s">
        <v>463</v>
      </c>
      <c r="B6" s="976" t="s">
        <v>464</v>
      </c>
      <c r="C6" s="977" t="s">
        <v>465</v>
      </c>
      <c r="D6" s="976" t="s">
        <v>466</v>
      </c>
      <c r="E6" s="978">
        <v>574189853</v>
      </c>
      <c r="F6" s="977" t="s">
        <v>467</v>
      </c>
      <c r="G6" s="972" t="s">
        <v>455</v>
      </c>
    </row>
    <row r="7" spans="1:7" ht="41.4" x14ac:dyDescent="0.3">
      <c r="A7" s="976" t="s">
        <v>463</v>
      </c>
      <c r="B7" s="976" t="s">
        <v>468</v>
      </c>
      <c r="C7" s="979" t="s">
        <v>469</v>
      </c>
      <c r="D7" s="976" t="s">
        <v>470</v>
      </c>
      <c r="E7" s="978">
        <v>171538714</v>
      </c>
      <c r="F7" s="977" t="s">
        <v>471</v>
      </c>
      <c r="G7" s="972" t="s">
        <v>455</v>
      </c>
    </row>
    <row r="8" spans="1:7" ht="96.6" x14ac:dyDescent="0.3">
      <c r="A8" s="976" t="s">
        <v>463</v>
      </c>
      <c r="B8" s="976" t="s">
        <v>472</v>
      </c>
      <c r="C8" s="979" t="s">
        <v>473</v>
      </c>
      <c r="D8" s="976" t="s">
        <v>474</v>
      </c>
      <c r="E8" s="978">
        <v>275000000</v>
      </c>
      <c r="F8" s="977" t="s">
        <v>475</v>
      </c>
      <c r="G8" s="972" t="s">
        <v>455</v>
      </c>
    </row>
    <row r="9" spans="1:7" s="985" customFormat="1" ht="24.6" x14ac:dyDescent="0.3">
      <c r="A9" s="980" t="s">
        <v>476</v>
      </c>
      <c r="B9" s="980" t="s">
        <v>477</v>
      </c>
      <c r="C9" s="981" t="s">
        <v>478</v>
      </c>
      <c r="D9" s="980" t="s">
        <v>479</v>
      </c>
      <c r="E9" s="982">
        <v>1800000000</v>
      </c>
      <c r="F9" s="983" t="s">
        <v>475</v>
      </c>
      <c r="G9" s="984" t="s">
        <v>455</v>
      </c>
    </row>
    <row r="10" spans="1:7" ht="36.6" x14ac:dyDescent="0.3">
      <c r="A10" s="986" t="s">
        <v>480</v>
      </c>
      <c r="B10" s="986" t="s">
        <v>481</v>
      </c>
      <c r="C10" s="987" t="s">
        <v>482</v>
      </c>
      <c r="D10" s="986" t="s">
        <v>479</v>
      </c>
      <c r="E10" s="988">
        <v>400000000</v>
      </c>
      <c r="F10" s="977" t="s">
        <v>483</v>
      </c>
      <c r="G10" s="972" t="s">
        <v>455</v>
      </c>
    </row>
    <row r="11" spans="1:7" ht="36.6" x14ac:dyDescent="0.3">
      <c r="A11" s="986" t="s">
        <v>480</v>
      </c>
      <c r="B11" s="986" t="s">
        <v>484</v>
      </c>
      <c r="C11" s="987" t="s">
        <v>485</v>
      </c>
      <c r="D11" s="986" t="s">
        <v>184</v>
      </c>
      <c r="E11" s="988">
        <v>250000000</v>
      </c>
      <c r="F11" s="977" t="s">
        <v>475</v>
      </c>
      <c r="G11" s="972" t="s">
        <v>486</v>
      </c>
    </row>
    <row r="12" spans="1:7" s="985" customFormat="1" ht="24.6" x14ac:dyDescent="0.3">
      <c r="A12" s="980" t="s">
        <v>480</v>
      </c>
      <c r="B12" s="980" t="s">
        <v>487</v>
      </c>
      <c r="C12" s="981" t="s">
        <v>488</v>
      </c>
      <c r="D12" s="980" t="s">
        <v>479</v>
      </c>
      <c r="E12" s="982">
        <v>6113277404</v>
      </c>
      <c r="F12" s="983" t="s">
        <v>489</v>
      </c>
      <c r="G12" s="984" t="s">
        <v>455</v>
      </c>
    </row>
    <row r="13" spans="1:7" x14ac:dyDescent="0.3">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4140625" defaultRowHeight="10.199999999999999" x14ac:dyDescent="0.2"/>
  <cols>
    <col min="1" max="1" width="8" style="908" bestFit="1" customWidth="1"/>
    <col min="2" max="3" width="34.44140625" style="908" customWidth="1"/>
    <col min="4" max="4" width="11.44140625" style="908"/>
    <col min="5" max="6" width="12" style="908" bestFit="1" customWidth="1"/>
    <col min="7" max="7" width="11.44140625" style="910"/>
    <col min="8" max="8" width="11.44140625" style="908"/>
    <col min="9" max="9" width="11.44140625" style="911"/>
    <col min="10" max="16384" width="11.44140625" style="908"/>
  </cols>
  <sheetData>
    <row r="2" spans="1:9" s="888" customFormat="1" ht="13.8" x14ac:dyDescent="0.3">
      <c r="B2" s="915" t="s">
        <v>490</v>
      </c>
      <c r="C2" s="915" t="s">
        <v>491</v>
      </c>
      <c r="G2" s="916"/>
      <c r="I2" s="917"/>
    </row>
    <row r="3" spans="1:9" s="888" customFormat="1" ht="14.4" thickBot="1" x14ac:dyDescent="0.35">
      <c r="B3" s="918"/>
      <c r="G3" s="916"/>
      <c r="I3" s="917"/>
    </row>
    <row r="4" spans="1:9" ht="21" thickBot="1" x14ac:dyDescent="0.25">
      <c r="A4" s="947" t="s">
        <v>12</v>
      </c>
      <c r="B4" s="947" t="s">
        <v>492</v>
      </c>
      <c r="C4" s="948" t="s">
        <v>493</v>
      </c>
      <c r="D4" s="948" t="s">
        <v>494</v>
      </c>
      <c r="E4" s="948" t="s">
        <v>495</v>
      </c>
      <c r="F4" s="949" t="s">
        <v>496</v>
      </c>
      <c r="G4" s="912" t="s">
        <v>497</v>
      </c>
      <c r="H4" s="913" t="s">
        <v>498</v>
      </c>
      <c r="I4" s="914" t="s">
        <v>499</v>
      </c>
    </row>
    <row r="5" spans="1:9" s="940" customFormat="1" ht="40.799999999999997" x14ac:dyDescent="0.2">
      <c r="A5" s="919">
        <v>292</v>
      </c>
      <c r="B5" s="950" t="s">
        <v>254</v>
      </c>
      <c r="C5" s="951" t="s">
        <v>500</v>
      </c>
      <c r="D5" s="951" t="s">
        <v>43</v>
      </c>
      <c r="E5" s="952">
        <v>58000000</v>
      </c>
      <c r="F5" s="953"/>
      <c r="G5" s="944">
        <v>58000000</v>
      </c>
      <c r="H5" s="920" t="s">
        <v>256</v>
      </c>
      <c r="I5" s="921">
        <f>G5-E5</f>
        <v>0</v>
      </c>
    </row>
    <row r="6" spans="1:9" s="940" customFormat="1" ht="71.400000000000006" x14ac:dyDescent="0.2">
      <c r="A6" s="925">
        <v>292</v>
      </c>
      <c r="B6" s="909" t="s">
        <v>269</v>
      </c>
      <c r="C6" s="922" t="s">
        <v>500</v>
      </c>
      <c r="D6" s="922" t="s">
        <v>43</v>
      </c>
      <c r="E6" s="923">
        <v>238595000</v>
      </c>
      <c r="F6" s="954"/>
      <c r="G6" s="945">
        <v>238595000</v>
      </c>
      <c r="H6" s="926" t="s">
        <v>334</v>
      </c>
      <c r="I6" s="927">
        <f>G6-E6</f>
        <v>0</v>
      </c>
    </row>
    <row r="7" spans="1:9" ht="41.4" thickBot="1" x14ac:dyDescent="0.25">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4140625" defaultRowHeight="10.199999999999999" x14ac:dyDescent="0.2"/>
  <cols>
    <col min="1" max="1" width="11.44140625" style="908"/>
    <col min="2" max="3" width="34.44140625" style="908" customWidth="1"/>
    <col min="4" max="4" width="11.44140625" style="908"/>
    <col min="5" max="6" width="12" style="908" bestFit="1" customWidth="1"/>
    <col min="7" max="7" width="12.5546875" style="910" bestFit="1" customWidth="1"/>
    <col min="8" max="8" width="26.6640625" style="908" customWidth="1"/>
    <col min="9" max="9" width="11.44140625" style="911"/>
    <col min="10" max="16384" width="11.44140625" style="908"/>
  </cols>
  <sheetData>
    <row r="2" spans="1:10" ht="13.8" x14ac:dyDescent="0.3">
      <c r="B2" s="915" t="s">
        <v>490</v>
      </c>
      <c r="C2" s="915" t="s">
        <v>502</v>
      </c>
    </row>
    <row r="3" spans="1:10" ht="14.4" thickBot="1" x14ac:dyDescent="0.35">
      <c r="B3" s="918"/>
      <c r="C3" s="888"/>
    </row>
    <row r="4" spans="1:10" ht="21" thickBot="1" x14ac:dyDescent="0.25">
      <c r="A4" s="947" t="s">
        <v>12</v>
      </c>
      <c r="B4" s="947" t="s">
        <v>492</v>
      </c>
      <c r="C4" s="948" t="s">
        <v>493</v>
      </c>
      <c r="D4" s="948" t="s">
        <v>494</v>
      </c>
      <c r="E4" s="948" t="s">
        <v>495</v>
      </c>
      <c r="F4" s="949" t="s">
        <v>496</v>
      </c>
      <c r="G4" s="933" t="s">
        <v>497</v>
      </c>
      <c r="H4" s="934" t="s">
        <v>498</v>
      </c>
      <c r="I4" s="935" t="s">
        <v>499</v>
      </c>
    </row>
    <row r="5" spans="1:10" s="942" customFormat="1" ht="102" x14ac:dyDescent="0.2">
      <c r="A5" s="919">
        <v>292</v>
      </c>
      <c r="B5" s="951" t="s">
        <v>257</v>
      </c>
      <c r="C5" s="951" t="s">
        <v>503</v>
      </c>
      <c r="D5" s="951" t="s">
        <v>43</v>
      </c>
      <c r="E5" s="952">
        <v>220188240</v>
      </c>
      <c r="F5" s="953"/>
      <c r="G5" s="944">
        <v>220211840</v>
      </c>
      <c r="H5" s="920" t="s">
        <v>504</v>
      </c>
      <c r="I5" s="921">
        <f>G5-E5</f>
        <v>23600</v>
      </c>
      <c r="J5" s="920" t="s">
        <v>505</v>
      </c>
    </row>
    <row r="6" spans="1:10" s="943" customFormat="1" ht="41.4" thickBot="1" x14ac:dyDescent="0.25">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4140625" defaultRowHeight="10.199999999999999" x14ac:dyDescent="0.2"/>
  <cols>
    <col min="1" max="1" width="11.44140625" style="910"/>
    <col min="2" max="2" width="34.44140625" style="957" customWidth="1"/>
    <col min="3" max="3" width="34.44140625" style="908" customWidth="1"/>
    <col min="4" max="4" width="11.44140625" style="908"/>
    <col min="5" max="6" width="12" style="908" bestFit="1" customWidth="1"/>
    <col min="7" max="7" width="12.5546875" style="910" bestFit="1" customWidth="1"/>
    <col min="8" max="8" width="26.6640625" style="908" customWidth="1"/>
    <col min="9" max="9" width="12.5546875" style="911" bestFit="1" customWidth="1"/>
    <col min="10" max="16384" width="11.44140625" style="908"/>
  </cols>
  <sheetData>
    <row r="2" spans="1:11" ht="13.8" x14ac:dyDescent="0.3">
      <c r="B2" s="958" t="s">
        <v>490</v>
      </c>
      <c r="C2" s="915" t="s">
        <v>506</v>
      </c>
    </row>
    <row r="3" spans="1:11" ht="14.4" thickBot="1" x14ac:dyDescent="0.35">
      <c r="B3" s="959"/>
      <c r="C3" s="888"/>
    </row>
    <row r="4" spans="1:11" ht="21" thickBot="1" x14ac:dyDescent="0.25">
      <c r="A4" s="960" t="s">
        <v>12</v>
      </c>
      <c r="B4" s="961" t="s">
        <v>492</v>
      </c>
      <c r="C4" s="948" t="s">
        <v>493</v>
      </c>
      <c r="D4" s="948" t="s">
        <v>494</v>
      </c>
      <c r="E4" s="948" t="s">
        <v>495</v>
      </c>
      <c r="F4" s="949" t="s">
        <v>496</v>
      </c>
      <c r="G4" s="933" t="s">
        <v>497</v>
      </c>
      <c r="H4" s="934" t="s">
        <v>498</v>
      </c>
      <c r="I4" s="935" t="s">
        <v>499</v>
      </c>
    </row>
    <row r="5" spans="1:11" s="942" customFormat="1" ht="30.6" x14ac:dyDescent="0.2">
      <c r="A5" s="919">
        <v>292</v>
      </c>
      <c r="B5" s="950" t="s">
        <v>283</v>
      </c>
      <c r="C5" s="951" t="s">
        <v>507</v>
      </c>
      <c r="D5" s="951" t="s">
        <v>43</v>
      </c>
      <c r="E5" s="962">
        <v>8155333</v>
      </c>
      <c r="F5" s="963"/>
      <c r="G5" s="937">
        <v>8155333</v>
      </c>
      <c r="H5" s="920" t="s">
        <v>284</v>
      </c>
      <c r="I5" s="967">
        <f>G5-E5</f>
        <v>0</v>
      </c>
    </row>
    <row r="6" spans="1:11" s="942" customFormat="1" ht="40.799999999999997" x14ac:dyDescent="0.2">
      <c r="A6" s="925">
        <v>292</v>
      </c>
      <c r="B6" s="909" t="s">
        <v>236</v>
      </c>
      <c r="C6" s="922" t="s">
        <v>508</v>
      </c>
      <c r="D6" s="922" t="s">
        <v>43</v>
      </c>
      <c r="E6" s="964">
        <v>248323333</v>
      </c>
      <c r="F6" s="965"/>
      <c r="G6" s="939">
        <v>207914739</v>
      </c>
      <c r="H6" s="926" t="s">
        <v>509</v>
      </c>
      <c r="I6" s="968">
        <f>G6-E6</f>
        <v>-40408594</v>
      </c>
      <c r="J6" s="970" t="s">
        <v>505</v>
      </c>
      <c r="K6" s="971"/>
    </row>
    <row r="7" spans="1:11" s="942" customFormat="1" ht="51" x14ac:dyDescent="0.2">
      <c r="A7" s="925">
        <v>292</v>
      </c>
      <c r="B7" s="909" t="s">
        <v>269</v>
      </c>
      <c r="C7" s="922" t="s">
        <v>510</v>
      </c>
      <c r="D7" s="922" t="s">
        <v>43</v>
      </c>
      <c r="E7" s="964">
        <v>13558000</v>
      </c>
      <c r="F7" s="965"/>
      <c r="G7" s="939">
        <v>62891334</v>
      </c>
      <c r="H7" s="926" t="s">
        <v>271</v>
      </c>
      <c r="I7" s="968">
        <f>G7-E7</f>
        <v>49333334</v>
      </c>
      <c r="J7" s="970" t="s">
        <v>505</v>
      </c>
      <c r="K7" s="971"/>
    </row>
    <row r="8" spans="1:11" s="942" customFormat="1" ht="40.799999999999997" x14ac:dyDescent="0.2">
      <c r="A8" s="925">
        <v>292</v>
      </c>
      <c r="B8" s="909" t="s">
        <v>254</v>
      </c>
      <c r="C8" s="922" t="s">
        <v>511</v>
      </c>
      <c r="D8" s="922" t="s">
        <v>43</v>
      </c>
      <c r="E8" s="964">
        <v>21233333</v>
      </c>
      <c r="F8" s="924"/>
      <c r="G8" s="939">
        <v>21233333</v>
      </c>
      <c r="H8" s="926" t="s">
        <v>275</v>
      </c>
      <c r="I8" s="968">
        <f>E8-G8</f>
        <v>0</v>
      </c>
    </row>
    <row r="9" spans="1:11" s="942" customFormat="1" ht="61.2" x14ac:dyDescent="0.2">
      <c r="A9" s="925">
        <v>297</v>
      </c>
      <c r="B9" s="909" t="s">
        <v>289</v>
      </c>
      <c r="C9" s="922" t="s">
        <v>507</v>
      </c>
      <c r="D9" s="922" t="s">
        <v>43</v>
      </c>
      <c r="E9" s="964">
        <v>264926666</v>
      </c>
      <c r="F9" s="924"/>
      <c r="G9" s="939">
        <v>264926666</v>
      </c>
      <c r="H9" s="926" t="s">
        <v>290</v>
      </c>
      <c r="I9" s="968">
        <f>G9-E9</f>
        <v>0</v>
      </c>
    </row>
    <row r="10" spans="1:11" s="942" customFormat="1" ht="51" x14ac:dyDescent="0.2">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0.799999999999997" x14ac:dyDescent="0.2">
      <c r="A11" s="925">
        <v>292</v>
      </c>
      <c r="B11" s="909" t="s">
        <v>257</v>
      </c>
      <c r="C11" s="922" t="s">
        <v>507</v>
      </c>
      <c r="D11" s="922" t="s">
        <v>43</v>
      </c>
      <c r="E11" s="964">
        <v>30000000</v>
      </c>
      <c r="F11" s="924"/>
      <c r="G11" s="939">
        <v>30000000</v>
      </c>
      <c r="H11" s="926" t="s">
        <v>260</v>
      </c>
      <c r="I11" s="968">
        <f>G11-E11</f>
        <v>0</v>
      </c>
    </row>
    <row r="12" spans="1:11" s="942" customFormat="1" ht="40.799999999999997" x14ac:dyDescent="0.2">
      <c r="A12" s="925">
        <v>292</v>
      </c>
      <c r="B12" s="909" t="s">
        <v>233</v>
      </c>
      <c r="C12" s="922" t="s">
        <v>507</v>
      </c>
      <c r="D12" s="922" t="s">
        <v>43</v>
      </c>
      <c r="E12" s="964">
        <v>44163256</v>
      </c>
      <c r="F12" s="924"/>
      <c r="G12" s="939">
        <v>61863256</v>
      </c>
      <c r="H12" s="926" t="s">
        <v>279</v>
      </c>
      <c r="I12" s="968">
        <f>G12-E12</f>
        <v>17700000</v>
      </c>
      <c r="J12" s="970" t="s">
        <v>505</v>
      </c>
    </row>
    <row r="13" spans="1:11" s="941" customFormat="1" ht="41.4" thickBot="1" x14ac:dyDescent="0.25">
      <c r="A13" s="930">
        <v>292</v>
      </c>
      <c r="B13" s="955" t="s">
        <v>224</v>
      </c>
      <c r="C13" s="928" t="s">
        <v>507</v>
      </c>
      <c r="D13" s="928" t="s">
        <v>43</v>
      </c>
      <c r="E13" s="956"/>
      <c r="F13" s="966">
        <f>SUM(E5:E12)</f>
        <v>638089921</v>
      </c>
      <c r="G13" s="938">
        <v>682841016</v>
      </c>
      <c r="H13" s="931" t="s">
        <v>229</v>
      </c>
      <c r="I13" s="969">
        <f>G13+F13</f>
        <v>1320930937</v>
      </c>
      <c r="J13" s="970" t="s">
        <v>505</v>
      </c>
    </row>
    <row r="14" spans="1:11" ht="20.399999999999999" x14ac:dyDescent="0.2">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546875" defaultRowHeight="14.4" x14ac:dyDescent="0.3"/>
  <cols>
    <col min="1" max="1" width="30.44140625" bestFit="1" customWidth="1"/>
    <col min="2" max="2" width="27.6640625" bestFit="1" customWidth="1"/>
    <col min="3" max="3" width="20.6640625" bestFit="1" customWidth="1"/>
    <col min="4" max="4" width="39.109375" style="330" customWidth="1"/>
    <col min="5" max="5" width="44.44140625" style="330" customWidth="1"/>
    <col min="6" max="6" width="42.109375" customWidth="1"/>
    <col min="7" max="7" width="24.5546875" hidden="1" customWidth="1"/>
    <col min="8" max="8" width="19.33203125" hidden="1" customWidth="1"/>
    <col min="9" max="9" width="19.6640625" hidden="1" customWidth="1"/>
    <col min="10" max="10" width="20.33203125" hidden="1" customWidth="1"/>
    <col min="11" max="13" width="20.33203125" customWidth="1"/>
    <col min="14" max="14" width="35.5546875" customWidth="1"/>
    <col min="15" max="15" width="33.6640625" style="1" customWidth="1"/>
    <col min="16" max="16" width="42.44140625" customWidth="1"/>
    <col min="17" max="17" width="59.88671875" style="888" customWidth="1"/>
    <col min="18" max="19" width="42.44140625" style="888" customWidth="1"/>
    <col min="20" max="20" width="30.44140625" customWidth="1"/>
    <col min="21" max="21" width="21.6640625" customWidth="1"/>
    <col min="22" max="22" width="22.33203125" customWidth="1"/>
    <col min="23" max="23" width="21.109375" customWidth="1"/>
    <col min="24" max="24" width="23" style="127" customWidth="1"/>
    <col min="25" max="25" width="27.109375" style="127" customWidth="1"/>
    <col min="26" max="26" width="24.109375" style="129" customWidth="1"/>
    <col min="27" max="27" width="11.5546875" style="128" customWidth="1"/>
    <col min="28" max="28" width="28" bestFit="1" customWidth="1"/>
    <col min="29" max="29" width="21.44140625" style="130" customWidth="1"/>
    <col min="43" max="43" width="19.88671875" bestFit="1" customWidth="1"/>
    <col min="44" max="44" width="18.5546875" bestFit="1" customWidth="1"/>
    <col min="45" max="45" width="11.5546875" bestFit="1" customWidth="1"/>
  </cols>
  <sheetData>
    <row r="1" spans="1:29" s="1" customFormat="1" ht="35.25" customHeight="1" x14ac:dyDescent="0.35">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3">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3">
      <c r="D3" s="855"/>
      <c r="E3" s="855"/>
      <c r="F3" s="15"/>
      <c r="G3" s="1447" t="s">
        <v>3</v>
      </c>
      <c r="H3" s="1447"/>
      <c r="I3" s="1447"/>
      <c r="J3" s="16"/>
      <c r="K3" s="16"/>
      <c r="L3" s="1447" t="s">
        <v>4</v>
      </c>
      <c r="M3" s="1447"/>
      <c r="N3" s="1447"/>
      <c r="O3" s="17"/>
      <c r="P3" s="778" t="s">
        <v>5</v>
      </c>
      <c r="Q3" s="867"/>
      <c r="R3" s="867"/>
      <c r="S3" s="867"/>
      <c r="T3" s="19" t="s">
        <v>7</v>
      </c>
      <c r="X3" s="12"/>
      <c r="Y3" s="12"/>
      <c r="Z3" s="12"/>
      <c r="AA3" s="13"/>
    </row>
    <row r="4" spans="1:29" s="1" customFormat="1" ht="15" thickBot="1" x14ac:dyDescent="0.35">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3">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2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2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3">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3">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3">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x14ac:dyDescent="0.3">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35">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35">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3">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35">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3">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x14ac:dyDescent="0.35">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x14ac:dyDescent="0.35">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35">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349999999999994" hidden="1" customHeight="1" thickBot="1" x14ac:dyDescent="0.35">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3">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x14ac:dyDescent="0.3">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3">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x14ac:dyDescent="0.2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x14ac:dyDescent="0.2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349999999999994" hidden="1"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3">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3">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3">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x14ac:dyDescent="0.3">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3">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x14ac:dyDescent="0.3">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3">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3">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3">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3">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
      <c r="O111"/>
      <c r="X111" s="442"/>
      <c r="Z111" s="443"/>
      <c r="AB111" s="3"/>
    </row>
    <row r="112" spans="1:45" x14ac:dyDescent="0.3">
      <c r="O112"/>
      <c r="X112" s="442"/>
      <c r="Z112" s="443"/>
      <c r="AB112" s="3"/>
    </row>
    <row r="113" spans="1:45" s="127" customFormat="1" x14ac:dyDescent="0.3">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
      <c r="O114"/>
      <c r="X114" s="442"/>
      <c r="Z114" s="443"/>
    </row>
    <row r="115" spans="1:45" x14ac:dyDescent="0.3">
      <c r="O115"/>
      <c r="X115" s="442"/>
      <c r="Z115" s="443"/>
    </row>
    <row r="116" spans="1:45" x14ac:dyDescent="0.3">
      <c r="O116"/>
      <c r="X116" s="442"/>
      <c r="Z116" s="443"/>
    </row>
    <row r="117" spans="1:45" x14ac:dyDescent="0.3">
      <c r="O117"/>
      <c r="X117" s="442"/>
      <c r="Z117" s="443"/>
    </row>
    <row r="118" spans="1:45" x14ac:dyDescent="0.3">
      <c r="O118"/>
      <c r="X118" s="442"/>
      <c r="Z118" s="443"/>
    </row>
    <row r="119" spans="1:45" x14ac:dyDescent="0.3">
      <c r="O119"/>
      <c r="X119" s="442"/>
      <c r="Z119" s="443"/>
    </row>
    <row r="120" spans="1:45" x14ac:dyDescent="0.3">
      <c r="O120"/>
      <c r="X120" s="442"/>
      <c r="Z120" s="443"/>
    </row>
    <row r="121" spans="1:45" x14ac:dyDescent="0.3">
      <c r="O121"/>
      <c r="X121" s="442"/>
      <c r="Z121" s="443"/>
    </row>
    <row r="122" spans="1:45" x14ac:dyDescent="0.3">
      <c r="O122"/>
      <c r="X122" s="442"/>
      <c r="Z122" s="443"/>
    </row>
    <row r="123" spans="1:45" x14ac:dyDescent="0.3">
      <c r="O123"/>
      <c r="X123" s="442"/>
      <c r="Z123" s="443"/>
    </row>
    <row r="124" spans="1:45" x14ac:dyDescent="0.3">
      <c r="O124"/>
      <c r="X124" s="442"/>
    </row>
    <row r="125" spans="1:45" x14ac:dyDescent="0.3">
      <c r="O125"/>
      <c r="X125" s="442"/>
    </row>
    <row r="126" spans="1:45" x14ac:dyDescent="0.3">
      <c r="O126"/>
      <c r="X126" s="442"/>
    </row>
    <row r="127" spans="1:45" x14ac:dyDescent="0.3">
      <c r="O127"/>
      <c r="X127" s="442"/>
    </row>
    <row r="128" spans="1:45" x14ac:dyDescent="0.3">
      <c r="O128"/>
      <c r="X128" s="442"/>
    </row>
    <row r="129" spans="15:24" x14ac:dyDescent="0.3">
      <c r="O129"/>
      <c r="X129" s="442"/>
    </row>
    <row r="130" spans="15:24" x14ac:dyDescent="0.3">
      <c r="O130"/>
      <c r="X130" s="442"/>
    </row>
    <row r="131" spans="15:24" x14ac:dyDescent="0.3">
      <c r="O131"/>
      <c r="X131" s="442"/>
    </row>
    <row r="132" spans="15:24" x14ac:dyDescent="0.3">
      <c r="O132"/>
      <c r="X132" s="442"/>
    </row>
    <row r="133" spans="15:24" x14ac:dyDescent="0.3">
      <c r="O133"/>
      <c r="X133" s="442"/>
    </row>
    <row r="134" spans="15:24" x14ac:dyDescent="0.3">
      <c r="O134"/>
      <c r="X134" s="442"/>
    </row>
    <row r="135" spans="15:24" x14ac:dyDescent="0.3">
      <c r="O135"/>
      <c r="X135" s="442"/>
    </row>
    <row r="136" spans="15:24" x14ac:dyDescent="0.3">
      <c r="O136"/>
      <c r="X136" s="442"/>
    </row>
    <row r="137" spans="15:24" x14ac:dyDescent="0.3">
      <c r="O137"/>
      <c r="X137" s="442"/>
    </row>
    <row r="138" spans="15:24" x14ac:dyDescent="0.3">
      <c r="O138"/>
      <c r="X138" s="442"/>
    </row>
    <row r="139" spans="15:24" x14ac:dyDescent="0.3">
      <c r="O139"/>
      <c r="X139" s="442"/>
    </row>
    <row r="140" spans="15:24" x14ac:dyDescent="0.3">
      <c r="O140"/>
      <c r="X140" s="442"/>
    </row>
    <row r="141" spans="15:24" x14ac:dyDescent="0.3">
      <c r="O141"/>
      <c r="X141" s="442"/>
    </row>
    <row r="142" spans="15:24" x14ac:dyDescent="0.3">
      <c r="O142"/>
      <c r="X142" s="442"/>
    </row>
    <row r="143" spans="15:24" x14ac:dyDescent="0.3">
      <c r="O143"/>
      <c r="X143" s="442"/>
    </row>
    <row r="144" spans="15:24" x14ac:dyDescent="0.3">
      <c r="O144"/>
      <c r="X144" s="442"/>
    </row>
    <row r="145" spans="15:24" x14ac:dyDescent="0.3">
      <c r="O145"/>
      <c r="X145" s="442"/>
    </row>
    <row r="146" spans="15:24" x14ac:dyDescent="0.3">
      <c r="O146"/>
      <c r="X146" s="442"/>
    </row>
    <row r="147" spans="15:24" x14ac:dyDescent="0.3">
      <c r="O147"/>
      <c r="X147" s="442"/>
    </row>
    <row r="148" spans="15:24" x14ac:dyDescent="0.3">
      <c r="O148"/>
      <c r="X148" s="442"/>
    </row>
    <row r="149" spans="15:24" x14ac:dyDescent="0.3">
      <c r="O149"/>
      <c r="X149" s="442"/>
    </row>
    <row r="150" spans="15:24" x14ac:dyDescent="0.3">
      <c r="O150"/>
      <c r="X150" s="442"/>
    </row>
    <row r="151" spans="15:24" x14ac:dyDescent="0.3">
      <c r="O151"/>
      <c r="X151" s="442"/>
    </row>
    <row r="152" spans="15:24" x14ac:dyDescent="0.3">
      <c r="O152"/>
      <c r="X152" s="442"/>
    </row>
    <row r="153" spans="15:24" x14ac:dyDescent="0.3">
      <c r="O153"/>
      <c r="X153" s="442"/>
    </row>
    <row r="154" spans="15:24" x14ac:dyDescent="0.3">
      <c r="O154"/>
      <c r="X154" s="442"/>
    </row>
    <row r="155" spans="15:24" x14ac:dyDescent="0.3">
      <c r="O155"/>
      <c r="X155" s="442"/>
    </row>
    <row r="156" spans="15:24" x14ac:dyDescent="0.3">
      <c r="O156"/>
      <c r="X156" s="442"/>
    </row>
    <row r="157" spans="15:24" x14ac:dyDescent="0.3">
      <c r="O157"/>
      <c r="X157" s="442"/>
    </row>
    <row r="158" spans="15:24" x14ac:dyDescent="0.3">
      <c r="O158"/>
      <c r="X158" s="442"/>
    </row>
    <row r="159" spans="15:24" x14ac:dyDescent="0.3">
      <c r="O159"/>
      <c r="X159" s="442"/>
    </row>
    <row r="160" spans="15:24" x14ac:dyDescent="0.3">
      <c r="O160"/>
      <c r="X160" s="442"/>
    </row>
    <row r="161" spans="15:24" x14ac:dyDescent="0.3">
      <c r="O161"/>
      <c r="X161" s="442"/>
    </row>
    <row r="162" spans="15:24" x14ac:dyDescent="0.3">
      <c r="O162"/>
      <c r="X162" s="442"/>
    </row>
    <row r="163" spans="15:24" x14ac:dyDescent="0.3">
      <c r="O163"/>
      <c r="X163" s="442"/>
    </row>
    <row r="164" spans="15:24" x14ac:dyDescent="0.3">
      <c r="O164"/>
      <c r="X164" s="442"/>
    </row>
    <row r="165" spans="15:24" x14ac:dyDescent="0.3">
      <c r="O165"/>
      <c r="X165" s="442"/>
    </row>
    <row r="166" spans="15:24" x14ac:dyDescent="0.3">
      <c r="O166"/>
      <c r="X166" s="442"/>
    </row>
    <row r="167" spans="15:24" x14ac:dyDescent="0.3">
      <c r="O167"/>
      <c r="X167" s="442"/>
    </row>
    <row r="168" spans="15:24" x14ac:dyDescent="0.3">
      <c r="O168"/>
      <c r="X168" s="442"/>
    </row>
    <row r="169" spans="15:24" x14ac:dyDescent="0.3">
      <c r="O169"/>
      <c r="X169" s="442"/>
    </row>
    <row r="170" spans="15:24" x14ac:dyDescent="0.3">
      <c r="O170"/>
      <c r="X170" s="442"/>
    </row>
    <row r="171" spans="15:24" x14ac:dyDescent="0.3">
      <c r="O171"/>
      <c r="X171" s="442"/>
    </row>
    <row r="172" spans="15:24" x14ac:dyDescent="0.3">
      <c r="O172"/>
      <c r="X172" s="442"/>
    </row>
    <row r="173" spans="15:24" x14ac:dyDescent="0.3">
      <c r="O173"/>
      <c r="X173" s="442"/>
    </row>
    <row r="174" spans="15:24" x14ac:dyDescent="0.3">
      <c r="O174"/>
      <c r="X174" s="442"/>
    </row>
    <row r="175" spans="15:24" x14ac:dyDescent="0.3">
      <c r="O175"/>
      <c r="X175" s="442"/>
    </row>
    <row r="176" spans="15:24" x14ac:dyDescent="0.3">
      <c r="O176"/>
      <c r="X176" s="442"/>
    </row>
    <row r="177" spans="15:24" x14ac:dyDescent="0.3">
      <c r="O177"/>
      <c r="X177" s="442"/>
    </row>
    <row r="178" spans="15:24" x14ac:dyDescent="0.3">
      <c r="O178"/>
      <c r="X178" s="442"/>
    </row>
    <row r="179" spans="15:24" x14ac:dyDescent="0.3">
      <c r="O179"/>
      <c r="X179" s="442"/>
    </row>
    <row r="180" spans="15:24" x14ac:dyDescent="0.3">
      <c r="O180"/>
      <c r="X180" s="442"/>
    </row>
    <row r="181" spans="15:24" x14ac:dyDescent="0.3">
      <c r="O181"/>
      <c r="X181" s="442"/>
    </row>
    <row r="182" spans="15:24" x14ac:dyDescent="0.3">
      <c r="O182"/>
      <c r="X182" s="442"/>
    </row>
    <row r="183" spans="15:24" x14ac:dyDescent="0.3">
      <c r="O183"/>
      <c r="X183" s="442"/>
    </row>
    <row r="184" spans="15:24" x14ac:dyDescent="0.3">
      <c r="O184"/>
      <c r="X184" s="442"/>
    </row>
    <row r="185" spans="15:24" x14ac:dyDescent="0.3">
      <c r="O185"/>
      <c r="X185" s="442"/>
    </row>
    <row r="186" spans="15:24" x14ac:dyDescent="0.3">
      <c r="O186"/>
      <c r="X186" s="442"/>
    </row>
    <row r="187" spans="15:24" x14ac:dyDescent="0.3">
      <c r="O187"/>
      <c r="X187" s="442"/>
    </row>
    <row r="188" spans="15:24" x14ac:dyDescent="0.3">
      <c r="O188"/>
      <c r="X188" s="442"/>
    </row>
    <row r="189" spans="15:24" x14ac:dyDescent="0.3">
      <c r="O189"/>
      <c r="X189" s="442"/>
    </row>
    <row r="190" spans="15:24" x14ac:dyDescent="0.3">
      <c r="O190"/>
      <c r="X190" s="442"/>
    </row>
    <row r="191" spans="15:24" x14ac:dyDescent="0.3">
      <c r="O191"/>
      <c r="X191" s="442"/>
    </row>
    <row r="192" spans="15:24" x14ac:dyDescent="0.3">
      <c r="O192"/>
      <c r="X192" s="442"/>
    </row>
    <row r="193" spans="15:24" x14ac:dyDescent="0.3">
      <c r="O193"/>
      <c r="X193" s="442"/>
    </row>
    <row r="194" spans="15:24" x14ac:dyDescent="0.3">
      <c r="O194"/>
      <c r="X194" s="442"/>
    </row>
    <row r="195" spans="15:24" x14ac:dyDescent="0.3">
      <c r="O195"/>
      <c r="X195" s="442"/>
    </row>
    <row r="196" spans="15:24" x14ac:dyDescent="0.3">
      <c r="O196"/>
      <c r="X196" s="442"/>
    </row>
    <row r="197" spans="15:24" x14ac:dyDescent="0.3">
      <c r="O197"/>
      <c r="X197" s="442"/>
    </row>
    <row r="198" spans="15:24" x14ac:dyDescent="0.3">
      <c r="O198"/>
      <c r="X198" s="442"/>
    </row>
    <row r="199" spans="15:24" x14ac:dyDescent="0.3">
      <c r="O199"/>
      <c r="X199" s="442"/>
    </row>
    <row r="200" spans="15:24" x14ac:dyDescent="0.3">
      <c r="O200"/>
      <c r="X200" s="442"/>
    </row>
    <row r="201" spans="15:24" x14ac:dyDescent="0.3">
      <c r="O201"/>
      <c r="X201" s="442"/>
    </row>
    <row r="202" spans="15:24" x14ac:dyDescent="0.3">
      <c r="O202"/>
      <c r="X202" s="442"/>
    </row>
    <row r="203" spans="15:24" x14ac:dyDescent="0.3">
      <c r="O203"/>
      <c r="X203" s="442"/>
    </row>
    <row r="204" spans="15:24" x14ac:dyDescent="0.3">
      <c r="O204"/>
      <c r="X204" s="442"/>
    </row>
    <row r="205" spans="15:24" x14ac:dyDescent="0.3">
      <c r="O205"/>
      <c r="X205" s="442"/>
    </row>
    <row r="206" spans="15:24" x14ac:dyDescent="0.3">
      <c r="O206"/>
      <c r="X206" s="442"/>
    </row>
    <row r="207" spans="15:24" x14ac:dyDescent="0.3">
      <c r="O207"/>
      <c r="X207" s="442"/>
    </row>
    <row r="208" spans="15:24" x14ac:dyDescent="0.3">
      <c r="O208"/>
      <c r="X208" s="442"/>
    </row>
    <row r="209" spans="15:24" x14ac:dyDescent="0.3">
      <c r="O209"/>
      <c r="X209" s="442"/>
    </row>
    <row r="210" spans="15:24" x14ac:dyDescent="0.3">
      <c r="O210"/>
      <c r="X210" s="442"/>
    </row>
    <row r="211" spans="15:24" x14ac:dyDescent="0.3">
      <c r="O211"/>
      <c r="X211" s="442"/>
    </row>
    <row r="212" spans="15:24" x14ac:dyDescent="0.3">
      <c r="O212"/>
      <c r="X212" s="442"/>
    </row>
    <row r="213" spans="15:24" x14ac:dyDescent="0.3">
      <c r="O213"/>
    </row>
    <row r="214" spans="15:24" x14ac:dyDescent="0.3">
      <c r="O214"/>
    </row>
    <row r="215" spans="15:24" x14ac:dyDescent="0.3">
      <c r="O215"/>
    </row>
    <row r="216" spans="15:24" x14ac:dyDescent="0.3">
      <c r="O216"/>
    </row>
    <row r="217" spans="15:24" x14ac:dyDescent="0.3">
      <c r="O217"/>
    </row>
    <row r="218" spans="15:24" x14ac:dyDescent="0.3">
      <c r="O218"/>
    </row>
    <row r="219" spans="15:24" x14ac:dyDescent="0.3">
      <c r="O219"/>
    </row>
    <row r="220" spans="15:24" x14ac:dyDescent="0.3">
      <c r="O220"/>
    </row>
    <row r="221" spans="15:24" x14ac:dyDescent="0.3">
      <c r="O221"/>
    </row>
    <row r="222" spans="15:24" x14ac:dyDescent="0.3">
      <c r="O222"/>
    </row>
    <row r="223" spans="15:24" x14ac:dyDescent="0.3">
      <c r="O223"/>
    </row>
    <row r="224" spans="15:24" x14ac:dyDescent="0.3">
      <c r="O224"/>
    </row>
    <row r="225" spans="15:15" x14ac:dyDescent="0.3">
      <c r="O225"/>
    </row>
    <row r="226" spans="15:15" x14ac:dyDescent="0.3">
      <c r="O226"/>
    </row>
    <row r="227" spans="15:15" x14ac:dyDescent="0.3">
      <c r="O227"/>
    </row>
    <row r="228" spans="15:15" x14ac:dyDescent="0.3">
      <c r="O228"/>
    </row>
    <row r="229" spans="15:15" x14ac:dyDescent="0.3">
      <c r="O229"/>
    </row>
    <row r="230" spans="15:15" x14ac:dyDescent="0.3">
      <c r="O230"/>
    </row>
    <row r="231" spans="15:15" x14ac:dyDescent="0.3">
      <c r="O231"/>
    </row>
    <row r="232" spans="15:15" x14ac:dyDescent="0.3">
      <c r="O232"/>
    </row>
    <row r="233" spans="15:15" x14ac:dyDescent="0.3">
      <c r="O233"/>
    </row>
    <row r="234" spans="15:15" x14ac:dyDescent="0.3">
      <c r="O234"/>
    </row>
    <row r="235" spans="15:15" x14ac:dyDescent="0.3">
      <c r="O235"/>
    </row>
    <row r="236" spans="15:15" x14ac:dyDescent="0.3">
      <c r="O236"/>
    </row>
    <row r="237" spans="15:15" x14ac:dyDescent="0.3">
      <c r="O237"/>
    </row>
    <row r="238" spans="15:15" x14ac:dyDescent="0.3">
      <c r="O238"/>
    </row>
    <row r="239" spans="15:15" x14ac:dyDescent="0.3">
      <c r="O239"/>
    </row>
    <row r="240" spans="15:15" x14ac:dyDescent="0.3">
      <c r="O240"/>
    </row>
    <row r="241" spans="15:15" x14ac:dyDescent="0.3">
      <c r="O241"/>
    </row>
    <row r="242" spans="15:15" x14ac:dyDescent="0.3">
      <c r="O242"/>
    </row>
    <row r="243" spans="15:15" x14ac:dyDescent="0.3">
      <c r="O243"/>
    </row>
    <row r="244" spans="15:15" x14ac:dyDescent="0.3">
      <c r="O244"/>
    </row>
    <row r="245" spans="15:15" x14ac:dyDescent="0.3">
      <c r="O245"/>
    </row>
    <row r="246" spans="15:15" x14ac:dyDescent="0.3">
      <c r="O246"/>
    </row>
    <row r="247" spans="15:15" x14ac:dyDescent="0.3">
      <c r="O247"/>
    </row>
    <row r="248" spans="15:15" x14ac:dyDescent="0.3">
      <c r="O248"/>
    </row>
    <row r="249" spans="15:15" x14ac:dyDescent="0.3">
      <c r="O249"/>
    </row>
    <row r="250" spans="15:15" x14ac:dyDescent="0.3">
      <c r="O250"/>
    </row>
    <row r="251" spans="15:15" x14ac:dyDescent="0.3">
      <c r="O251"/>
    </row>
    <row r="252" spans="15:15" x14ac:dyDescent="0.3">
      <c r="O252"/>
    </row>
    <row r="253" spans="15:15" x14ac:dyDescent="0.3">
      <c r="O253"/>
    </row>
    <row r="254" spans="15:15" x14ac:dyDescent="0.3">
      <c r="O254"/>
    </row>
    <row r="255" spans="15:15" x14ac:dyDescent="0.3">
      <c r="O255"/>
    </row>
    <row r="256" spans="15:15" x14ac:dyDescent="0.3">
      <c r="O256"/>
    </row>
    <row r="257" spans="15:15" x14ac:dyDescent="0.3">
      <c r="O257"/>
    </row>
    <row r="258" spans="15:15" x14ac:dyDescent="0.3">
      <c r="O258"/>
    </row>
    <row r="259" spans="15:15" x14ac:dyDescent="0.3">
      <c r="O259"/>
    </row>
    <row r="260" spans="15:15" x14ac:dyDescent="0.3">
      <c r="O260"/>
    </row>
    <row r="261" spans="15:15" x14ac:dyDescent="0.3">
      <c r="O261"/>
    </row>
    <row r="262" spans="15:15" x14ac:dyDescent="0.3">
      <c r="O262"/>
    </row>
    <row r="263" spans="15:15" x14ac:dyDescent="0.3">
      <c r="O263"/>
    </row>
    <row r="264" spans="15:15" x14ac:dyDescent="0.3">
      <c r="O264"/>
    </row>
    <row r="265" spans="15:15" x14ac:dyDescent="0.3">
      <c r="O265"/>
    </row>
    <row r="266" spans="15:15" x14ac:dyDescent="0.3">
      <c r="O266"/>
    </row>
    <row r="267" spans="15:15" x14ac:dyDescent="0.3">
      <c r="O267"/>
    </row>
    <row r="268" spans="15:15" x14ac:dyDescent="0.3">
      <c r="O268"/>
    </row>
    <row r="269" spans="15:15" x14ac:dyDescent="0.3">
      <c r="O269"/>
    </row>
    <row r="270" spans="15:15" x14ac:dyDescent="0.3">
      <c r="O270"/>
    </row>
    <row r="271" spans="15:15" x14ac:dyDescent="0.3">
      <c r="O271"/>
    </row>
    <row r="272" spans="15:15" x14ac:dyDescent="0.3">
      <c r="O272"/>
    </row>
    <row r="273" spans="15:15" x14ac:dyDescent="0.3">
      <c r="O273"/>
    </row>
    <row r="274" spans="15:15" x14ac:dyDescent="0.3">
      <c r="O274"/>
    </row>
    <row r="275" spans="15:15" x14ac:dyDescent="0.3">
      <c r="O275"/>
    </row>
    <row r="276" spans="15:15" x14ac:dyDescent="0.3">
      <c r="O276"/>
    </row>
    <row r="277" spans="15:15" x14ac:dyDescent="0.3">
      <c r="O277"/>
    </row>
    <row r="278" spans="15:15" x14ac:dyDescent="0.3">
      <c r="O278"/>
    </row>
    <row r="279" spans="15:15" x14ac:dyDescent="0.3">
      <c r="O279"/>
    </row>
    <row r="280" spans="15:15" x14ac:dyDescent="0.3">
      <c r="O280"/>
    </row>
    <row r="281" spans="15:15" x14ac:dyDescent="0.3">
      <c r="O281"/>
    </row>
    <row r="282" spans="15:15" x14ac:dyDescent="0.3">
      <c r="O282"/>
    </row>
    <row r="283" spans="15:15" x14ac:dyDescent="0.3">
      <c r="O283"/>
    </row>
    <row r="284" spans="15:15" x14ac:dyDescent="0.3">
      <c r="O284"/>
    </row>
    <row r="285" spans="15:15" x14ac:dyDescent="0.3">
      <c r="O285"/>
    </row>
    <row r="286" spans="15:15" x14ac:dyDescent="0.3">
      <c r="O286"/>
    </row>
    <row r="287" spans="15:15" x14ac:dyDescent="0.3">
      <c r="O287"/>
    </row>
    <row r="288" spans="15:15" x14ac:dyDescent="0.3">
      <c r="O288"/>
    </row>
    <row r="289" spans="15:15" x14ac:dyDescent="0.3">
      <c r="O289"/>
    </row>
    <row r="290" spans="15:15" x14ac:dyDescent="0.3">
      <c r="O290"/>
    </row>
    <row r="291" spans="15:15" x14ac:dyDescent="0.3">
      <c r="O291"/>
    </row>
    <row r="292" spans="15:15" x14ac:dyDescent="0.3">
      <c r="O292"/>
    </row>
    <row r="293" spans="15:15" x14ac:dyDescent="0.3">
      <c r="O293"/>
    </row>
    <row r="294" spans="15:15" x14ac:dyDescent="0.3">
      <c r="O294"/>
    </row>
    <row r="295" spans="15:15" x14ac:dyDescent="0.3">
      <c r="O295"/>
    </row>
    <row r="296" spans="15:15" x14ac:dyDescent="0.3">
      <c r="O296"/>
    </row>
    <row r="297" spans="15:15" x14ac:dyDescent="0.3">
      <c r="O297"/>
    </row>
    <row r="298" spans="15:15" x14ac:dyDescent="0.3">
      <c r="O298"/>
    </row>
    <row r="299" spans="15:15" x14ac:dyDescent="0.3">
      <c r="O299"/>
    </row>
    <row r="300" spans="15:15" x14ac:dyDescent="0.3">
      <c r="O300"/>
    </row>
    <row r="301" spans="15:15" x14ac:dyDescent="0.3">
      <c r="O301"/>
    </row>
    <row r="302" spans="15:15" x14ac:dyDescent="0.3">
      <c r="O302"/>
    </row>
    <row r="303" spans="15:15" x14ac:dyDescent="0.3">
      <c r="O303"/>
    </row>
    <row r="304" spans="15:15" x14ac:dyDescent="0.3">
      <c r="O304"/>
    </row>
    <row r="305" spans="15:15" x14ac:dyDescent="0.3">
      <c r="O305"/>
    </row>
    <row r="306" spans="15:15" x14ac:dyDescent="0.3">
      <c r="O306"/>
    </row>
    <row r="307" spans="15:15" x14ac:dyDescent="0.3">
      <c r="O307"/>
    </row>
    <row r="308" spans="15:15" x14ac:dyDescent="0.3">
      <c r="O308"/>
    </row>
    <row r="309" spans="15:15" x14ac:dyDescent="0.3">
      <c r="O309"/>
    </row>
    <row r="310" spans="15:15" x14ac:dyDescent="0.3">
      <c r="O310"/>
    </row>
    <row r="311" spans="15:15" x14ac:dyDescent="0.3">
      <c r="O311"/>
    </row>
    <row r="312" spans="15:15" x14ac:dyDescent="0.3">
      <c r="O312"/>
    </row>
    <row r="313" spans="15:15" x14ac:dyDescent="0.3">
      <c r="O313"/>
    </row>
    <row r="314" spans="15:15" x14ac:dyDescent="0.3">
      <c r="O314"/>
    </row>
    <row r="315" spans="15:15" x14ac:dyDescent="0.3">
      <c r="O315"/>
    </row>
    <row r="316" spans="15:15" x14ac:dyDescent="0.3">
      <c r="O316"/>
    </row>
    <row r="317" spans="15:15" x14ac:dyDescent="0.3">
      <c r="O317"/>
    </row>
    <row r="318" spans="15:15" x14ac:dyDescent="0.3">
      <c r="O318"/>
    </row>
    <row r="319" spans="15:15" x14ac:dyDescent="0.3">
      <c r="O319"/>
    </row>
    <row r="320" spans="15:15" x14ac:dyDescent="0.3">
      <c r="O320"/>
    </row>
    <row r="321" spans="15:15" x14ac:dyDescent="0.3">
      <c r="O321"/>
    </row>
    <row r="322" spans="15:15" x14ac:dyDescent="0.3">
      <c r="O322"/>
    </row>
    <row r="323" spans="15:15" x14ac:dyDescent="0.3">
      <c r="O323"/>
    </row>
    <row r="324" spans="15:15" x14ac:dyDescent="0.3">
      <c r="O324"/>
    </row>
    <row r="325" spans="15:15" x14ac:dyDescent="0.3">
      <c r="O325"/>
    </row>
    <row r="326" spans="15:15" x14ac:dyDescent="0.3">
      <c r="O326"/>
    </row>
    <row r="327" spans="15:15" x14ac:dyDescent="0.3">
      <c r="O327"/>
    </row>
    <row r="328" spans="15:15" x14ac:dyDescent="0.3">
      <c r="O328"/>
    </row>
    <row r="329" spans="15:15" x14ac:dyDescent="0.3">
      <c r="O329"/>
    </row>
    <row r="330" spans="15:15" x14ac:dyDescent="0.3">
      <c r="O330"/>
    </row>
    <row r="331" spans="15:15" x14ac:dyDescent="0.3">
      <c r="O331"/>
    </row>
    <row r="332" spans="15:15" x14ac:dyDescent="0.3">
      <c r="O332"/>
    </row>
    <row r="333" spans="15:15" x14ac:dyDescent="0.3">
      <c r="O333"/>
    </row>
    <row r="334" spans="15:15" x14ac:dyDescent="0.3">
      <c r="O334"/>
    </row>
    <row r="335" spans="15:15" x14ac:dyDescent="0.3">
      <c r="O335"/>
    </row>
    <row r="336" spans="15:15" x14ac:dyDescent="0.3">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546875" defaultRowHeight="14.4" x14ac:dyDescent="0.3"/>
  <cols>
    <col min="1" max="1" width="30.44140625" bestFit="1" customWidth="1"/>
    <col min="2" max="2" width="27.6640625" bestFit="1" customWidth="1"/>
    <col min="3" max="3" width="20.6640625" bestFit="1" customWidth="1"/>
    <col min="4" max="4" width="39.109375" customWidth="1"/>
    <col min="5" max="5" width="44.44140625" customWidth="1"/>
    <col min="6" max="6" width="42.109375" customWidth="1"/>
    <col min="7" max="7" width="24.5546875" hidden="1" customWidth="1"/>
    <col min="8" max="8" width="19.33203125" hidden="1" customWidth="1"/>
    <col min="9" max="9" width="19.6640625" hidden="1" customWidth="1"/>
    <col min="10" max="10" width="20.33203125" hidden="1" customWidth="1"/>
    <col min="11" max="13" width="20.33203125" customWidth="1"/>
    <col min="14" max="14" width="35.5546875" customWidth="1"/>
    <col min="15" max="15" width="33.6640625" style="1" customWidth="1"/>
    <col min="16" max="16" width="42.44140625" customWidth="1"/>
    <col min="17" max="19" width="42.44140625" hidden="1" customWidth="1"/>
    <col min="20" max="20" width="30.44140625" customWidth="1"/>
    <col min="21" max="21" width="21.6640625" customWidth="1"/>
    <col min="22" max="22" width="22.33203125" bestFit="1" customWidth="1"/>
    <col min="23" max="23" width="21.109375" customWidth="1"/>
    <col min="24" max="24" width="23" style="127" customWidth="1"/>
    <col min="25" max="25" width="27.109375" style="127" bestFit="1" customWidth="1"/>
    <col min="26" max="26" width="24.109375" style="129" customWidth="1"/>
    <col min="27" max="27" width="11.5546875" style="128" bestFit="1" customWidth="1"/>
    <col min="28" max="28" width="28" bestFit="1" customWidth="1"/>
    <col min="29" max="29" width="21.44140625" style="130" customWidth="1"/>
    <col min="43" max="43" width="19.88671875" bestFit="1" customWidth="1"/>
    <col min="44" max="44" width="18.5546875" bestFit="1" customWidth="1"/>
    <col min="45" max="45" width="11.5546875" bestFit="1" customWidth="1"/>
  </cols>
  <sheetData>
    <row r="1" spans="1:29" s="1" customFormat="1" ht="35.25" customHeight="1" x14ac:dyDescent="0.35">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3">
      <c r="F2" s="8"/>
      <c r="G2" s="8"/>
      <c r="H2" s="8"/>
      <c r="I2" s="8"/>
      <c r="J2" s="14"/>
      <c r="K2" s="8"/>
      <c r="L2" s="9"/>
      <c r="M2" s="9"/>
      <c r="N2" s="9"/>
      <c r="O2" s="10"/>
      <c r="P2" s="11"/>
      <c r="Q2" s="11"/>
      <c r="R2" s="11"/>
      <c r="S2" s="11"/>
      <c r="T2" s="10"/>
      <c r="X2" s="12"/>
      <c r="Y2" s="12"/>
      <c r="Z2" s="12"/>
      <c r="AA2" s="13"/>
    </row>
    <row r="3" spans="1:29" s="1" customFormat="1" ht="20.25" customHeight="1" x14ac:dyDescent="0.3">
      <c r="F3" s="15"/>
      <c r="G3" s="1447" t="s">
        <v>3</v>
      </c>
      <c r="H3" s="1447"/>
      <c r="I3" s="1447"/>
      <c r="J3" s="16"/>
      <c r="K3" s="16"/>
      <c r="L3" s="1447" t="s">
        <v>4</v>
      </c>
      <c r="M3" s="1447"/>
      <c r="N3" s="1447"/>
      <c r="O3" s="17"/>
      <c r="P3" s="18" t="s">
        <v>5</v>
      </c>
      <c r="Q3" s="548"/>
      <c r="R3" s="548"/>
      <c r="S3" s="548"/>
      <c r="T3" s="19" t="s">
        <v>7</v>
      </c>
      <c r="X3" s="12"/>
      <c r="Y3" s="12"/>
      <c r="Z3" s="12"/>
      <c r="AA3" s="13"/>
    </row>
    <row r="4" spans="1:29" s="1" customFormat="1" x14ac:dyDescent="0.3">
      <c r="F4" s="15"/>
      <c r="G4" s="436"/>
      <c r="H4" s="436"/>
      <c r="I4" s="436"/>
      <c r="J4" s="15"/>
      <c r="K4" s="15"/>
      <c r="L4" s="436"/>
      <c r="M4" s="436"/>
      <c r="N4" s="436"/>
      <c r="O4" s="303"/>
      <c r="P4" s="304"/>
      <c r="Q4" s="548"/>
      <c r="R4" s="548"/>
      <c r="S4" s="548"/>
      <c r="T4" s="19"/>
      <c r="X4" s="12"/>
      <c r="Y4" s="12"/>
      <c r="Z4" s="12"/>
      <c r="AA4" s="13"/>
    </row>
    <row r="5" spans="1:29" s="29" customFormat="1" ht="45" customHeight="1" x14ac:dyDescent="0.2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2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2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x14ac:dyDescent="0.35">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x14ac:dyDescent="0.35">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x14ac:dyDescent="0.35">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x14ac:dyDescent="0.3">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x14ac:dyDescent="0.35">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35">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35">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35">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35">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x14ac:dyDescent="0.35">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x14ac:dyDescent="0.35">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x14ac:dyDescent="0.35">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x14ac:dyDescent="0.35">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09.2"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24.2"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4"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09.2"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4.8"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4.8" x14ac:dyDescent="0.3">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x14ac:dyDescent="0.3">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x14ac:dyDescent="0.3">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3">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x14ac:dyDescent="0.2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x14ac:dyDescent="0.2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3">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3">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3">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x14ac:dyDescent="0.3">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6" x14ac:dyDescent="0.3">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x14ac:dyDescent="0.3">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3">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3">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3">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3">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
      <c r="O111"/>
      <c r="X111" s="442"/>
      <c r="Z111" s="443"/>
      <c r="AB111" s="3"/>
    </row>
    <row r="112" spans="1:45" x14ac:dyDescent="0.3">
      <c r="O112"/>
      <c r="X112" s="442"/>
      <c r="Z112" s="443"/>
      <c r="AB112" s="3"/>
    </row>
    <row r="113" spans="1:45" s="127" customFormat="1" x14ac:dyDescent="0.3">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
      <c r="O114"/>
      <c r="X114" s="442"/>
      <c r="Z114" s="443"/>
    </row>
    <row r="115" spans="1:45" x14ac:dyDescent="0.3">
      <c r="O115"/>
      <c r="X115" s="442"/>
      <c r="Z115" s="443"/>
    </row>
    <row r="116" spans="1:45" x14ac:dyDescent="0.3">
      <c r="O116"/>
      <c r="X116" s="442"/>
      <c r="Z116" s="443"/>
    </row>
    <row r="117" spans="1:45" x14ac:dyDescent="0.3">
      <c r="O117"/>
      <c r="X117" s="442"/>
      <c r="Z117" s="443"/>
    </row>
    <row r="118" spans="1:45" x14ac:dyDescent="0.3">
      <c r="O118"/>
      <c r="X118" s="442"/>
      <c r="Z118" s="443"/>
    </row>
    <row r="119" spans="1:45" x14ac:dyDescent="0.3">
      <c r="O119"/>
      <c r="X119" s="442"/>
      <c r="Z119" s="443"/>
    </row>
    <row r="120" spans="1:45" x14ac:dyDescent="0.3">
      <c r="O120"/>
      <c r="X120" s="442"/>
      <c r="Z120" s="443"/>
    </row>
    <row r="121" spans="1:45" x14ac:dyDescent="0.3">
      <c r="O121"/>
      <c r="X121" s="442"/>
      <c r="Z121" s="443"/>
    </row>
    <row r="122" spans="1:45" x14ac:dyDescent="0.3">
      <c r="O122"/>
      <c r="X122" s="442"/>
      <c r="Z122" s="443"/>
    </row>
    <row r="123" spans="1:45" x14ac:dyDescent="0.3">
      <c r="O123"/>
      <c r="X123" s="442"/>
      <c r="Z123" s="443"/>
    </row>
    <row r="124" spans="1:45" x14ac:dyDescent="0.3">
      <c r="O124"/>
      <c r="X124" s="442"/>
    </row>
    <row r="125" spans="1:45" x14ac:dyDescent="0.3">
      <c r="O125"/>
      <c r="X125" s="442"/>
    </row>
    <row r="126" spans="1:45" x14ac:dyDescent="0.3">
      <c r="O126"/>
      <c r="X126" s="442"/>
    </row>
    <row r="127" spans="1:45" x14ac:dyDescent="0.3">
      <c r="O127"/>
      <c r="X127" s="442"/>
    </row>
    <row r="128" spans="1:45" x14ac:dyDescent="0.3">
      <c r="O128"/>
      <c r="X128" s="442"/>
    </row>
    <row r="129" spans="15:24" x14ac:dyDescent="0.3">
      <c r="O129"/>
      <c r="X129" s="442"/>
    </row>
    <row r="130" spans="15:24" x14ac:dyDescent="0.3">
      <c r="O130"/>
      <c r="X130" s="442"/>
    </row>
    <row r="131" spans="15:24" x14ac:dyDescent="0.3">
      <c r="O131"/>
      <c r="X131" s="442"/>
    </row>
    <row r="132" spans="15:24" x14ac:dyDescent="0.3">
      <c r="O132"/>
      <c r="X132" s="442"/>
    </row>
    <row r="133" spans="15:24" x14ac:dyDescent="0.3">
      <c r="O133"/>
      <c r="X133" s="442"/>
    </row>
    <row r="134" spans="15:24" x14ac:dyDescent="0.3">
      <c r="O134"/>
      <c r="X134" s="442"/>
    </row>
    <row r="135" spans="15:24" x14ac:dyDescent="0.3">
      <c r="O135"/>
      <c r="X135" s="442"/>
    </row>
    <row r="136" spans="15:24" x14ac:dyDescent="0.3">
      <c r="O136"/>
      <c r="X136" s="442"/>
    </row>
    <row r="137" spans="15:24" x14ac:dyDescent="0.3">
      <c r="O137"/>
      <c r="X137" s="442"/>
    </row>
    <row r="138" spans="15:24" x14ac:dyDescent="0.3">
      <c r="O138"/>
      <c r="X138" s="442"/>
    </row>
    <row r="139" spans="15:24" x14ac:dyDescent="0.3">
      <c r="O139"/>
      <c r="X139" s="442"/>
    </row>
    <row r="140" spans="15:24" x14ac:dyDescent="0.3">
      <c r="O140"/>
      <c r="X140" s="442"/>
    </row>
    <row r="141" spans="15:24" x14ac:dyDescent="0.3">
      <c r="O141"/>
      <c r="X141" s="442"/>
    </row>
    <row r="142" spans="15:24" x14ac:dyDescent="0.3">
      <c r="O142"/>
      <c r="X142" s="442"/>
    </row>
    <row r="143" spans="15:24" x14ac:dyDescent="0.3">
      <c r="O143"/>
      <c r="X143" s="442"/>
    </row>
    <row r="144" spans="15:24" x14ac:dyDescent="0.3">
      <c r="O144"/>
      <c r="X144" s="442"/>
    </row>
    <row r="145" spans="15:24" x14ac:dyDescent="0.3">
      <c r="O145"/>
      <c r="X145" s="442"/>
    </row>
    <row r="146" spans="15:24" x14ac:dyDescent="0.3">
      <c r="O146"/>
      <c r="X146" s="442"/>
    </row>
    <row r="147" spans="15:24" x14ac:dyDescent="0.3">
      <c r="O147"/>
      <c r="X147" s="442"/>
    </row>
    <row r="148" spans="15:24" x14ac:dyDescent="0.3">
      <c r="O148"/>
      <c r="X148" s="442"/>
    </row>
    <row r="149" spans="15:24" x14ac:dyDescent="0.3">
      <c r="O149"/>
    </row>
    <row r="150" spans="15:24" x14ac:dyDescent="0.3">
      <c r="O150"/>
    </row>
    <row r="151" spans="15:24" x14ac:dyDescent="0.3">
      <c r="O151"/>
    </row>
    <row r="152" spans="15:24" x14ac:dyDescent="0.3">
      <c r="O152"/>
    </row>
    <row r="153" spans="15:24" x14ac:dyDescent="0.3">
      <c r="O153"/>
    </row>
    <row r="154" spans="15:24" x14ac:dyDescent="0.3">
      <c r="O154"/>
    </row>
    <row r="155" spans="15:24" x14ac:dyDescent="0.3">
      <c r="O155"/>
    </row>
    <row r="156" spans="15:24" x14ac:dyDescent="0.3">
      <c r="O156"/>
    </row>
    <row r="157" spans="15:24" x14ac:dyDescent="0.3">
      <c r="O157"/>
    </row>
    <row r="158" spans="15:24" x14ac:dyDescent="0.3">
      <c r="O158"/>
    </row>
    <row r="159" spans="15:24" x14ac:dyDescent="0.3">
      <c r="O159"/>
    </row>
    <row r="160" spans="15:24" x14ac:dyDescent="0.3">
      <c r="O160"/>
    </row>
    <row r="161" spans="15:15" x14ac:dyDescent="0.3">
      <c r="O161"/>
    </row>
    <row r="162" spans="15:15" x14ac:dyDescent="0.3">
      <c r="O162"/>
    </row>
    <row r="163" spans="15:15" x14ac:dyDescent="0.3">
      <c r="O163"/>
    </row>
    <row r="164" spans="15:15" x14ac:dyDescent="0.3">
      <c r="O164"/>
    </row>
    <row r="165" spans="15:15" x14ac:dyDescent="0.3">
      <c r="O165"/>
    </row>
    <row r="166" spans="15:15" x14ac:dyDescent="0.3">
      <c r="O166"/>
    </row>
    <row r="167" spans="15:15" x14ac:dyDescent="0.3">
      <c r="O167"/>
    </row>
    <row r="168" spans="15:15" x14ac:dyDescent="0.3">
      <c r="O168"/>
    </row>
    <row r="169" spans="15:15" x14ac:dyDescent="0.3">
      <c r="O169"/>
    </row>
    <row r="170" spans="15:15" x14ac:dyDescent="0.3">
      <c r="O170"/>
    </row>
    <row r="171" spans="15:15" x14ac:dyDescent="0.3">
      <c r="O171"/>
    </row>
    <row r="172" spans="15:15" x14ac:dyDescent="0.3">
      <c r="O172"/>
    </row>
    <row r="173" spans="15:15" x14ac:dyDescent="0.3">
      <c r="O173"/>
    </row>
    <row r="174" spans="15:15" x14ac:dyDescent="0.3">
      <c r="O174"/>
    </row>
    <row r="175" spans="15:15" x14ac:dyDescent="0.3">
      <c r="O175"/>
    </row>
    <row r="176" spans="15:15" x14ac:dyDescent="0.3">
      <c r="O176"/>
    </row>
    <row r="177" spans="15:15" x14ac:dyDescent="0.3">
      <c r="O177"/>
    </row>
    <row r="178" spans="15:15" x14ac:dyDescent="0.3">
      <c r="O178"/>
    </row>
    <row r="179" spans="15:15" x14ac:dyDescent="0.3">
      <c r="O179"/>
    </row>
    <row r="180" spans="15:15" x14ac:dyDescent="0.3">
      <c r="O180"/>
    </row>
    <row r="181" spans="15:15" x14ac:dyDescent="0.3">
      <c r="O181"/>
    </row>
    <row r="182" spans="15:15" x14ac:dyDescent="0.3">
      <c r="O182"/>
    </row>
    <row r="183" spans="15:15" x14ac:dyDescent="0.3">
      <c r="O183"/>
    </row>
    <row r="184" spans="15:15" x14ac:dyDescent="0.3">
      <c r="O184"/>
    </row>
    <row r="185" spans="15:15" x14ac:dyDescent="0.3">
      <c r="O185"/>
    </row>
    <row r="186" spans="15:15" x14ac:dyDescent="0.3">
      <c r="O186"/>
    </row>
    <row r="187" spans="15:15" x14ac:dyDescent="0.3">
      <c r="O187"/>
    </row>
    <row r="188" spans="15:15" x14ac:dyDescent="0.3">
      <c r="O188"/>
    </row>
    <row r="189" spans="15:15" x14ac:dyDescent="0.3">
      <c r="O189"/>
    </row>
    <row r="190" spans="15:15" x14ac:dyDescent="0.3">
      <c r="O190"/>
    </row>
    <row r="191" spans="15:15" x14ac:dyDescent="0.3">
      <c r="O191"/>
    </row>
    <row r="192" spans="15:15" x14ac:dyDescent="0.3">
      <c r="O192"/>
    </row>
    <row r="193" spans="15:15" x14ac:dyDescent="0.3">
      <c r="O193"/>
    </row>
    <row r="194" spans="15:15" x14ac:dyDescent="0.3">
      <c r="O194"/>
    </row>
    <row r="195" spans="15:15" x14ac:dyDescent="0.3">
      <c r="O195"/>
    </row>
    <row r="196" spans="15:15" x14ac:dyDescent="0.3">
      <c r="O196"/>
    </row>
    <row r="197" spans="15:15" x14ac:dyDescent="0.3">
      <c r="O197"/>
    </row>
    <row r="198" spans="15:15" x14ac:dyDescent="0.3">
      <c r="O198"/>
    </row>
    <row r="199" spans="15:15" x14ac:dyDescent="0.3">
      <c r="O199"/>
    </row>
    <row r="200" spans="15:15" x14ac:dyDescent="0.3">
      <c r="O200"/>
    </row>
    <row r="201" spans="15:15" x14ac:dyDescent="0.3">
      <c r="O201"/>
    </row>
    <row r="202" spans="15:15" x14ac:dyDescent="0.3">
      <c r="O202"/>
    </row>
    <row r="203" spans="15:15" x14ac:dyDescent="0.3">
      <c r="O203"/>
    </row>
    <row r="204" spans="15:15" x14ac:dyDescent="0.3">
      <c r="O204"/>
    </row>
    <row r="205" spans="15:15" x14ac:dyDescent="0.3">
      <c r="O205"/>
    </row>
    <row r="206" spans="15:15" x14ac:dyDescent="0.3">
      <c r="O206"/>
    </row>
    <row r="207" spans="15:15" x14ac:dyDescent="0.3">
      <c r="O207"/>
    </row>
    <row r="208" spans="15:15" x14ac:dyDescent="0.3">
      <c r="O208"/>
    </row>
    <row r="209" spans="15:15" x14ac:dyDescent="0.3">
      <c r="O209"/>
    </row>
    <row r="210" spans="15:15" x14ac:dyDescent="0.3">
      <c r="O210"/>
    </row>
    <row r="211" spans="15:15" x14ac:dyDescent="0.3">
      <c r="O211"/>
    </row>
    <row r="212" spans="15:15" x14ac:dyDescent="0.3">
      <c r="O212"/>
    </row>
    <row r="213" spans="15:15" x14ac:dyDescent="0.3">
      <c r="O213"/>
    </row>
    <row r="214" spans="15:15" x14ac:dyDescent="0.3">
      <c r="O214"/>
    </row>
    <row r="215" spans="15:15" x14ac:dyDescent="0.3">
      <c r="O215"/>
    </row>
    <row r="216" spans="15:15" x14ac:dyDescent="0.3">
      <c r="O216"/>
    </row>
    <row r="217" spans="15:15" x14ac:dyDescent="0.3">
      <c r="O217"/>
    </row>
    <row r="218" spans="15:15" x14ac:dyDescent="0.3">
      <c r="O218"/>
    </row>
    <row r="219" spans="15:15" x14ac:dyDescent="0.3">
      <c r="O219"/>
    </row>
    <row r="220" spans="15:15" x14ac:dyDescent="0.3">
      <c r="O220"/>
    </row>
    <row r="221" spans="15:15" x14ac:dyDescent="0.3">
      <c r="O221"/>
    </row>
    <row r="222" spans="15:15" x14ac:dyDescent="0.3">
      <c r="O222"/>
    </row>
    <row r="223" spans="15:15" x14ac:dyDescent="0.3">
      <c r="O223"/>
    </row>
    <row r="224" spans="15:15" x14ac:dyDescent="0.3">
      <c r="O224"/>
    </row>
    <row r="225" spans="15:15" x14ac:dyDescent="0.3">
      <c r="O225"/>
    </row>
    <row r="226" spans="15:15" x14ac:dyDescent="0.3">
      <c r="O226"/>
    </row>
    <row r="227" spans="15:15" x14ac:dyDescent="0.3">
      <c r="O227"/>
    </row>
    <row r="228" spans="15:15" x14ac:dyDescent="0.3">
      <c r="O228"/>
    </row>
    <row r="229" spans="15:15" x14ac:dyDescent="0.3">
      <c r="O229"/>
    </row>
    <row r="230" spans="15:15" x14ac:dyDescent="0.3">
      <c r="O230"/>
    </row>
    <row r="231" spans="15:15" x14ac:dyDescent="0.3">
      <c r="O231"/>
    </row>
    <row r="232" spans="15:15" x14ac:dyDescent="0.3">
      <c r="O232"/>
    </row>
    <row r="233" spans="15:15" x14ac:dyDescent="0.3">
      <c r="O233"/>
    </row>
    <row r="234" spans="15:15" x14ac:dyDescent="0.3">
      <c r="O234"/>
    </row>
    <row r="235" spans="15:15" x14ac:dyDescent="0.3">
      <c r="O235"/>
    </row>
    <row r="236" spans="15:15" x14ac:dyDescent="0.3">
      <c r="O236"/>
    </row>
    <row r="237" spans="15:15" x14ac:dyDescent="0.3">
      <c r="O237"/>
    </row>
    <row r="238" spans="15:15" x14ac:dyDescent="0.3">
      <c r="O238"/>
    </row>
    <row r="239" spans="15:15" x14ac:dyDescent="0.3">
      <c r="O239"/>
    </row>
    <row r="240" spans="15:15" x14ac:dyDescent="0.3">
      <c r="O240"/>
    </row>
    <row r="241" spans="15:15" x14ac:dyDescent="0.3">
      <c r="O241"/>
    </row>
    <row r="242" spans="15:15" x14ac:dyDescent="0.3">
      <c r="O242"/>
    </row>
    <row r="243" spans="15:15" x14ac:dyDescent="0.3">
      <c r="O243"/>
    </row>
    <row r="244" spans="15:15" x14ac:dyDescent="0.3">
      <c r="O244"/>
    </row>
    <row r="245" spans="15:15" x14ac:dyDescent="0.3">
      <c r="O245"/>
    </row>
    <row r="246" spans="15:15" x14ac:dyDescent="0.3">
      <c r="O246"/>
    </row>
    <row r="247" spans="15:15" x14ac:dyDescent="0.3">
      <c r="O247"/>
    </row>
    <row r="248" spans="15:15" x14ac:dyDescent="0.3">
      <c r="O248"/>
    </row>
    <row r="249" spans="15:15" x14ac:dyDescent="0.3">
      <c r="O249"/>
    </row>
    <row r="250" spans="15:15" x14ac:dyDescent="0.3">
      <c r="O250"/>
    </row>
    <row r="251" spans="15:15" x14ac:dyDescent="0.3">
      <c r="O251"/>
    </row>
    <row r="252" spans="15:15" x14ac:dyDescent="0.3">
      <c r="O252"/>
    </row>
    <row r="253" spans="15:15" x14ac:dyDescent="0.3">
      <c r="O253"/>
    </row>
    <row r="254" spans="15:15" x14ac:dyDescent="0.3">
      <c r="O254"/>
    </row>
    <row r="255" spans="15:15" x14ac:dyDescent="0.3">
      <c r="O255"/>
    </row>
    <row r="256" spans="15:15" x14ac:dyDescent="0.3">
      <c r="O256"/>
    </row>
    <row r="257" spans="15:15" x14ac:dyDescent="0.3">
      <c r="O257"/>
    </row>
    <row r="258" spans="15:15" x14ac:dyDescent="0.3">
      <c r="O258"/>
    </row>
    <row r="259" spans="15:15" x14ac:dyDescent="0.3">
      <c r="O259"/>
    </row>
    <row r="260" spans="15:15" x14ac:dyDescent="0.3">
      <c r="O260"/>
    </row>
    <row r="261" spans="15:15" x14ac:dyDescent="0.3">
      <c r="O261"/>
    </row>
    <row r="262" spans="15:15" x14ac:dyDescent="0.3">
      <c r="O262"/>
    </row>
    <row r="263" spans="15:15" x14ac:dyDescent="0.3">
      <c r="O263"/>
    </row>
    <row r="264" spans="15:15" x14ac:dyDescent="0.3">
      <c r="O264"/>
    </row>
    <row r="265" spans="15:15" x14ac:dyDescent="0.3">
      <c r="O265"/>
    </row>
    <row r="266" spans="15:15" x14ac:dyDescent="0.3">
      <c r="O266"/>
    </row>
    <row r="267" spans="15:15" x14ac:dyDescent="0.3">
      <c r="O267"/>
    </row>
    <row r="268" spans="15:15" x14ac:dyDescent="0.3">
      <c r="O268"/>
    </row>
    <row r="269" spans="15:15" x14ac:dyDescent="0.3">
      <c r="O269"/>
    </row>
    <row r="270" spans="15:15" x14ac:dyDescent="0.3">
      <c r="O270"/>
    </row>
    <row r="271" spans="15:15" x14ac:dyDescent="0.3">
      <c r="O271"/>
    </row>
    <row r="272" spans="15:15" x14ac:dyDescent="0.3">
      <c r="O272"/>
    </row>
    <row r="273" spans="15:15" x14ac:dyDescent="0.3">
      <c r="O273"/>
    </row>
    <row r="274" spans="15:15" x14ac:dyDescent="0.3">
      <c r="O274"/>
    </row>
    <row r="275" spans="15:15" x14ac:dyDescent="0.3">
      <c r="O275"/>
    </row>
    <row r="276" spans="15:15" x14ac:dyDescent="0.3">
      <c r="O276"/>
    </row>
    <row r="277" spans="15:15" x14ac:dyDescent="0.3">
      <c r="O277"/>
    </row>
    <row r="278" spans="15:15" x14ac:dyDescent="0.3">
      <c r="O278"/>
    </row>
    <row r="279" spans="15:15" x14ac:dyDescent="0.3">
      <c r="O279"/>
    </row>
    <row r="280" spans="15:15" x14ac:dyDescent="0.3">
      <c r="O280"/>
    </row>
    <row r="281" spans="15:15" x14ac:dyDescent="0.3">
      <c r="O281"/>
    </row>
    <row r="282" spans="15:15" x14ac:dyDescent="0.3">
      <c r="O282"/>
    </row>
    <row r="283" spans="15:15" x14ac:dyDescent="0.3">
      <c r="O283"/>
    </row>
    <row r="284" spans="15:15" x14ac:dyDescent="0.3">
      <c r="O284"/>
    </row>
    <row r="285" spans="15:15" x14ac:dyDescent="0.3">
      <c r="O285"/>
    </row>
    <row r="286" spans="15:15" x14ac:dyDescent="0.3">
      <c r="O286"/>
    </row>
    <row r="287" spans="15:15" x14ac:dyDescent="0.3">
      <c r="O287"/>
    </row>
    <row r="288" spans="15:15" x14ac:dyDescent="0.3">
      <c r="O288"/>
    </row>
    <row r="289" spans="15:15" x14ac:dyDescent="0.3">
      <c r="O289"/>
    </row>
    <row r="290" spans="15:15" x14ac:dyDescent="0.3">
      <c r="O290"/>
    </row>
    <row r="291" spans="15:15" x14ac:dyDescent="0.3">
      <c r="O291"/>
    </row>
    <row r="292" spans="15:15" x14ac:dyDescent="0.3">
      <c r="O292"/>
    </row>
    <row r="293" spans="15:15" x14ac:dyDescent="0.3">
      <c r="O293"/>
    </row>
    <row r="294" spans="15:15" x14ac:dyDescent="0.3">
      <c r="O294"/>
    </row>
    <row r="295" spans="15:15" x14ac:dyDescent="0.3">
      <c r="O295"/>
    </row>
    <row r="296" spans="15:15" x14ac:dyDescent="0.3">
      <c r="O296"/>
    </row>
    <row r="297" spans="15:15" x14ac:dyDescent="0.3">
      <c r="O297"/>
    </row>
    <row r="298" spans="15:15" x14ac:dyDescent="0.3">
      <c r="O298"/>
    </row>
    <row r="299" spans="15:15" x14ac:dyDescent="0.3">
      <c r="O299"/>
    </row>
    <row r="300" spans="15:15" x14ac:dyDescent="0.3">
      <c r="O300"/>
    </row>
    <row r="301" spans="15:15" x14ac:dyDescent="0.3">
      <c r="O301"/>
    </row>
    <row r="302" spans="15:15" x14ac:dyDescent="0.3">
      <c r="O302"/>
    </row>
    <row r="303" spans="15:15" x14ac:dyDescent="0.3">
      <c r="O303"/>
    </row>
    <row r="304" spans="15:15" x14ac:dyDescent="0.3">
      <c r="O304"/>
    </row>
    <row r="305" spans="15:15" x14ac:dyDescent="0.3">
      <c r="O305"/>
    </row>
    <row r="306" spans="15:15" x14ac:dyDescent="0.3">
      <c r="O306"/>
    </row>
    <row r="307" spans="15:15" x14ac:dyDescent="0.3">
      <c r="O307"/>
    </row>
    <row r="308" spans="15:15" x14ac:dyDescent="0.3">
      <c r="O308"/>
    </row>
    <row r="309" spans="15:15" x14ac:dyDescent="0.3">
      <c r="O309"/>
    </row>
    <row r="310" spans="15:15" x14ac:dyDescent="0.3">
      <c r="O310"/>
    </row>
    <row r="311" spans="15:15" x14ac:dyDescent="0.3">
      <c r="O311"/>
    </row>
    <row r="312" spans="15:15" x14ac:dyDescent="0.3">
      <c r="O312"/>
    </row>
    <row r="313" spans="15:15" x14ac:dyDescent="0.3">
      <c r="O313"/>
    </row>
    <row r="314" spans="15:15" x14ac:dyDescent="0.3">
      <c r="O314"/>
    </row>
    <row r="315" spans="15:15" x14ac:dyDescent="0.3">
      <c r="O315"/>
    </row>
    <row r="316" spans="15:15" x14ac:dyDescent="0.3">
      <c r="O316"/>
    </row>
    <row r="317" spans="15:15" x14ac:dyDescent="0.3">
      <c r="O317"/>
    </row>
    <row r="318" spans="15:15" x14ac:dyDescent="0.3">
      <c r="O318"/>
    </row>
    <row r="319" spans="15:15" x14ac:dyDescent="0.3">
      <c r="O319"/>
    </row>
    <row r="320" spans="15:15" x14ac:dyDescent="0.3">
      <c r="O320"/>
    </row>
    <row r="321" spans="15:15" x14ac:dyDescent="0.3">
      <c r="O321"/>
    </row>
    <row r="322" spans="15:15" x14ac:dyDescent="0.3">
      <c r="O322"/>
    </row>
    <row r="323" spans="15:15" x14ac:dyDescent="0.3">
      <c r="O323"/>
    </row>
    <row r="324" spans="15:15" x14ac:dyDescent="0.3">
      <c r="O324"/>
    </row>
    <row r="325" spans="15:15" x14ac:dyDescent="0.3">
      <c r="O325"/>
    </row>
    <row r="326" spans="15:15" x14ac:dyDescent="0.3">
      <c r="O326"/>
    </row>
    <row r="327" spans="15:15" x14ac:dyDescent="0.3">
      <c r="O327"/>
    </row>
    <row r="328" spans="15:15" x14ac:dyDescent="0.3">
      <c r="O328"/>
    </row>
    <row r="329" spans="15:15" x14ac:dyDescent="0.3">
      <c r="O329"/>
    </row>
    <row r="330" spans="15:15" x14ac:dyDescent="0.3">
      <c r="O330"/>
    </row>
    <row r="331" spans="15:15" x14ac:dyDescent="0.3">
      <c r="O331"/>
    </row>
    <row r="332" spans="15:15" x14ac:dyDescent="0.3">
      <c r="O332"/>
    </row>
    <row r="333" spans="15:15" x14ac:dyDescent="0.3">
      <c r="O333"/>
    </row>
    <row r="334" spans="15:15" x14ac:dyDescent="0.3">
      <c r="O334"/>
    </row>
    <row r="335" spans="15:15" x14ac:dyDescent="0.3">
      <c r="O335"/>
    </row>
    <row r="336" spans="15:15" x14ac:dyDescent="0.3">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J1114"/>
  <sheetViews>
    <sheetView tabSelected="1" zoomScale="70" zoomScaleNormal="70" workbookViewId="0">
      <selection activeCell="A3" sqref="A3:O3"/>
    </sheetView>
  </sheetViews>
  <sheetFormatPr baseColWidth="10" defaultColWidth="11.44140625" defaultRowHeight="15" x14ac:dyDescent="0.25"/>
  <cols>
    <col min="1" max="1" width="11.33203125" style="1318" bestFit="1" customWidth="1"/>
    <col min="2" max="2" width="22.5546875" style="1299" customWidth="1"/>
    <col min="3" max="3" width="31.88671875" style="1319" customWidth="1"/>
    <col min="4" max="4" width="22.6640625" style="1207" customWidth="1"/>
    <col min="5" max="5" width="40.6640625" style="1300" customWidth="1"/>
    <col min="6" max="6" width="69.5546875" style="1298" customWidth="1"/>
    <col min="7" max="7" width="23.6640625" style="1320" customWidth="1"/>
    <col min="8" max="8" width="26" style="1320" customWidth="1"/>
    <col min="9" max="9" width="22.6640625" style="1321" customWidth="1"/>
    <col min="10" max="10" width="44.5546875" style="1207" customWidth="1"/>
    <col min="11" max="11" width="18.109375" style="1207" customWidth="1"/>
    <col min="12" max="12" width="30.88671875" style="1300" customWidth="1"/>
    <col min="13" max="13" width="28" style="1207" customWidth="1"/>
    <col min="14" max="14" width="42.6640625" style="1207" customWidth="1"/>
    <col min="15" max="15" width="30.6640625" style="1207" customWidth="1"/>
    <col min="16" max="16" width="19.33203125" style="1317" bestFit="1" customWidth="1"/>
    <col min="17" max="17" width="32.6640625" style="1317" hidden="1" customWidth="1"/>
    <col min="18" max="18" width="22.88671875" style="1317" hidden="1" customWidth="1"/>
    <col min="19" max="20" width="20.109375" style="1317" hidden="1" customWidth="1"/>
    <col min="21" max="21" width="20.109375" style="1350" hidden="1" customWidth="1"/>
    <col min="22" max="22" width="18.109375" style="1350" hidden="1" customWidth="1"/>
    <col min="23" max="23" width="19.5546875" style="1317" hidden="1" customWidth="1"/>
    <col min="24" max="24" width="20.33203125" style="1317" hidden="1" customWidth="1"/>
    <col min="25" max="35" width="0" style="1317" hidden="1" customWidth="1"/>
    <col min="36" max="36" width="27.44140625" style="1317" hidden="1" customWidth="1"/>
    <col min="37" max="37" width="78.6640625" style="1317" hidden="1" customWidth="1"/>
    <col min="38" max="38" width="36.109375" style="1317" hidden="1" customWidth="1"/>
    <col min="39" max="39" width="57.88671875" style="1317" hidden="1" customWidth="1"/>
    <col min="40" max="40" width="70" style="1317" hidden="1" customWidth="1"/>
    <col min="41" max="41" width="103.5546875" style="1317" hidden="1" customWidth="1"/>
    <col min="42" max="42" width="230.44140625" style="1317" hidden="1" customWidth="1"/>
    <col min="43" max="51" width="0" style="1317" hidden="1" customWidth="1"/>
    <col min="52" max="84" width="11.44140625" style="1317"/>
    <col min="85" max="16384" width="11.44140625" style="1207"/>
  </cols>
  <sheetData>
    <row r="1" spans="1:84" s="1159" customFormat="1" x14ac:dyDescent="0.3">
      <c r="A1" s="1449" t="s">
        <v>4782</v>
      </c>
      <c r="B1" s="1449"/>
      <c r="C1" s="1449"/>
      <c r="D1" s="1449"/>
      <c r="E1" s="1449"/>
      <c r="F1" s="1449"/>
      <c r="G1" s="1449"/>
      <c r="H1" s="1449"/>
      <c r="I1" s="1449"/>
      <c r="J1" s="1449"/>
      <c r="K1" s="1449"/>
      <c r="L1" s="1449"/>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x14ac:dyDescent="0.3">
      <c r="A2" s="1449"/>
      <c r="B2" s="1449"/>
      <c r="C2" s="1449"/>
      <c r="D2" s="1449"/>
      <c r="E2" s="1449"/>
      <c r="F2" s="1449"/>
      <c r="G2" s="1449"/>
      <c r="H2" s="1449"/>
      <c r="I2" s="1449"/>
      <c r="J2" s="1449"/>
      <c r="K2" s="1449"/>
      <c r="L2" s="1449"/>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x14ac:dyDescent="0.3">
      <c r="A3" s="1158"/>
      <c r="B3" s="1158"/>
      <c r="C3" s="1158"/>
      <c r="D3" s="1158"/>
      <c r="E3" s="1158"/>
      <c r="F3" s="1158"/>
      <c r="G3" s="1158"/>
      <c r="H3" s="1158"/>
      <c r="I3" s="1158"/>
      <c r="J3" s="1158"/>
      <c r="K3" s="1158"/>
      <c r="L3" s="1158"/>
      <c r="M3" s="1158"/>
      <c r="N3" s="1158"/>
      <c r="O3" s="1158"/>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x14ac:dyDescent="0.25">
      <c r="A4" s="1314"/>
      <c r="B4" s="1160"/>
      <c r="C4" s="1200"/>
      <c r="D4" s="1161"/>
      <c r="E4" s="1160"/>
      <c r="G4" s="1315"/>
      <c r="H4" s="1315"/>
      <c r="I4" s="1162"/>
      <c r="J4" s="1161"/>
      <c r="K4" s="1161"/>
      <c r="L4" s="1162"/>
      <c r="M4" s="1450" t="s">
        <v>4781</v>
      </c>
      <c r="N4" s="1450"/>
      <c r="P4" s="1314"/>
      <c r="Q4" s="1314"/>
      <c r="R4" s="1314"/>
      <c r="S4" s="1314"/>
      <c r="T4" s="1314"/>
      <c r="U4" s="1349"/>
      <c r="V4" s="1349"/>
      <c r="W4" s="1314"/>
      <c r="X4" s="1314"/>
      <c r="Y4" s="1314"/>
      <c r="Z4" s="1314"/>
      <c r="AA4" s="1314"/>
      <c r="AB4" s="1314"/>
      <c r="AC4" s="1314"/>
      <c r="AD4" s="1314"/>
      <c r="AE4" s="1314"/>
      <c r="AF4" s="1314"/>
      <c r="AG4" s="1314"/>
      <c r="AH4" s="1314"/>
      <c r="AI4" s="1314"/>
      <c r="AJ4" s="1317" t="s">
        <v>642</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x14ac:dyDescent="0.25">
      <c r="A5" s="1316"/>
      <c r="B5" s="1164"/>
      <c r="C5" s="1200"/>
      <c r="D5" s="1163"/>
      <c r="E5" s="1160"/>
      <c r="G5" s="1315"/>
      <c r="H5" s="1315"/>
      <c r="I5" s="1160"/>
      <c r="K5" s="1353"/>
      <c r="L5" s="1166"/>
      <c r="M5" s="1343">
        <f>+SUBTOTAL(9,M7:M1109)</f>
        <v>66746777834.699997</v>
      </c>
      <c r="N5" s="1168"/>
      <c r="O5" s="1168"/>
      <c r="P5" s="1354"/>
      <c r="Q5" s="1314"/>
      <c r="R5" s="1343"/>
      <c r="S5" s="1343">
        <f>+SUBTOTAL(9,S7:S1109)</f>
        <v>42537001085</v>
      </c>
      <c r="T5" s="1343"/>
      <c r="U5" s="1343">
        <f>+SUBTOTAL(9,U7:U1109)</f>
        <v>27099158114</v>
      </c>
      <c r="V5" s="1343">
        <f>+SUBTOTAL(9,V7:V1109)</f>
        <v>9648900240</v>
      </c>
      <c r="W5" s="1314"/>
      <c r="X5" s="1314"/>
      <c r="Y5" s="1314"/>
      <c r="Z5" s="1314"/>
      <c r="AA5" s="1314"/>
      <c r="AB5" s="1314"/>
      <c r="AC5" s="1314"/>
      <c r="AD5" s="1314"/>
      <c r="AE5" s="1314"/>
      <c r="AF5" s="1314"/>
      <c r="AG5" s="1314"/>
      <c r="AH5" s="1314"/>
      <c r="AI5" s="1314"/>
      <c r="AJ5" s="1317">
        <v>7637</v>
      </c>
      <c r="AK5" s="1317" t="s">
        <v>643</v>
      </c>
      <c r="AL5" s="1317" t="s">
        <v>644</v>
      </c>
      <c r="AM5" s="1317" t="s">
        <v>645</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25">
      <c r="A6" s="1169" t="s">
        <v>646</v>
      </c>
      <c r="B6" s="1169" t="s">
        <v>642</v>
      </c>
      <c r="C6" s="1169" t="s">
        <v>647</v>
      </c>
      <c r="D6" s="1169" t="s">
        <v>648</v>
      </c>
      <c r="E6" s="1169" t="s">
        <v>649</v>
      </c>
      <c r="F6" s="1169" t="s">
        <v>650</v>
      </c>
      <c r="G6" s="1169" t="s">
        <v>651</v>
      </c>
      <c r="H6" s="1169" t="s">
        <v>652</v>
      </c>
      <c r="I6" s="1169" t="s">
        <v>653</v>
      </c>
      <c r="J6" s="1169" t="s">
        <v>654</v>
      </c>
      <c r="K6" s="1169" t="s">
        <v>655</v>
      </c>
      <c r="L6" s="1171" t="s">
        <v>656</v>
      </c>
      <c r="M6" s="1169" t="s">
        <v>657</v>
      </c>
      <c r="N6" s="1169" t="s">
        <v>658</v>
      </c>
      <c r="O6" s="1169" t="s">
        <v>659</v>
      </c>
      <c r="P6" s="1169" t="s">
        <v>660</v>
      </c>
      <c r="Q6" s="1337" t="s">
        <v>661</v>
      </c>
      <c r="R6" s="1337" t="s">
        <v>662</v>
      </c>
      <c r="S6" s="1337" t="s">
        <v>663</v>
      </c>
      <c r="T6" s="1337" t="s">
        <v>664</v>
      </c>
      <c r="U6" s="1351" t="s">
        <v>665</v>
      </c>
      <c r="V6" s="1351" t="s">
        <v>666</v>
      </c>
      <c r="W6" s="1337" t="s">
        <v>667</v>
      </c>
      <c r="X6" s="1354">
        <f>+X5-V5</f>
        <v>-9648900240</v>
      </c>
      <c r="Y6" s="1314"/>
      <c r="Z6" s="1314"/>
      <c r="AA6" s="1314"/>
      <c r="AB6" s="1314"/>
      <c r="AC6" s="1314"/>
      <c r="AD6" s="1314"/>
      <c r="AE6" s="1314"/>
      <c r="AF6" s="1314"/>
      <c r="AG6" s="1314"/>
      <c r="AH6" s="1314"/>
      <c r="AI6" s="1314"/>
      <c r="AJ6" s="1317">
        <v>7655</v>
      </c>
      <c r="AK6" s="1317" t="s">
        <v>668</v>
      </c>
      <c r="AL6" s="1317" t="s">
        <v>669</v>
      </c>
      <c r="AM6" s="1317" t="s">
        <v>670</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105" x14ac:dyDescent="0.25">
      <c r="A7" s="1355">
        <v>2022001</v>
      </c>
      <c r="B7" s="1172">
        <v>7637</v>
      </c>
      <c r="C7" s="1356" t="s">
        <v>643</v>
      </c>
      <c r="D7" s="1173" t="s">
        <v>671</v>
      </c>
      <c r="E7" s="1174">
        <v>80111600</v>
      </c>
      <c r="F7" s="1175" t="s">
        <v>672</v>
      </c>
      <c r="G7" s="1231">
        <v>44562</v>
      </c>
      <c r="H7" s="1231">
        <v>44592</v>
      </c>
      <c r="I7" s="1176">
        <v>11</v>
      </c>
      <c r="J7" s="1176" t="s">
        <v>673</v>
      </c>
      <c r="K7" s="1177" t="s">
        <v>674</v>
      </c>
      <c r="L7" s="1178" t="s">
        <v>675</v>
      </c>
      <c r="M7" s="1179">
        <f>70100000-43032640-20000000-7067360</f>
        <v>0</v>
      </c>
      <c r="N7" s="1189" t="s">
        <v>676</v>
      </c>
      <c r="O7" s="1174" t="s">
        <v>677</v>
      </c>
      <c r="P7" s="1159" t="s">
        <v>678</v>
      </c>
      <c r="R7" s="1269">
        <v>0</v>
      </c>
      <c r="S7" s="1269"/>
      <c r="T7" s="1269">
        <f>+Tabla16[[#This Row],[CDPS A 31 JULIO 2022]]-Tabla16[[#This Row],[CDP]]</f>
        <v>0</v>
      </c>
      <c r="U7" s="1269"/>
      <c r="V7" s="1269"/>
      <c r="W7" s="1366"/>
      <c r="AJ7" s="1207">
        <v>7658</v>
      </c>
      <c r="AK7" s="1207" t="s">
        <v>679</v>
      </c>
      <c r="AL7" s="1207" t="s">
        <v>671</v>
      </c>
      <c r="AM7" s="1207" t="s">
        <v>680</v>
      </c>
    </row>
    <row r="8" spans="1:84" ht="105" x14ac:dyDescent="0.25">
      <c r="A8" s="1355">
        <v>2022002</v>
      </c>
      <c r="B8" s="1172">
        <v>7637</v>
      </c>
      <c r="C8" s="1356" t="s">
        <v>643</v>
      </c>
      <c r="D8" s="1173" t="s">
        <v>671</v>
      </c>
      <c r="E8" s="1174">
        <v>80111600</v>
      </c>
      <c r="F8" s="1175" t="s">
        <v>681</v>
      </c>
      <c r="G8" s="1231">
        <v>44562</v>
      </c>
      <c r="H8" s="1231">
        <v>44592</v>
      </c>
      <c r="I8" s="1176">
        <v>11</v>
      </c>
      <c r="J8" s="1176" t="s">
        <v>673</v>
      </c>
      <c r="K8" s="1177" t="s">
        <v>674</v>
      </c>
      <c r="L8" s="1178" t="s">
        <v>675</v>
      </c>
      <c r="M8" s="1179">
        <f>77000000-2200000</f>
        <v>74800000</v>
      </c>
      <c r="N8" s="1189" t="s">
        <v>676</v>
      </c>
      <c r="O8" s="1174" t="s">
        <v>677</v>
      </c>
      <c r="P8" s="1159" t="s">
        <v>678</v>
      </c>
      <c r="Q8" s="1207"/>
      <c r="R8" s="1269">
        <v>74800000</v>
      </c>
      <c r="S8" s="1357">
        <v>74800000</v>
      </c>
      <c r="T8" s="1357">
        <f>+Tabla16[[#This Row],[CDPS A 31 JULIO 2022]]-Tabla16[[#This Row],[CDP]]</f>
        <v>0</v>
      </c>
      <c r="U8" s="1357">
        <v>74800000</v>
      </c>
      <c r="V8" s="1357">
        <v>29240000</v>
      </c>
      <c r="W8" s="1357"/>
      <c r="X8" s="1207"/>
      <c r="Y8" s="1207"/>
      <c r="Z8" s="1207"/>
      <c r="AA8" s="1207"/>
      <c r="AB8" s="1207"/>
      <c r="AC8" s="1207"/>
      <c r="AD8" s="1207"/>
      <c r="AE8" s="1207"/>
      <c r="AF8" s="1207"/>
      <c r="AG8" s="1207"/>
      <c r="AH8" s="1207"/>
      <c r="AI8" s="1207"/>
      <c r="AJ8" s="1207" t="s">
        <v>459</v>
      </c>
      <c r="AK8" s="1207"/>
      <c r="AL8" s="1207" t="s">
        <v>682</v>
      </c>
      <c r="AM8" s="1207" t="s">
        <v>683</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105" x14ac:dyDescent="0.25">
      <c r="A9" s="1355">
        <v>2022003</v>
      </c>
      <c r="B9" s="1172">
        <v>7637</v>
      </c>
      <c r="C9" s="1356" t="s">
        <v>643</v>
      </c>
      <c r="D9" s="1173" t="s">
        <v>671</v>
      </c>
      <c r="E9" s="1174">
        <v>80111600</v>
      </c>
      <c r="F9" s="1175" t="s">
        <v>684</v>
      </c>
      <c r="G9" s="1231">
        <v>44562</v>
      </c>
      <c r="H9" s="1231">
        <v>44592</v>
      </c>
      <c r="I9" s="1176">
        <v>11</v>
      </c>
      <c r="J9" s="1176" t="s">
        <v>673</v>
      </c>
      <c r="K9" s="1177" t="s">
        <v>674</v>
      </c>
      <c r="L9" s="1178" t="s">
        <v>675</v>
      </c>
      <c r="M9" s="1179">
        <f>77000000-8800000-18600000</f>
        <v>49600000</v>
      </c>
      <c r="N9" s="1382" t="s">
        <v>685</v>
      </c>
      <c r="O9" s="1174" t="s">
        <v>677</v>
      </c>
      <c r="P9" s="1159" t="s">
        <v>678</v>
      </c>
      <c r="Q9" s="1207"/>
      <c r="R9" s="1269">
        <v>49600000</v>
      </c>
      <c r="S9" s="1357">
        <v>49600000</v>
      </c>
      <c r="T9" s="1357">
        <f>+Tabla16[[#This Row],[CDPS A 31 JULIO 2022]]-Tabla16[[#This Row],[CDP]]</f>
        <v>0</v>
      </c>
      <c r="U9" s="1357">
        <v>49600000</v>
      </c>
      <c r="V9" s="1357">
        <v>24800000</v>
      </c>
      <c r="W9" s="1357"/>
      <c r="X9" s="1207"/>
      <c r="Y9" s="1207"/>
      <c r="Z9" s="1207"/>
      <c r="AA9" s="1207"/>
      <c r="AB9" s="1207"/>
      <c r="AC9" s="1207"/>
      <c r="AD9" s="1207"/>
      <c r="AE9" s="1207"/>
      <c r="AF9" s="1207"/>
      <c r="AG9" s="1207"/>
      <c r="AH9" s="1207"/>
      <c r="AI9" s="1207"/>
      <c r="AJ9" s="1207"/>
      <c r="AK9" s="1207"/>
      <c r="AL9" s="1207" t="s">
        <v>686</v>
      </c>
      <c r="AM9" s="1207" t="s">
        <v>687</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105" x14ac:dyDescent="0.25">
      <c r="A10" s="1355">
        <v>2022004</v>
      </c>
      <c r="B10" s="1172">
        <v>7637</v>
      </c>
      <c r="C10" s="1356" t="s">
        <v>643</v>
      </c>
      <c r="D10" s="1173" t="s">
        <v>671</v>
      </c>
      <c r="E10" s="1174">
        <v>80111600</v>
      </c>
      <c r="F10" s="1175" t="s">
        <v>688</v>
      </c>
      <c r="G10" s="1231">
        <v>44562</v>
      </c>
      <c r="H10" s="1231">
        <v>44592</v>
      </c>
      <c r="I10" s="1176">
        <v>11</v>
      </c>
      <c r="J10" s="1176" t="s">
        <v>673</v>
      </c>
      <c r="K10" s="1177" t="s">
        <v>674</v>
      </c>
      <c r="L10" s="1178" t="s">
        <v>675</v>
      </c>
      <c r="M10" s="1179">
        <f>77000000-2200000</f>
        <v>74800000</v>
      </c>
      <c r="N10" s="1189" t="s">
        <v>676</v>
      </c>
      <c r="O10" s="1174" t="s">
        <v>677</v>
      </c>
      <c r="P10" s="1159" t="s">
        <v>678</v>
      </c>
      <c r="Q10" s="1207"/>
      <c r="R10" s="1269">
        <v>74800000</v>
      </c>
      <c r="S10" s="1357">
        <v>74800000</v>
      </c>
      <c r="T10" s="1357">
        <f>+Tabla16[[#This Row],[CDPS A 31 JULIO 2022]]-Tabla16[[#This Row],[CDP]]</f>
        <v>0</v>
      </c>
      <c r="U10" s="1357">
        <v>74800000</v>
      </c>
      <c r="V10" s="1357">
        <v>28560000</v>
      </c>
      <c r="W10" s="1357"/>
      <c r="X10" s="1207"/>
      <c r="Y10" s="1207"/>
      <c r="Z10" s="1207"/>
      <c r="AA10" s="1207"/>
      <c r="AB10" s="1207"/>
      <c r="AC10" s="1207"/>
      <c r="AD10" s="1207"/>
      <c r="AE10" s="1207"/>
      <c r="AF10" s="1207"/>
      <c r="AG10" s="1207"/>
      <c r="AH10" s="1207"/>
      <c r="AI10" s="1207"/>
      <c r="AJ10" s="1207"/>
      <c r="AK10" s="1207"/>
      <c r="AL10" s="1207" t="s">
        <v>689</v>
      </c>
      <c r="AM10" s="1207" t="s">
        <v>690</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105" x14ac:dyDescent="0.25">
      <c r="A11" s="1355">
        <v>2022005</v>
      </c>
      <c r="B11" s="1172">
        <v>7637</v>
      </c>
      <c r="C11" s="1356" t="s">
        <v>643</v>
      </c>
      <c r="D11" s="1173" t="s">
        <v>671</v>
      </c>
      <c r="E11" s="1174">
        <v>80111600</v>
      </c>
      <c r="F11" s="1175" t="s">
        <v>691</v>
      </c>
      <c r="G11" s="1231">
        <v>44562</v>
      </c>
      <c r="H11" s="1231">
        <v>44592</v>
      </c>
      <c r="I11" s="1176">
        <v>6</v>
      </c>
      <c r="J11" s="1176" t="s">
        <v>673</v>
      </c>
      <c r="K11" s="1177" t="s">
        <v>674</v>
      </c>
      <c r="L11" s="1178" t="s">
        <v>675</v>
      </c>
      <c r="M11" s="1179">
        <f>77000000-20400000-1100000-13600000</f>
        <v>41900000</v>
      </c>
      <c r="N11" s="1189" t="s">
        <v>676</v>
      </c>
      <c r="O11" s="1174" t="s">
        <v>677</v>
      </c>
      <c r="P11" s="1159" t="s">
        <v>678</v>
      </c>
      <c r="Q11" s="1207"/>
      <c r="R11" s="1269">
        <v>40800000</v>
      </c>
      <c r="S11" s="1357">
        <v>40800000</v>
      </c>
      <c r="T11" s="1357">
        <f>+Tabla16[[#This Row],[CDPS A 31 JULIO 2022]]-Tabla16[[#This Row],[CDP]]</f>
        <v>0</v>
      </c>
      <c r="U11" s="1357">
        <v>40800000</v>
      </c>
      <c r="V11" s="1357">
        <v>27200000</v>
      </c>
      <c r="W11" s="1357"/>
      <c r="X11" s="1207"/>
      <c r="Y11" s="1207"/>
      <c r="Z11" s="1207"/>
      <c r="AA11" s="1207"/>
      <c r="AB11" s="1207"/>
      <c r="AC11" s="1207"/>
      <c r="AD11" s="1207"/>
      <c r="AE11" s="1207"/>
      <c r="AF11" s="1207"/>
      <c r="AG11" s="1207"/>
      <c r="AH11" s="1207"/>
      <c r="AI11" s="1207"/>
      <c r="AJ11" s="1207"/>
      <c r="AK11" s="1207"/>
      <c r="AL11" s="1207" t="s">
        <v>692</v>
      </c>
      <c r="AM11" s="1207" t="s">
        <v>693</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105" x14ac:dyDescent="0.25">
      <c r="A12" s="1355">
        <v>2022006</v>
      </c>
      <c r="B12" s="1172">
        <v>7637</v>
      </c>
      <c r="C12" s="1356" t="s">
        <v>643</v>
      </c>
      <c r="D12" s="1173" t="s">
        <v>671</v>
      </c>
      <c r="E12" s="1174">
        <v>80111600</v>
      </c>
      <c r="F12" s="1175" t="s">
        <v>694</v>
      </c>
      <c r="G12" s="1231">
        <v>44562</v>
      </c>
      <c r="H12" s="1231">
        <v>44592</v>
      </c>
      <c r="I12" s="1176">
        <v>11</v>
      </c>
      <c r="J12" s="1176" t="s">
        <v>673</v>
      </c>
      <c r="K12" s="1177" t="s">
        <v>674</v>
      </c>
      <c r="L12" s="1178" t="s">
        <v>675</v>
      </c>
      <c r="M12" s="1179">
        <f>66000000-18000000</f>
        <v>48000000</v>
      </c>
      <c r="N12" s="1189" t="s">
        <v>676</v>
      </c>
      <c r="O12" s="1174" t="s">
        <v>677</v>
      </c>
      <c r="P12" s="1159" t="s">
        <v>678</v>
      </c>
      <c r="Q12" s="1207"/>
      <c r="R12" s="1269">
        <v>48000000</v>
      </c>
      <c r="S12" s="1357">
        <v>48000000</v>
      </c>
      <c r="T12" s="1357">
        <f>+Tabla16[[#This Row],[CDPS A 31 JULIO 2022]]-Tabla16[[#This Row],[CDP]]</f>
        <v>0</v>
      </c>
      <c r="U12" s="1357">
        <v>48000000</v>
      </c>
      <c r="V12" s="1357">
        <v>24000000</v>
      </c>
      <c r="W12" s="1357"/>
      <c r="X12" s="1207"/>
      <c r="Y12" s="1207"/>
      <c r="Z12" s="1207"/>
      <c r="AA12" s="1207"/>
      <c r="AB12" s="1207"/>
      <c r="AC12" s="1207"/>
      <c r="AD12" s="1207"/>
      <c r="AE12" s="1207"/>
      <c r="AF12" s="1207"/>
      <c r="AG12" s="1207"/>
      <c r="AH12" s="1207"/>
      <c r="AI12" s="1207"/>
      <c r="AJ12" s="1207"/>
      <c r="AK12" s="1207"/>
      <c r="AL12" s="1207" t="s">
        <v>695</v>
      </c>
      <c r="AM12" s="1207" t="s">
        <v>696</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05" x14ac:dyDescent="0.25">
      <c r="A13" s="1355">
        <v>2022007</v>
      </c>
      <c r="B13" s="1172">
        <v>7637</v>
      </c>
      <c r="C13" s="1356" t="s">
        <v>643</v>
      </c>
      <c r="D13" s="1173" t="s">
        <v>671</v>
      </c>
      <c r="E13" s="1174">
        <v>80111600</v>
      </c>
      <c r="F13" s="1175" t="s">
        <v>697</v>
      </c>
      <c r="G13" s="1231">
        <v>44562</v>
      </c>
      <c r="H13" s="1231">
        <v>44592</v>
      </c>
      <c r="I13" s="1176">
        <v>11</v>
      </c>
      <c r="J13" s="1176" t="s">
        <v>673</v>
      </c>
      <c r="K13" s="1177" t="s">
        <v>674</v>
      </c>
      <c r="L13" s="1178" t="s">
        <v>675</v>
      </c>
      <c r="M13" s="1179">
        <v>77000000</v>
      </c>
      <c r="N13" s="1189" t="s">
        <v>676</v>
      </c>
      <c r="O13" s="1174" t="s">
        <v>677</v>
      </c>
      <c r="P13" s="1159" t="s">
        <v>678</v>
      </c>
      <c r="Q13" s="1207"/>
      <c r="R13" s="1269">
        <v>74800000</v>
      </c>
      <c r="S13" s="1357">
        <v>74800000</v>
      </c>
      <c r="T13" s="1357">
        <f>+Tabla16[[#This Row],[CDPS A 31 JULIO 2022]]-Tabla16[[#This Row],[CDP]]</f>
        <v>0</v>
      </c>
      <c r="U13" s="1357">
        <v>74800000</v>
      </c>
      <c r="V13" s="1357">
        <v>29240000</v>
      </c>
      <c r="W13" s="1357"/>
      <c r="X13" s="1207"/>
      <c r="Y13" s="1207"/>
      <c r="Z13" s="1207"/>
      <c r="AA13" s="1207"/>
      <c r="AB13" s="1207"/>
      <c r="AC13" s="1207"/>
      <c r="AD13" s="1207"/>
      <c r="AE13" s="1207"/>
      <c r="AF13" s="1207"/>
      <c r="AG13" s="1207"/>
      <c r="AH13" s="1207"/>
      <c r="AI13" s="1207"/>
      <c r="AJ13" s="1207"/>
      <c r="AK13" s="1207"/>
      <c r="AL13" s="1207" t="s">
        <v>698</v>
      </c>
      <c r="AM13" s="1207" t="s">
        <v>699</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105" x14ac:dyDescent="0.25">
      <c r="A14" s="1355">
        <v>2022008</v>
      </c>
      <c r="B14" s="1172">
        <v>7637</v>
      </c>
      <c r="C14" s="1356" t="s">
        <v>643</v>
      </c>
      <c r="D14" s="1173" t="s">
        <v>671</v>
      </c>
      <c r="E14" s="1174">
        <v>80111600</v>
      </c>
      <c r="F14" s="1175" t="s">
        <v>700</v>
      </c>
      <c r="G14" s="1231">
        <v>44562</v>
      </c>
      <c r="H14" s="1231">
        <v>44592</v>
      </c>
      <c r="I14" s="1176">
        <v>11</v>
      </c>
      <c r="J14" s="1176" t="s">
        <v>673</v>
      </c>
      <c r="K14" s="1177" t="s">
        <v>674</v>
      </c>
      <c r="L14" s="1178" t="s">
        <v>675</v>
      </c>
      <c r="M14" s="1179">
        <f>77000000-2200000</f>
        <v>74800000</v>
      </c>
      <c r="N14" s="1189" t="s">
        <v>676</v>
      </c>
      <c r="O14" s="1174" t="s">
        <v>677</v>
      </c>
      <c r="P14" s="1159" t="s">
        <v>678</v>
      </c>
      <c r="Q14" s="1207"/>
      <c r="R14" s="1269">
        <v>74800000</v>
      </c>
      <c r="S14" s="1357">
        <v>74800000</v>
      </c>
      <c r="T14" s="1357">
        <f>+Tabla16[[#This Row],[CDPS A 31 JULIO 2022]]-Tabla16[[#This Row],[CDP]]</f>
        <v>0</v>
      </c>
      <c r="U14" s="1357">
        <v>74800000</v>
      </c>
      <c r="V14" s="1357">
        <v>27880000</v>
      </c>
      <c r="W14" s="1357"/>
      <c r="X14" s="1207"/>
      <c r="Y14" s="1207"/>
      <c r="Z14" s="1207"/>
      <c r="AA14" s="1207"/>
      <c r="AB14" s="1207"/>
      <c r="AC14" s="1207"/>
      <c r="AD14" s="1207"/>
      <c r="AE14" s="1207"/>
      <c r="AF14" s="1207"/>
      <c r="AG14" s="1207"/>
      <c r="AH14" s="1207"/>
      <c r="AI14" s="1207"/>
      <c r="AJ14" s="1207"/>
      <c r="AK14" s="1207"/>
      <c r="AL14" s="1207" t="s">
        <v>701</v>
      </c>
      <c r="AM14" s="1207" t="s">
        <v>702</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105" x14ac:dyDescent="0.25">
      <c r="A15" s="1355">
        <v>2022009</v>
      </c>
      <c r="B15" s="1172">
        <v>7637</v>
      </c>
      <c r="C15" s="1356" t="s">
        <v>643</v>
      </c>
      <c r="D15" s="1173" t="s">
        <v>671</v>
      </c>
      <c r="E15" s="1174">
        <v>80111600</v>
      </c>
      <c r="F15" s="1175" t="s">
        <v>703</v>
      </c>
      <c r="G15" s="1231">
        <v>44562</v>
      </c>
      <c r="H15" s="1231">
        <v>44592</v>
      </c>
      <c r="I15" s="1176">
        <v>11</v>
      </c>
      <c r="J15" s="1176" t="s">
        <v>673</v>
      </c>
      <c r="K15" s="1177" t="s">
        <v>674</v>
      </c>
      <c r="L15" s="1178" t="s">
        <v>675</v>
      </c>
      <c r="M15" s="1179">
        <f>77000000-8800000-18600000</f>
        <v>49600000</v>
      </c>
      <c r="N15" s="1382" t="s">
        <v>704</v>
      </c>
      <c r="O15" s="1174" t="s">
        <v>677</v>
      </c>
      <c r="P15" s="1159" t="s">
        <v>678</v>
      </c>
      <c r="Q15" s="1207"/>
      <c r="R15" s="1269">
        <v>49600000</v>
      </c>
      <c r="S15" s="1357">
        <v>49600000</v>
      </c>
      <c r="T15" s="1357">
        <f>+Tabla16[[#This Row],[CDPS A 31 JULIO 2022]]-Tabla16[[#This Row],[CDP]]</f>
        <v>0</v>
      </c>
      <c r="U15" s="1357">
        <v>49600000</v>
      </c>
      <c r="V15" s="1357">
        <v>24800000</v>
      </c>
      <c r="W15" s="1357"/>
      <c r="X15" s="1207"/>
      <c r="Y15" s="1207"/>
      <c r="Z15" s="1207"/>
      <c r="AA15" s="1207"/>
      <c r="AB15" s="1207"/>
      <c r="AC15" s="1207"/>
      <c r="AD15" s="1207"/>
      <c r="AE15" s="1207"/>
      <c r="AF15" s="1207"/>
      <c r="AG15" s="1207"/>
      <c r="AH15" s="1207"/>
      <c r="AI15" s="1207"/>
      <c r="AJ15" s="1207"/>
      <c r="AK15" s="1207"/>
      <c r="AL15" s="1207"/>
      <c r="AM15" s="1207" t="s">
        <v>705</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105" x14ac:dyDescent="0.25">
      <c r="A16" s="1355">
        <v>2022010</v>
      </c>
      <c r="B16" s="1172">
        <v>7637</v>
      </c>
      <c r="C16" s="1356" t="s">
        <v>643</v>
      </c>
      <c r="D16" s="1173" t="s">
        <v>671</v>
      </c>
      <c r="E16" s="1174">
        <v>80111600</v>
      </c>
      <c r="F16" s="1175" t="s">
        <v>706</v>
      </c>
      <c r="G16" s="1231">
        <v>44562</v>
      </c>
      <c r="H16" s="1231">
        <v>44592</v>
      </c>
      <c r="I16" s="1176">
        <v>11</v>
      </c>
      <c r="J16" s="1176" t="s">
        <v>673</v>
      </c>
      <c r="K16" s="1177" t="s">
        <v>674</v>
      </c>
      <c r="L16" s="1178" t="s">
        <v>675</v>
      </c>
      <c r="M16" s="1179">
        <f>66000000-16400000</f>
        <v>49600000</v>
      </c>
      <c r="N16" s="1189" t="s">
        <v>676</v>
      </c>
      <c r="O16" s="1174" t="s">
        <v>677</v>
      </c>
      <c r="P16" s="1159" t="s">
        <v>678</v>
      </c>
      <c r="Q16" s="1207"/>
      <c r="R16" s="1269">
        <v>49600000</v>
      </c>
      <c r="S16" s="1357">
        <v>49600000</v>
      </c>
      <c r="T16" s="1357">
        <f>+Tabla16[[#This Row],[CDPS A 31 JULIO 2022]]-Tabla16[[#This Row],[CDP]]</f>
        <v>0</v>
      </c>
      <c r="U16" s="1357">
        <v>49600000</v>
      </c>
      <c r="V16" s="1357">
        <v>24800000</v>
      </c>
      <c r="W16" s="1357"/>
      <c r="X16" s="1207"/>
      <c r="Y16" s="1207"/>
      <c r="Z16" s="1207"/>
      <c r="AA16" s="1207"/>
      <c r="AB16" s="1207"/>
      <c r="AC16" s="1207"/>
      <c r="AD16" s="1207"/>
      <c r="AE16" s="1207"/>
      <c r="AF16" s="1207"/>
      <c r="AG16" s="1207"/>
      <c r="AH16" s="1207"/>
      <c r="AI16" s="1207"/>
      <c r="AJ16" s="1207"/>
      <c r="AK16" s="1207"/>
      <c r="AL16" s="1207"/>
      <c r="AM16" s="1207" t="s">
        <v>707</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105" x14ac:dyDescent="0.25">
      <c r="A17" s="1355">
        <v>2022011</v>
      </c>
      <c r="B17" s="1172">
        <v>7637</v>
      </c>
      <c r="C17" s="1356" t="s">
        <v>643</v>
      </c>
      <c r="D17" s="1173" t="s">
        <v>671</v>
      </c>
      <c r="E17" s="1174">
        <v>80111600</v>
      </c>
      <c r="F17" s="1175" t="s">
        <v>708</v>
      </c>
      <c r="G17" s="1231">
        <v>44562</v>
      </c>
      <c r="H17" s="1231">
        <v>44592</v>
      </c>
      <c r="I17" s="1176">
        <v>11</v>
      </c>
      <c r="J17" s="1176" t="s">
        <v>673</v>
      </c>
      <c r="K17" s="1177" t="s">
        <v>674</v>
      </c>
      <c r="L17" s="1178" t="s">
        <v>675</v>
      </c>
      <c r="M17" s="1179">
        <f>33000000-9000000</f>
        <v>24000000</v>
      </c>
      <c r="N17" s="1189" t="s">
        <v>676</v>
      </c>
      <c r="O17" s="1174" t="s">
        <v>677</v>
      </c>
      <c r="P17" s="1159" t="s">
        <v>678</v>
      </c>
      <c r="R17" s="1269">
        <v>24000000</v>
      </c>
      <c r="S17" s="1357">
        <v>24000000</v>
      </c>
      <c r="T17" s="1357">
        <f>+Tabla16[[#This Row],[CDPS A 31 JULIO 2022]]-Tabla16[[#This Row],[CDP]]</f>
        <v>0</v>
      </c>
      <c r="U17" s="1357">
        <v>24000000</v>
      </c>
      <c r="V17" s="1357">
        <v>12300000</v>
      </c>
      <c r="W17" s="1357"/>
      <c r="AM17" s="1207" t="s">
        <v>709</v>
      </c>
    </row>
    <row r="18" spans="1:39" s="1207" customFormat="1" ht="105" x14ac:dyDescent="0.25">
      <c r="A18" s="1355">
        <v>2022012</v>
      </c>
      <c r="B18" s="1172">
        <v>7637</v>
      </c>
      <c r="C18" s="1356" t="s">
        <v>643</v>
      </c>
      <c r="D18" s="1173" t="s">
        <v>671</v>
      </c>
      <c r="E18" s="1174">
        <v>80111600</v>
      </c>
      <c r="F18" s="1175" t="s">
        <v>710</v>
      </c>
      <c r="G18" s="1231">
        <v>44562</v>
      </c>
      <c r="H18" s="1231">
        <v>44592</v>
      </c>
      <c r="I18" s="1176">
        <v>11</v>
      </c>
      <c r="J18" s="1176" t="s">
        <v>673</v>
      </c>
      <c r="K18" s="1177" t="s">
        <v>674</v>
      </c>
      <c r="L18" s="1178" t="s">
        <v>675</v>
      </c>
      <c r="M18" s="1179">
        <v>49500000</v>
      </c>
      <c r="N18" s="1189" t="s">
        <v>676</v>
      </c>
      <c r="O18" s="1174" t="s">
        <v>677</v>
      </c>
      <c r="P18" s="1159" t="s">
        <v>678</v>
      </c>
      <c r="R18" s="1269">
        <v>49500000</v>
      </c>
      <c r="S18" s="1357">
        <v>49500000</v>
      </c>
      <c r="T18" s="1357">
        <f>+Tabla16[[#This Row],[CDPS A 31 JULIO 2022]]-Tabla16[[#This Row],[CDP]]</f>
        <v>0</v>
      </c>
      <c r="U18" s="1357">
        <v>49500000</v>
      </c>
      <c r="V18" s="1357">
        <v>19650000</v>
      </c>
      <c r="W18" s="1357"/>
      <c r="AM18" s="1207" t="s">
        <v>711</v>
      </c>
    </row>
    <row r="19" spans="1:39" s="1207" customFormat="1" ht="105" x14ac:dyDescent="0.25">
      <c r="A19" s="1355">
        <v>2022013</v>
      </c>
      <c r="B19" s="1172">
        <v>7637</v>
      </c>
      <c r="C19" s="1356" t="s">
        <v>643</v>
      </c>
      <c r="D19" s="1173" t="s">
        <v>671</v>
      </c>
      <c r="E19" s="1174">
        <v>80111600</v>
      </c>
      <c r="F19" s="1175" t="s">
        <v>712</v>
      </c>
      <c r="G19" s="1231">
        <v>44562</v>
      </c>
      <c r="H19" s="1231">
        <v>44592</v>
      </c>
      <c r="I19" s="1176">
        <v>11</v>
      </c>
      <c r="J19" s="1176" t="s">
        <v>673</v>
      </c>
      <c r="K19" s="1177" t="s">
        <v>674</v>
      </c>
      <c r="L19" s="1178" t="s">
        <v>675</v>
      </c>
      <c r="M19" s="1179">
        <v>49500000</v>
      </c>
      <c r="N19" s="1189" t="s">
        <v>676</v>
      </c>
      <c r="O19" s="1174" t="s">
        <v>677</v>
      </c>
      <c r="P19" s="1159" t="s">
        <v>678</v>
      </c>
      <c r="R19" s="1269">
        <v>49500000</v>
      </c>
      <c r="S19" s="1357">
        <v>49500000</v>
      </c>
      <c r="T19" s="1357">
        <f>+Tabla16[[#This Row],[CDPS A 31 JULIO 2022]]-Tabla16[[#This Row],[CDP]]</f>
        <v>0</v>
      </c>
      <c r="U19" s="1357">
        <v>49500000</v>
      </c>
      <c r="V19" s="1357">
        <v>18000000</v>
      </c>
      <c r="W19" s="1357"/>
      <c r="AM19" s="1207" t="s">
        <v>713</v>
      </c>
    </row>
    <row r="20" spans="1:39" s="1207" customFormat="1" ht="105" x14ac:dyDescent="0.25">
      <c r="A20" s="1355">
        <v>2022014</v>
      </c>
      <c r="B20" s="1172">
        <v>7637</v>
      </c>
      <c r="C20" s="1356" t="s">
        <v>643</v>
      </c>
      <c r="D20" s="1173" t="s">
        <v>671</v>
      </c>
      <c r="E20" s="1174">
        <v>80111600</v>
      </c>
      <c r="F20" s="1175" t="s">
        <v>714</v>
      </c>
      <c r="G20" s="1231">
        <v>44562</v>
      </c>
      <c r="H20" s="1231">
        <v>44592</v>
      </c>
      <c r="I20" s="1176">
        <v>11</v>
      </c>
      <c r="J20" s="1176" t="s">
        <v>673</v>
      </c>
      <c r="K20" s="1177" t="s">
        <v>674</v>
      </c>
      <c r="L20" s="1178" t="s">
        <v>675</v>
      </c>
      <c r="M20" s="1179">
        <f>77000000-20400000-2200000</f>
        <v>54400000</v>
      </c>
      <c r="N20" s="1382" t="s">
        <v>704</v>
      </c>
      <c r="O20" s="1174" t="s">
        <v>677</v>
      </c>
      <c r="P20" s="1159" t="s">
        <v>678</v>
      </c>
      <c r="R20" s="1269">
        <v>54400000</v>
      </c>
      <c r="S20" s="1357">
        <v>54400000</v>
      </c>
      <c r="T20" s="1357">
        <f>+Tabla16[[#This Row],[CDPS A 31 JULIO 2022]]-Tabla16[[#This Row],[CDP]]</f>
        <v>0</v>
      </c>
      <c r="U20" s="1357">
        <v>54400000</v>
      </c>
      <c r="V20" s="1357">
        <v>29466666</v>
      </c>
      <c r="W20" s="1357"/>
      <c r="AM20" s="1207" t="s">
        <v>715</v>
      </c>
    </row>
    <row r="21" spans="1:39" s="1207" customFormat="1" ht="105" x14ac:dyDescent="0.25">
      <c r="A21" s="1355">
        <v>2022015</v>
      </c>
      <c r="B21" s="1172">
        <v>7637</v>
      </c>
      <c r="C21" s="1356" t="s">
        <v>643</v>
      </c>
      <c r="D21" s="1173" t="s">
        <v>671</v>
      </c>
      <c r="E21" s="1174">
        <v>80111600</v>
      </c>
      <c r="F21" s="1175" t="s">
        <v>716</v>
      </c>
      <c r="G21" s="1231">
        <v>44562</v>
      </c>
      <c r="H21" s="1231">
        <v>44592</v>
      </c>
      <c r="I21" s="1176">
        <v>11</v>
      </c>
      <c r="J21" s="1176" t="s">
        <v>673</v>
      </c>
      <c r="K21" s="1177" t="s">
        <v>674</v>
      </c>
      <c r="L21" s="1178" t="s">
        <v>675</v>
      </c>
      <c r="M21" s="1179">
        <f>77000000-20400000-2200000</f>
        <v>54400000</v>
      </c>
      <c r="N21" s="1189" t="s">
        <v>676</v>
      </c>
      <c r="O21" s="1174" t="s">
        <v>677</v>
      </c>
      <c r="P21" s="1159" t="s">
        <v>678</v>
      </c>
      <c r="R21" s="1269">
        <v>54400000</v>
      </c>
      <c r="S21" s="1357">
        <v>54400000</v>
      </c>
      <c r="T21" s="1357">
        <f>+Tabla16[[#This Row],[CDPS A 31 JULIO 2022]]-Tabla16[[#This Row],[CDP]]</f>
        <v>0</v>
      </c>
      <c r="U21" s="1357">
        <v>54400000</v>
      </c>
      <c r="V21" s="1357">
        <v>27880000</v>
      </c>
      <c r="W21" s="1357"/>
      <c r="AM21" s="1207" t="s">
        <v>717</v>
      </c>
    </row>
    <row r="22" spans="1:39" s="1207" customFormat="1" ht="105" x14ac:dyDescent="0.25">
      <c r="A22" s="1355">
        <v>2022016</v>
      </c>
      <c r="B22" s="1172">
        <v>7637</v>
      </c>
      <c r="C22" s="1356" t="s">
        <v>643</v>
      </c>
      <c r="D22" s="1173" t="s">
        <v>671</v>
      </c>
      <c r="E22" s="1174">
        <v>80111600</v>
      </c>
      <c r="F22" s="1175" t="s">
        <v>718</v>
      </c>
      <c r="G22" s="1231">
        <v>44562</v>
      </c>
      <c r="H22" s="1231">
        <v>44592</v>
      </c>
      <c r="I22" s="1176">
        <v>6</v>
      </c>
      <c r="J22" s="1176" t="s">
        <v>673</v>
      </c>
      <c r="K22" s="1177" t="s">
        <v>674</v>
      </c>
      <c r="L22" s="1178" t="s">
        <v>675</v>
      </c>
      <c r="M22" s="1179">
        <f>49500000-15000000-4500000</f>
        <v>30000000</v>
      </c>
      <c r="N22" s="1382" t="s">
        <v>704</v>
      </c>
      <c r="O22" s="1174" t="s">
        <v>677</v>
      </c>
      <c r="P22" s="1159" t="s">
        <v>678</v>
      </c>
      <c r="R22" s="1269">
        <v>30000000</v>
      </c>
      <c r="S22" s="1357">
        <v>30000000</v>
      </c>
      <c r="T22" s="1357">
        <f>+Tabla16[[#This Row],[CDPS A 31 JULIO 2022]]-Tabla16[[#This Row],[CDP]]</f>
        <v>0</v>
      </c>
      <c r="U22" s="1357">
        <v>30000000</v>
      </c>
      <c r="V22" s="1357">
        <v>20000000</v>
      </c>
      <c r="W22" s="1357"/>
      <c r="AM22" s="1207" t="s">
        <v>673</v>
      </c>
    </row>
    <row r="23" spans="1:39" s="1207" customFormat="1" ht="105" x14ac:dyDescent="0.25">
      <c r="A23" s="1355">
        <v>2022017</v>
      </c>
      <c r="B23" s="1172">
        <v>7637</v>
      </c>
      <c r="C23" s="1356" t="s">
        <v>643</v>
      </c>
      <c r="D23" s="1173" t="s">
        <v>671</v>
      </c>
      <c r="E23" s="1174">
        <v>80111600</v>
      </c>
      <c r="F23" s="1175" t="s">
        <v>719</v>
      </c>
      <c r="G23" s="1231">
        <v>44562</v>
      </c>
      <c r="H23" s="1231">
        <v>44592</v>
      </c>
      <c r="I23" s="1176">
        <v>11</v>
      </c>
      <c r="J23" s="1176" t="s">
        <v>673</v>
      </c>
      <c r="K23" s="1177" t="s">
        <v>674</v>
      </c>
      <c r="L23" s="1178" t="s">
        <v>675</v>
      </c>
      <c r="M23" s="1179">
        <f>33000000-15600000-532640</f>
        <v>16867360</v>
      </c>
      <c r="N23" s="1189" t="s">
        <v>676</v>
      </c>
      <c r="O23" s="1174" t="s">
        <v>677</v>
      </c>
      <c r="P23" s="1159" t="s">
        <v>678</v>
      </c>
      <c r="R23" s="1269">
        <v>16800000</v>
      </c>
      <c r="S23" s="1357">
        <v>16800000</v>
      </c>
      <c r="T23" s="1357">
        <f>+Tabla16[[#This Row],[CDPS A 31 JULIO 2022]]-Tabla16[[#This Row],[CDP]]</f>
        <v>0</v>
      </c>
      <c r="U23" s="1357">
        <v>16800000</v>
      </c>
      <c r="V23" s="1357">
        <v>11666667</v>
      </c>
      <c r="W23" s="1357"/>
      <c r="AM23" s="1207" t="s">
        <v>720</v>
      </c>
    </row>
    <row r="24" spans="1:39" s="1207" customFormat="1" ht="105" x14ac:dyDescent="0.25">
      <c r="A24" s="1355">
        <v>2022018</v>
      </c>
      <c r="B24" s="1172">
        <v>7637</v>
      </c>
      <c r="C24" s="1356" t="s">
        <v>643</v>
      </c>
      <c r="D24" s="1173" t="s">
        <v>671</v>
      </c>
      <c r="E24" s="1174">
        <v>80111600</v>
      </c>
      <c r="F24" s="1175" t="s">
        <v>721</v>
      </c>
      <c r="G24" s="1231">
        <v>44562</v>
      </c>
      <c r="H24" s="1231">
        <v>44592</v>
      </c>
      <c r="I24" s="1176">
        <v>11</v>
      </c>
      <c r="J24" s="1176" t="s">
        <v>673</v>
      </c>
      <c r="K24" s="1177" t="s">
        <v>674</v>
      </c>
      <c r="L24" s="1178" t="s">
        <v>675</v>
      </c>
      <c r="M24" s="1179">
        <f>29500000-9000000</f>
        <v>20500000</v>
      </c>
      <c r="N24" s="1189" t="s">
        <v>676</v>
      </c>
      <c r="O24" s="1174" t="s">
        <v>677</v>
      </c>
      <c r="P24" s="1159" t="s">
        <v>678</v>
      </c>
      <c r="R24" s="1269">
        <v>24000000</v>
      </c>
      <c r="S24" s="1357">
        <v>24000000</v>
      </c>
      <c r="T24" s="1357">
        <f>+Tabla16[[#This Row],[CDPS A 31 JULIO 2022]]-Tabla16[[#This Row],[CDP]]</f>
        <v>0</v>
      </c>
      <c r="U24" s="1357">
        <v>24000000</v>
      </c>
      <c r="V24" s="1357">
        <v>12000000</v>
      </c>
      <c r="W24" s="1357"/>
      <c r="AK24" s="1207" t="s">
        <v>722</v>
      </c>
    </row>
    <row r="25" spans="1:39" s="1207" customFormat="1" ht="105" x14ac:dyDescent="0.25">
      <c r="A25" s="1355">
        <v>2022019</v>
      </c>
      <c r="B25" s="1172">
        <v>7637</v>
      </c>
      <c r="C25" s="1356" t="s">
        <v>643</v>
      </c>
      <c r="D25" s="1173" t="s">
        <v>671</v>
      </c>
      <c r="E25" s="1174">
        <v>80111600</v>
      </c>
      <c r="F25" s="1175" t="s">
        <v>723</v>
      </c>
      <c r="G25" s="1231">
        <v>44562</v>
      </c>
      <c r="H25" s="1231">
        <v>44592</v>
      </c>
      <c r="I25" s="1176">
        <v>11</v>
      </c>
      <c r="J25" s="1176" t="s">
        <v>673</v>
      </c>
      <c r="K25" s="1177" t="s">
        <v>674</v>
      </c>
      <c r="L25" s="1178" t="s">
        <v>675</v>
      </c>
      <c r="M25" s="1179">
        <f>68200000-16450000-10350000</f>
        <v>41400000</v>
      </c>
      <c r="N25" s="1189" t="s">
        <v>676</v>
      </c>
      <c r="O25" s="1174" t="s">
        <v>677</v>
      </c>
      <c r="P25" s="1159" t="s">
        <v>678</v>
      </c>
      <c r="R25" s="1269">
        <v>41400000</v>
      </c>
      <c r="S25" s="1357">
        <v>41400000</v>
      </c>
      <c r="T25" s="1357">
        <f>+Tabla16[[#This Row],[CDPS A 31 JULIO 2022]]-Tabla16[[#This Row],[CDP]]</f>
        <v>0</v>
      </c>
      <c r="U25" s="1357">
        <v>41400000</v>
      </c>
      <c r="V25" s="1357">
        <v>17250000</v>
      </c>
      <c r="W25" s="1357"/>
      <c r="AK25" s="1207" t="s">
        <v>724</v>
      </c>
    </row>
    <row r="26" spans="1:39" s="1207" customFormat="1" ht="105" x14ac:dyDescent="0.25">
      <c r="A26" s="1355">
        <v>2022020</v>
      </c>
      <c r="B26" s="1172">
        <v>7637</v>
      </c>
      <c r="C26" s="1356" t="s">
        <v>643</v>
      </c>
      <c r="D26" s="1173" t="s">
        <v>671</v>
      </c>
      <c r="E26" s="1174">
        <v>80111600</v>
      </c>
      <c r="F26" s="1175" t="s">
        <v>725</v>
      </c>
      <c r="G26" s="1231">
        <v>44562</v>
      </c>
      <c r="H26" s="1231">
        <v>44592</v>
      </c>
      <c r="I26" s="1176">
        <v>11</v>
      </c>
      <c r="J26" s="1176" t="s">
        <v>673</v>
      </c>
      <c r="K26" s="1177" t="s">
        <v>674</v>
      </c>
      <c r="L26" s="1178" t="s">
        <v>675</v>
      </c>
      <c r="M26" s="1179">
        <f>49500000-13500000</f>
        <v>36000000</v>
      </c>
      <c r="N26" s="1189" t="s">
        <v>676</v>
      </c>
      <c r="O26" s="1174" t="s">
        <v>677</v>
      </c>
      <c r="P26" s="1159" t="s">
        <v>678</v>
      </c>
      <c r="R26" s="1269">
        <v>36000000</v>
      </c>
      <c r="S26" s="1357">
        <v>36000000</v>
      </c>
      <c r="T26" s="1357">
        <f>+Tabla16[[#This Row],[CDPS A 31 JULIO 2022]]-Tabla16[[#This Row],[CDP]]</f>
        <v>0</v>
      </c>
      <c r="U26" s="1357">
        <v>36000000</v>
      </c>
      <c r="V26" s="1357">
        <v>18900000</v>
      </c>
      <c r="W26" s="1357"/>
      <c r="AK26" s="1207" t="s">
        <v>726</v>
      </c>
    </row>
    <row r="27" spans="1:39" s="1207" customFormat="1" ht="105" x14ac:dyDescent="0.25">
      <c r="A27" s="1355">
        <v>2022022</v>
      </c>
      <c r="B27" s="1172">
        <v>7637</v>
      </c>
      <c r="C27" s="1356" t="s">
        <v>643</v>
      </c>
      <c r="D27" s="1173" t="s">
        <v>671</v>
      </c>
      <c r="E27" s="1176" t="s">
        <v>727</v>
      </c>
      <c r="F27" s="1175" t="s">
        <v>728</v>
      </c>
      <c r="G27" s="1231">
        <v>44621</v>
      </c>
      <c r="H27" s="1231">
        <v>44681</v>
      </c>
      <c r="I27" s="1176">
        <v>1</v>
      </c>
      <c r="J27" s="1176" t="s">
        <v>720</v>
      </c>
      <c r="K27" s="1177" t="s">
        <v>674</v>
      </c>
      <c r="L27" s="1178" t="s">
        <v>729</v>
      </c>
      <c r="M27" s="1179">
        <f>600000000-13361620-945888-1281233-5000000-12095659</f>
        <v>567315600</v>
      </c>
      <c r="N27" s="1189" t="s">
        <v>676</v>
      </c>
      <c r="O27" s="1174" t="s">
        <v>677</v>
      </c>
      <c r="P27" s="1163" t="s">
        <v>678</v>
      </c>
      <c r="R27" s="1269">
        <v>567315600</v>
      </c>
      <c r="S27" s="1357">
        <v>567315600</v>
      </c>
      <c r="T27" s="1357">
        <f>+Tabla16[[#This Row],[CDPS A 31 JULIO 2022]]-Tabla16[[#This Row],[CDP]]</f>
        <v>0</v>
      </c>
      <c r="U27" s="1357">
        <v>567315600</v>
      </c>
      <c r="V27" s="1357"/>
      <c r="W27" s="1357"/>
      <c r="AK27" s="1207" t="s">
        <v>730</v>
      </c>
    </row>
    <row r="28" spans="1:39" s="1207" customFormat="1" ht="105" x14ac:dyDescent="0.25">
      <c r="A28" s="1355">
        <v>2022023</v>
      </c>
      <c r="B28" s="1172">
        <v>7637</v>
      </c>
      <c r="C28" s="1356" t="s">
        <v>643</v>
      </c>
      <c r="D28" s="1173" t="s">
        <v>671</v>
      </c>
      <c r="E28" s="1176">
        <v>81112401</v>
      </c>
      <c r="F28" s="1175" t="s">
        <v>731</v>
      </c>
      <c r="G28" s="1231">
        <v>44714</v>
      </c>
      <c r="H28" s="1231">
        <v>44746</v>
      </c>
      <c r="I28" s="1176">
        <v>10</v>
      </c>
      <c r="J28" s="1176" t="s">
        <v>720</v>
      </c>
      <c r="K28" s="1177" t="s">
        <v>674</v>
      </c>
      <c r="L28" s="1178" t="s">
        <v>729</v>
      </c>
      <c r="M28" s="1179">
        <f>195700000-26723240-1891777-118550434</f>
        <v>48534549</v>
      </c>
      <c r="N28" s="1189" t="s">
        <v>676</v>
      </c>
      <c r="O28" s="1174" t="s">
        <v>677</v>
      </c>
      <c r="P28" s="1207" t="s">
        <v>678</v>
      </c>
      <c r="R28" s="1269">
        <v>167084983</v>
      </c>
      <c r="S28" s="1357">
        <v>167084983</v>
      </c>
      <c r="T28" s="1357">
        <f>+Tabla16[[#This Row],[CDPS A 31 JULIO 2022]]-Tabla16[[#This Row],[CDP]]</f>
        <v>0</v>
      </c>
      <c r="U28" s="1357"/>
      <c r="V28" s="1357"/>
      <c r="W28" s="1357"/>
      <c r="AK28" s="1207" t="s">
        <v>732</v>
      </c>
    </row>
    <row r="29" spans="1:39" s="1207" customFormat="1" ht="105" x14ac:dyDescent="0.25">
      <c r="A29" s="1355">
        <v>2022024</v>
      </c>
      <c r="B29" s="1172">
        <v>7637</v>
      </c>
      <c r="C29" s="1356" t="s">
        <v>643</v>
      </c>
      <c r="D29" s="1173" t="s">
        <v>671</v>
      </c>
      <c r="E29" s="1176" t="s">
        <v>733</v>
      </c>
      <c r="F29" s="1175" t="s">
        <v>734</v>
      </c>
      <c r="G29" s="1231">
        <v>44713</v>
      </c>
      <c r="H29" s="1231">
        <v>44737</v>
      </c>
      <c r="I29" s="1176">
        <v>6</v>
      </c>
      <c r="J29" s="1176" t="s">
        <v>696</v>
      </c>
      <c r="K29" s="1177" t="s">
        <v>674</v>
      </c>
      <c r="L29" s="1178" t="s">
        <v>735</v>
      </c>
      <c r="M29" s="1179">
        <v>114000000</v>
      </c>
      <c r="N29" s="1189" t="s">
        <v>676</v>
      </c>
      <c r="O29" s="1174" t="s">
        <v>677</v>
      </c>
      <c r="P29" s="1207" t="s">
        <v>678</v>
      </c>
      <c r="Q29" s="1163"/>
      <c r="R29" s="1269">
        <v>114000000</v>
      </c>
      <c r="S29" s="1357">
        <v>114000000</v>
      </c>
      <c r="T29" s="1357">
        <f>+Tabla16[[#This Row],[CDPS A 31 JULIO 2022]]-Tabla16[[#This Row],[CDP]]</f>
        <v>0</v>
      </c>
      <c r="U29" s="1357"/>
      <c r="V29" s="1357"/>
      <c r="W29" s="1357"/>
      <c r="AK29" s="1207" t="s">
        <v>736</v>
      </c>
    </row>
    <row r="30" spans="1:39" s="1207" customFormat="1" ht="105" x14ac:dyDescent="0.25">
      <c r="A30" s="1400">
        <v>2022025</v>
      </c>
      <c r="B30" s="1401">
        <v>7637</v>
      </c>
      <c r="C30" s="1402" t="s">
        <v>643</v>
      </c>
      <c r="D30" s="1421" t="s">
        <v>671</v>
      </c>
      <c r="E30" s="1407">
        <v>81112217</v>
      </c>
      <c r="F30" s="1422" t="s">
        <v>737</v>
      </c>
      <c r="G30" s="1423">
        <v>44713</v>
      </c>
      <c r="H30" s="1423">
        <v>44773</v>
      </c>
      <c r="I30" s="1407">
        <v>12</v>
      </c>
      <c r="J30" s="1407" t="s">
        <v>720</v>
      </c>
      <c r="K30" s="1408" t="s">
        <v>674</v>
      </c>
      <c r="L30" s="1409" t="s">
        <v>735</v>
      </c>
      <c r="M30" s="1410">
        <f>50000000+18000000-15000000-24300000-5430000</f>
        <v>23270000</v>
      </c>
      <c r="N30" s="1411" t="s">
        <v>685</v>
      </c>
      <c r="O30" s="1404" t="s">
        <v>677</v>
      </c>
      <c r="P30" s="1412" t="s">
        <v>678</v>
      </c>
      <c r="Q30" s="1163"/>
      <c r="R30" s="1269">
        <v>50000000</v>
      </c>
      <c r="S30" s="1357"/>
      <c r="T30" s="1357">
        <f>+Tabla16[[#This Row],[CDPS A 31 JULIO 2022]]-Tabla16[[#This Row],[CDP]]</f>
        <v>50000000</v>
      </c>
      <c r="U30" s="1357"/>
      <c r="V30" s="1357"/>
      <c r="W30" s="1357"/>
      <c r="AK30" s="1207" t="s">
        <v>738</v>
      </c>
    </row>
    <row r="31" spans="1:39" s="1207" customFormat="1" ht="105" x14ac:dyDescent="0.25">
      <c r="A31" s="1355">
        <v>2022026</v>
      </c>
      <c r="B31" s="1172">
        <v>7637</v>
      </c>
      <c r="C31" s="1356" t="s">
        <v>643</v>
      </c>
      <c r="D31" s="1173" t="s">
        <v>671</v>
      </c>
      <c r="E31" s="1176" t="s">
        <v>739</v>
      </c>
      <c r="F31" s="1175" t="s">
        <v>740</v>
      </c>
      <c r="G31" s="1231">
        <v>44713</v>
      </c>
      <c r="H31" s="1231">
        <v>44773</v>
      </c>
      <c r="I31" s="1176">
        <v>12</v>
      </c>
      <c r="J31" s="1176" t="s">
        <v>720</v>
      </c>
      <c r="K31" s="1177" t="s">
        <v>674</v>
      </c>
      <c r="L31" s="1178" t="s">
        <v>735</v>
      </c>
      <c r="M31" s="1179">
        <f>150000000-7332250</f>
        <v>142667750</v>
      </c>
      <c r="N31" s="1189" t="s">
        <v>676</v>
      </c>
      <c r="O31" s="1174" t="s">
        <v>677</v>
      </c>
      <c r="P31" s="1207" t="s">
        <v>678</v>
      </c>
      <c r="Q31" s="1163"/>
      <c r="R31" s="1269">
        <v>142667750</v>
      </c>
      <c r="S31" s="1357">
        <v>142667750</v>
      </c>
      <c r="T31" s="1357">
        <f>+Tabla16[[#This Row],[CDPS A 31 JULIO 2022]]-Tabla16[[#This Row],[CDP]]</f>
        <v>0</v>
      </c>
      <c r="U31" s="1357">
        <v>142667750</v>
      </c>
      <c r="V31" s="1357"/>
      <c r="W31" s="1357"/>
      <c r="AK31" s="1207" t="s">
        <v>741</v>
      </c>
    </row>
    <row r="32" spans="1:39" s="1207" customFormat="1" ht="105" x14ac:dyDescent="0.25">
      <c r="A32" s="1355">
        <v>2022027</v>
      </c>
      <c r="B32" s="1172">
        <v>7637</v>
      </c>
      <c r="C32" s="1356" t="s">
        <v>643</v>
      </c>
      <c r="D32" s="1173" t="s">
        <v>671</v>
      </c>
      <c r="E32" s="1176">
        <v>81161712</v>
      </c>
      <c r="F32" s="1175" t="s">
        <v>742</v>
      </c>
      <c r="G32" s="1231">
        <v>44682</v>
      </c>
      <c r="H32" s="1231">
        <v>44742</v>
      </c>
      <c r="I32" s="1176">
        <v>1</v>
      </c>
      <c r="J32" s="1176" t="s">
        <v>699</v>
      </c>
      <c r="K32" s="1177" t="s">
        <v>674</v>
      </c>
      <c r="L32" s="1178" t="s">
        <v>743</v>
      </c>
      <c r="M32" s="1179">
        <v>10000000</v>
      </c>
      <c r="N32" s="1189" t="s">
        <v>676</v>
      </c>
      <c r="O32" s="1174" t="s">
        <v>677</v>
      </c>
      <c r="P32" s="1207" t="s">
        <v>678</v>
      </c>
      <c r="Q32" s="1163"/>
      <c r="R32" s="1269">
        <v>0</v>
      </c>
      <c r="S32" s="1357"/>
      <c r="T32" s="1357">
        <f>+Tabla16[[#This Row],[CDPS A 31 JULIO 2022]]-Tabla16[[#This Row],[CDP]]</f>
        <v>0</v>
      </c>
      <c r="U32" s="1357"/>
      <c r="V32" s="1357"/>
      <c r="W32" s="1357"/>
      <c r="AK32" s="1207" t="s">
        <v>744</v>
      </c>
    </row>
    <row r="33" spans="1:84" ht="105" x14ac:dyDescent="0.25">
      <c r="A33" s="1355">
        <v>2022028</v>
      </c>
      <c r="B33" s="1172">
        <v>7637</v>
      </c>
      <c r="C33" s="1356" t="s">
        <v>643</v>
      </c>
      <c r="D33" s="1173" t="s">
        <v>671</v>
      </c>
      <c r="E33" s="1176" t="s">
        <v>745</v>
      </c>
      <c r="F33" s="1175" t="s">
        <v>746</v>
      </c>
      <c r="G33" s="1231">
        <v>44621</v>
      </c>
      <c r="H33" s="1231">
        <v>44651</v>
      </c>
      <c r="I33" s="1176">
        <v>5</v>
      </c>
      <c r="J33" s="1268" t="s">
        <v>97</v>
      </c>
      <c r="K33" s="1177" t="s">
        <v>674</v>
      </c>
      <c r="L33" s="1178" t="s">
        <v>747</v>
      </c>
      <c r="M33" s="1179">
        <f>81000000-1433712-31595960</f>
        <v>47970328</v>
      </c>
      <c r="N33" s="1189" t="s">
        <v>676</v>
      </c>
      <c r="O33" s="1174" t="s">
        <v>677</v>
      </c>
      <c r="P33" s="1163" t="s">
        <v>748</v>
      </c>
      <c r="Q33" s="1163"/>
      <c r="R33" s="1269">
        <v>47970328</v>
      </c>
      <c r="S33" s="1357">
        <v>47970328</v>
      </c>
      <c r="T33" s="1357">
        <f>+Tabla16[[#This Row],[CDPS A 31 JULIO 2022]]-Tabla16[[#This Row],[CDP]]</f>
        <v>0</v>
      </c>
      <c r="U33" s="1357">
        <v>47970328</v>
      </c>
      <c r="V33" s="1357">
        <v>9708972</v>
      </c>
      <c r="W33" s="1357"/>
      <c r="X33" s="1207"/>
      <c r="Y33" s="1207"/>
      <c r="Z33" s="1207"/>
      <c r="AA33" s="1207"/>
      <c r="AB33" s="1207"/>
      <c r="AC33" s="1207"/>
      <c r="AD33" s="1207"/>
      <c r="AE33" s="1207"/>
      <c r="AF33" s="1207"/>
      <c r="AG33" s="1207"/>
      <c r="AH33" s="1207"/>
      <c r="AI33" s="1207"/>
      <c r="AJ33" s="1207"/>
      <c r="AK33" s="1207" t="s">
        <v>749</v>
      </c>
      <c r="AL33" s="1207"/>
      <c r="AM33" s="1207"/>
      <c r="AN33" s="1207"/>
      <c r="AO33" s="1207"/>
      <c r="AP33" s="1207"/>
      <c r="AQ33" s="1207"/>
      <c r="AR33" s="1207"/>
      <c r="AS33" s="1207"/>
      <c r="AT33" s="1207"/>
      <c r="AU33" s="1207"/>
      <c r="AV33" s="1207"/>
      <c r="AW33" s="1207"/>
      <c r="AX33" s="1207"/>
      <c r="AY33" s="1207"/>
      <c r="AZ33" s="1207"/>
      <c r="BA33" s="1207"/>
      <c r="BB33" s="1207"/>
      <c r="BC33" s="1207"/>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07"/>
      <c r="CE33" s="1207"/>
      <c r="CF33" s="1207"/>
    </row>
    <row r="34" spans="1:84" ht="105" x14ac:dyDescent="0.25">
      <c r="A34" s="1355">
        <v>2022029</v>
      </c>
      <c r="B34" s="1172">
        <v>7637</v>
      </c>
      <c r="C34" s="1356" t="s">
        <v>643</v>
      </c>
      <c r="D34" s="1173" t="s">
        <v>671</v>
      </c>
      <c r="E34" s="1176" t="s">
        <v>750</v>
      </c>
      <c r="F34" s="1175" t="s">
        <v>751</v>
      </c>
      <c r="G34" s="1231">
        <v>44743</v>
      </c>
      <c r="H34" s="1231">
        <v>44834</v>
      </c>
      <c r="I34" s="1176">
        <v>4</v>
      </c>
      <c r="J34" s="1268" t="s">
        <v>683</v>
      </c>
      <c r="K34" s="1177" t="s">
        <v>674</v>
      </c>
      <c r="L34" s="1178" t="s">
        <v>747</v>
      </c>
      <c r="M34" s="1179">
        <f>80000000+31595960+43032640</f>
        <v>154628600</v>
      </c>
      <c r="N34" s="1189" t="s">
        <v>676</v>
      </c>
      <c r="O34" s="1174" t="s">
        <v>677</v>
      </c>
      <c r="P34" s="1163" t="s">
        <v>678</v>
      </c>
      <c r="Q34" s="1163"/>
      <c r="R34" s="1269">
        <v>154628600</v>
      </c>
      <c r="S34" s="1357"/>
      <c r="T34" s="1357">
        <f>+Tabla16[[#This Row],[CDPS A 31 JULIO 2022]]-Tabla16[[#This Row],[CDP]]</f>
        <v>154628600</v>
      </c>
      <c r="U34" s="1357"/>
      <c r="V34" s="1357"/>
      <c r="W34" s="1357"/>
      <c r="X34" s="1207"/>
      <c r="Y34" s="1207"/>
      <c r="Z34" s="1207"/>
      <c r="AA34" s="1207"/>
      <c r="AB34" s="1207"/>
      <c r="AC34" s="1207"/>
      <c r="AD34" s="1207"/>
      <c r="AE34" s="1207"/>
      <c r="AF34" s="1207"/>
      <c r="AG34" s="1207"/>
      <c r="AH34" s="1207"/>
      <c r="AI34" s="1207"/>
      <c r="AJ34" s="1207"/>
      <c r="AK34" s="1207" t="s">
        <v>752</v>
      </c>
      <c r="AL34" s="1207"/>
      <c r="AM34" s="1207"/>
      <c r="AN34" s="1207"/>
      <c r="AO34" s="1207"/>
      <c r="AP34" s="1207"/>
      <c r="AQ34" s="1207"/>
      <c r="AR34" s="1207"/>
      <c r="AS34" s="1207"/>
      <c r="AT34" s="1207"/>
      <c r="AU34" s="1207"/>
      <c r="AV34" s="1207"/>
      <c r="AW34" s="1207"/>
      <c r="AX34" s="1207"/>
      <c r="AY34" s="1207"/>
      <c r="AZ34" s="1207"/>
      <c r="BA34" s="1207"/>
      <c r="BB34" s="1207"/>
      <c r="BC34" s="1207"/>
      <c r="BD34" s="1207"/>
      <c r="BE34" s="1207"/>
      <c r="BF34" s="1207"/>
      <c r="BG34" s="1207"/>
      <c r="BH34" s="1207"/>
      <c r="BI34" s="1207"/>
      <c r="BJ34" s="1207"/>
      <c r="BK34" s="1207"/>
      <c r="BL34" s="1207"/>
      <c r="BM34" s="1207"/>
      <c r="BN34" s="1207"/>
      <c r="BO34" s="1207"/>
      <c r="BP34" s="1207"/>
      <c r="BQ34" s="1207"/>
      <c r="BR34" s="1207"/>
      <c r="BS34" s="1207"/>
      <c r="BT34" s="1207"/>
      <c r="BU34" s="1207"/>
      <c r="BV34" s="1207"/>
      <c r="BW34" s="1207"/>
      <c r="BX34" s="1207"/>
      <c r="BY34" s="1207"/>
      <c r="BZ34" s="1207"/>
      <c r="CA34" s="1207"/>
      <c r="CB34" s="1207"/>
      <c r="CC34" s="1207"/>
      <c r="CD34" s="1207"/>
      <c r="CE34" s="1207"/>
      <c r="CF34" s="1207"/>
    </row>
    <row r="35" spans="1:84" ht="105" x14ac:dyDescent="0.25">
      <c r="A35" s="1355">
        <v>2022031</v>
      </c>
      <c r="B35" s="1172">
        <v>7637</v>
      </c>
      <c r="C35" s="1356" t="s">
        <v>643</v>
      </c>
      <c r="D35" s="1173" t="s">
        <v>671</v>
      </c>
      <c r="E35" s="1176" t="s">
        <v>753</v>
      </c>
      <c r="F35" s="1175" t="s">
        <v>754</v>
      </c>
      <c r="G35" s="1377">
        <v>44669</v>
      </c>
      <c r="H35" s="1377">
        <v>44699</v>
      </c>
      <c r="I35" s="1176">
        <v>2</v>
      </c>
      <c r="J35" s="1176" t="s">
        <v>696</v>
      </c>
      <c r="K35" s="1177" t="s">
        <v>674</v>
      </c>
      <c r="L35" s="1178" t="s">
        <v>735</v>
      </c>
      <c r="M35" s="1179">
        <f>72100000+60000000+43900000</f>
        <v>176000000</v>
      </c>
      <c r="N35" s="1382" t="s">
        <v>704</v>
      </c>
      <c r="O35" s="1174" t="s">
        <v>677</v>
      </c>
      <c r="P35" s="1207" t="s">
        <v>678</v>
      </c>
      <c r="Q35" s="1163"/>
      <c r="R35" s="1269">
        <v>176000000</v>
      </c>
      <c r="S35" s="1357">
        <v>176000000</v>
      </c>
      <c r="T35" s="1357">
        <f>+Tabla16[[#This Row],[CDPS A 31 JULIO 2022]]-Tabla16[[#This Row],[CDP]]</f>
        <v>0</v>
      </c>
      <c r="U35" s="1357"/>
      <c r="V35" s="1357"/>
      <c r="W35" s="1357"/>
      <c r="X35" s="1207"/>
      <c r="Y35" s="1207"/>
      <c r="Z35" s="1207"/>
      <c r="AA35" s="1207"/>
      <c r="AB35" s="1207"/>
      <c r="AC35" s="1207"/>
      <c r="AD35" s="1207"/>
      <c r="AE35" s="1207"/>
      <c r="AF35" s="1207"/>
      <c r="AG35" s="1207"/>
      <c r="AH35" s="1207"/>
      <c r="AI35" s="1207"/>
      <c r="AJ35" s="1207"/>
      <c r="AK35" s="1207" t="s">
        <v>732</v>
      </c>
      <c r="AL35" s="1207"/>
      <c r="AM35" s="1207"/>
      <c r="AN35" s="1207"/>
      <c r="AO35" s="1207"/>
      <c r="AP35" s="1207"/>
      <c r="AQ35" s="1207"/>
      <c r="AR35" s="1207"/>
      <c r="AS35" s="1207"/>
      <c r="AT35" s="1207"/>
      <c r="AU35" s="1207"/>
      <c r="AV35" s="1207"/>
      <c r="AW35" s="1207"/>
      <c r="AX35" s="1207"/>
      <c r="AY35" s="1207"/>
      <c r="AZ35" s="1207"/>
      <c r="BA35" s="1207"/>
      <c r="BB35" s="1207"/>
      <c r="BC35" s="1207"/>
      <c r="BD35" s="1207"/>
      <c r="BE35" s="1207"/>
      <c r="BF35" s="1207"/>
      <c r="BG35" s="1207"/>
      <c r="BH35" s="1207"/>
      <c r="BI35" s="1207"/>
      <c r="BJ35" s="1207"/>
      <c r="BK35" s="1207"/>
      <c r="BL35" s="1207"/>
      <c r="BM35" s="1207"/>
      <c r="BN35" s="1207"/>
      <c r="BO35" s="1207"/>
      <c r="BP35" s="1207"/>
      <c r="BQ35" s="1207"/>
      <c r="BR35" s="1207"/>
      <c r="BS35" s="1207"/>
      <c r="BT35" s="1207"/>
      <c r="BU35" s="1207"/>
      <c r="BV35" s="1207"/>
      <c r="BW35" s="1207"/>
      <c r="BX35" s="1207"/>
      <c r="BY35" s="1207"/>
      <c r="BZ35" s="1207"/>
      <c r="CA35" s="1207"/>
      <c r="CB35" s="1207"/>
      <c r="CC35" s="1207"/>
      <c r="CD35" s="1207"/>
      <c r="CE35" s="1207"/>
      <c r="CF35" s="1207"/>
    </row>
    <row r="36" spans="1:84" ht="105" x14ac:dyDescent="0.25">
      <c r="A36" s="1355">
        <v>2022033</v>
      </c>
      <c r="B36" s="1172">
        <v>7637</v>
      </c>
      <c r="C36" s="1356" t="s">
        <v>643</v>
      </c>
      <c r="D36" s="1173" t="s">
        <v>671</v>
      </c>
      <c r="E36" s="1176" t="s">
        <v>755</v>
      </c>
      <c r="F36" s="1175" t="s">
        <v>756</v>
      </c>
      <c r="G36" s="1231">
        <v>44713</v>
      </c>
      <c r="H36" s="1231">
        <v>44773</v>
      </c>
      <c r="I36" s="1176">
        <v>3</v>
      </c>
      <c r="J36" s="1176" t="s">
        <v>683</v>
      </c>
      <c r="K36" s="1177" t="s">
        <v>674</v>
      </c>
      <c r="L36" s="1178" t="s">
        <v>735</v>
      </c>
      <c r="M36" s="1179">
        <v>50000000</v>
      </c>
      <c r="N36" s="1189" t="s">
        <v>676</v>
      </c>
      <c r="O36" s="1174" t="s">
        <v>677</v>
      </c>
      <c r="P36" s="1207" t="s">
        <v>757</v>
      </c>
      <c r="Q36" s="1163"/>
      <c r="R36" s="1269">
        <v>50000000</v>
      </c>
      <c r="S36" s="1357">
        <v>50000000</v>
      </c>
      <c r="T36" s="1357">
        <f>+Tabla16[[#This Row],[CDPS A 31 JULIO 2022]]-Tabla16[[#This Row],[CDP]]</f>
        <v>0</v>
      </c>
      <c r="U36" s="1357"/>
      <c r="V36" s="1357"/>
      <c r="W36" s="1357"/>
      <c r="X36" s="1207"/>
      <c r="Y36" s="1207"/>
      <c r="Z36" s="1207"/>
      <c r="AA36" s="1207"/>
      <c r="AB36" s="1207"/>
      <c r="AC36" s="1207"/>
      <c r="AD36" s="1207"/>
      <c r="AE36" s="1207"/>
      <c r="AF36" s="1207"/>
      <c r="AG36" s="1207"/>
      <c r="AH36" s="1207"/>
      <c r="AI36" s="1207"/>
      <c r="AJ36" s="1207"/>
      <c r="AK36" s="1207" t="s">
        <v>736</v>
      </c>
      <c r="AL36" s="1207"/>
      <c r="AM36" s="1207"/>
      <c r="AN36" s="1207"/>
      <c r="AO36" s="1207"/>
      <c r="AP36" s="1207"/>
      <c r="AQ36" s="1207"/>
      <c r="AR36" s="1207"/>
      <c r="AS36" s="1207"/>
      <c r="AT36" s="1207"/>
      <c r="AU36" s="1207"/>
      <c r="AV36" s="1207"/>
      <c r="AW36" s="1207"/>
      <c r="AX36" s="1207"/>
      <c r="AY36" s="1207"/>
      <c r="AZ36" s="1207"/>
      <c r="BA36" s="1207"/>
      <c r="BB36" s="1207"/>
      <c r="BC36" s="1207"/>
      <c r="BD36" s="1207"/>
      <c r="BE36" s="1207"/>
      <c r="BF36" s="1207"/>
      <c r="BG36" s="1207"/>
      <c r="BH36" s="1207"/>
      <c r="BI36" s="1207"/>
      <c r="BJ36" s="1207"/>
      <c r="BK36" s="1207"/>
      <c r="BL36" s="1207"/>
      <c r="BM36" s="1207"/>
      <c r="BN36" s="1207"/>
      <c r="BO36" s="1207"/>
      <c r="BP36" s="1207"/>
      <c r="BQ36" s="1207"/>
      <c r="BR36" s="1207"/>
      <c r="BS36" s="1207"/>
      <c r="BT36" s="1207"/>
      <c r="BU36" s="1207"/>
      <c r="BV36" s="1207"/>
      <c r="BW36" s="1207"/>
      <c r="BX36" s="1207"/>
      <c r="BY36" s="1207"/>
      <c r="BZ36" s="1207"/>
      <c r="CA36" s="1207"/>
      <c r="CB36" s="1207"/>
      <c r="CC36" s="1207"/>
      <c r="CD36" s="1207"/>
      <c r="CE36" s="1207"/>
      <c r="CF36" s="1207"/>
    </row>
    <row r="37" spans="1:84" ht="105" x14ac:dyDescent="0.25">
      <c r="A37" s="1355">
        <v>2022034</v>
      </c>
      <c r="B37" s="1172">
        <v>7637</v>
      </c>
      <c r="C37" s="1356" t="s">
        <v>643</v>
      </c>
      <c r="D37" s="1173" t="s">
        <v>671</v>
      </c>
      <c r="E37" s="1176">
        <v>81112217</v>
      </c>
      <c r="F37" s="1175" t="s">
        <v>758</v>
      </c>
      <c r="G37" s="1231">
        <v>44696</v>
      </c>
      <c r="H37" s="1231">
        <v>44727</v>
      </c>
      <c r="I37" s="1176">
        <v>12</v>
      </c>
      <c r="J37" s="1176" t="s">
        <v>696</v>
      </c>
      <c r="K37" s="1177" t="s">
        <v>674</v>
      </c>
      <c r="L37" s="1178" t="s">
        <v>735</v>
      </c>
      <c r="M37" s="1179">
        <f>35077000+20000000</f>
        <v>55077000</v>
      </c>
      <c r="N37" s="1382" t="s">
        <v>704</v>
      </c>
      <c r="O37" s="1174" t="s">
        <v>677</v>
      </c>
      <c r="P37" s="1207" t="s">
        <v>678</v>
      </c>
      <c r="Q37" s="1163"/>
      <c r="R37" s="1269">
        <v>0</v>
      </c>
      <c r="S37" s="1357"/>
      <c r="T37" s="1357">
        <f>+Tabla16[[#This Row],[CDPS A 31 JULIO 2022]]-Tabla16[[#This Row],[CDP]]</f>
        <v>0</v>
      </c>
      <c r="U37" s="1357"/>
      <c r="V37" s="1357"/>
      <c r="W37" s="1357"/>
      <c r="X37" s="1207"/>
      <c r="Y37" s="1207"/>
      <c r="Z37" s="1207"/>
      <c r="AA37" s="1207"/>
      <c r="AB37" s="1207"/>
      <c r="AC37" s="1207"/>
      <c r="AD37" s="1207"/>
      <c r="AE37" s="1207"/>
      <c r="AF37" s="1207"/>
      <c r="AG37" s="1207"/>
      <c r="AH37" s="1207"/>
      <c r="AI37" s="1207"/>
      <c r="AJ37" s="1207"/>
      <c r="AK37" s="1207" t="s">
        <v>759</v>
      </c>
      <c r="AL37" s="1207"/>
      <c r="AM37" s="1207"/>
      <c r="AN37" s="1207"/>
      <c r="AO37" s="1207"/>
      <c r="AP37" s="1207"/>
      <c r="AQ37" s="1207"/>
      <c r="AR37" s="1207"/>
      <c r="AS37" s="1207"/>
      <c r="AT37" s="1207"/>
      <c r="AU37" s="1207"/>
      <c r="AV37" s="1207"/>
      <c r="AW37" s="1207"/>
      <c r="AX37" s="1207"/>
      <c r="AY37" s="1207"/>
      <c r="AZ37" s="1207"/>
      <c r="BA37" s="1207"/>
      <c r="BB37" s="1207"/>
      <c r="BC37" s="1207"/>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07"/>
      <c r="CE37" s="1207"/>
      <c r="CF37" s="1207"/>
    </row>
    <row r="38" spans="1:84" ht="105" x14ac:dyDescent="0.25">
      <c r="A38" s="1355">
        <v>2022036</v>
      </c>
      <c r="B38" s="1172">
        <v>7637</v>
      </c>
      <c r="C38" s="1356" t="s">
        <v>643</v>
      </c>
      <c r="D38" s="1173" t="s">
        <v>671</v>
      </c>
      <c r="E38" s="1176" t="s">
        <v>760</v>
      </c>
      <c r="F38" s="1178" t="s">
        <v>761</v>
      </c>
      <c r="G38" s="1231">
        <v>44562</v>
      </c>
      <c r="H38" s="1231">
        <v>44592</v>
      </c>
      <c r="I38" s="1176">
        <v>11</v>
      </c>
      <c r="J38" s="1176" t="s">
        <v>683</v>
      </c>
      <c r="K38" s="1177" t="s">
        <v>674</v>
      </c>
      <c r="L38" s="1178" t="s">
        <v>735</v>
      </c>
      <c r="M38" s="1179">
        <f>423904551-43900000-1500000-146454551</f>
        <v>232050000</v>
      </c>
      <c r="N38" s="1189" t="s">
        <v>676</v>
      </c>
      <c r="O38" s="1174" t="s">
        <v>677</v>
      </c>
      <c r="P38" s="1207" t="s">
        <v>678</v>
      </c>
      <c r="Q38" s="1163"/>
      <c r="R38" s="1269">
        <v>232050000</v>
      </c>
      <c r="S38" s="1357">
        <v>232050000</v>
      </c>
      <c r="T38" s="1357">
        <f>+Tabla16[[#This Row],[CDPS A 31 JULIO 2022]]-Tabla16[[#This Row],[CDP]]</f>
        <v>0</v>
      </c>
      <c r="U38" s="1357">
        <v>232050000</v>
      </c>
      <c r="V38" s="1357">
        <v>58012500</v>
      </c>
      <c r="W38" s="1357"/>
      <c r="X38" s="1207"/>
      <c r="Y38" s="1207"/>
      <c r="Z38" s="1207"/>
      <c r="AA38" s="1207"/>
      <c r="AB38" s="1207"/>
      <c r="AC38" s="1207"/>
      <c r="AD38" s="1207"/>
      <c r="AE38" s="1207"/>
      <c r="AF38" s="1207"/>
      <c r="AG38" s="1207"/>
      <c r="AH38" s="1207"/>
      <c r="AI38" s="1207"/>
      <c r="AJ38" s="1207"/>
      <c r="AK38" s="1207"/>
      <c r="AL38" s="1207"/>
      <c r="AM38" s="1207"/>
      <c r="AN38" s="1207"/>
      <c r="AO38" s="1207"/>
      <c r="AP38" s="1207"/>
      <c r="AQ38" s="1207"/>
      <c r="AR38" s="1207"/>
      <c r="AS38" s="1207"/>
      <c r="AT38" s="1207"/>
      <c r="AU38" s="1207"/>
      <c r="AV38" s="1207"/>
      <c r="AW38" s="1207"/>
      <c r="AX38" s="1207"/>
      <c r="AY38" s="1207"/>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7"/>
      <c r="BV38" s="1207"/>
      <c r="BW38" s="1207"/>
      <c r="BX38" s="1207"/>
      <c r="BY38" s="1207"/>
      <c r="BZ38" s="1207"/>
      <c r="CA38" s="1207"/>
      <c r="CB38" s="1207"/>
      <c r="CC38" s="1207"/>
      <c r="CD38" s="1207"/>
      <c r="CE38" s="1207"/>
      <c r="CF38" s="1207"/>
    </row>
    <row r="39" spans="1:84" ht="120" x14ac:dyDescent="0.25">
      <c r="A39" s="1355">
        <v>2022037</v>
      </c>
      <c r="B39" s="1172">
        <v>7637</v>
      </c>
      <c r="C39" s="1356" t="s">
        <v>643</v>
      </c>
      <c r="D39" s="1173" t="s">
        <v>671</v>
      </c>
      <c r="E39" s="1176" t="s">
        <v>762</v>
      </c>
      <c r="F39" s="1175" t="s">
        <v>763</v>
      </c>
      <c r="G39" s="1231">
        <v>44621</v>
      </c>
      <c r="H39" s="1231">
        <v>44712</v>
      </c>
      <c r="I39" s="1176">
        <v>12</v>
      </c>
      <c r="J39" s="1176" t="s">
        <v>687</v>
      </c>
      <c r="K39" s="1177" t="s">
        <v>674</v>
      </c>
      <c r="L39" s="1178" t="s">
        <v>729</v>
      </c>
      <c r="M39" s="1179">
        <v>104794000</v>
      </c>
      <c r="N39" s="1189" t="s">
        <v>676</v>
      </c>
      <c r="O39" s="1174" t="s">
        <v>677</v>
      </c>
      <c r="P39" s="1207" t="s">
        <v>678</v>
      </c>
      <c r="Q39" s="1163"/>
      <c r="R39" s="1269">
        <v>104794000</v>
      </c>
      <c r="S39" s="1357">
        <v>104794000</v>
      </c>
      <c r="T39" s="1357">
        <f>+Tabla16[[#This Row],[CDPS A 31 JULIO 2022]]-Tabla16[[#This Row],[CDP]]</f>
        <v>0</v>
      </c>
      <c r="U39" s="1357">
        <v>104794000</v>
      </c>
      <c r="V39" s="1357"/>
      <c r="W39" s="1357"/>
      <c r="X39" s="1207"/>
      <c r="Y39" s="1207"/>
      <c r="Z39" s="1207"/>
      <c r="AA39" s="1207"/>
      <c r="AB39" s="1207"/>
      <c r="AC39" s="1207"/>
      <c r="AD39" s="1207"/>
      <c r="AE39" s="1207"/>
      <c r="AF39" s="1207"/>
      <c r="AG39" s="1207"/>
      <c r="AH39" s="1207"/>
      <c r="AI39" s="1207"/>
      <c r="AJ39" s="1207"/>
      <c r="AK39" s="1207" t="s">
        <v>764</v>
      </c>
      <c r="AL39" s="1207" t="s">
        <v>765</v>
      </c>
      <c r="AM39" s="1207"/>
      <c r="AN39" s="1207"/>
      <c r="AO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L39" s="1207"/>
      <c r="BM39" s="1207"/>
      <c r="BN39" s="1207"/>
      <c r="BO39" s="1207"/>
      <c r="BP39" s="1207"/>
      <c r="BQ39" s="1207"/>
      <c r="BR39" s="1207"/>
      <c r="BS39" s="1207"/>
      <c r="BT39" s="1207"/>
      <c r="BU39" s="1207"/>
      <c r="BV39" s="1207"/>
      <c r="BW39" s="1207"/>
      <c r="BX39" s="1207"/>
      <c r="BY39" s="1207"/>
      <c r="BZ39" s="1207"/>
      <c r="CA39" s="1207"/>
      <c r="CB39" s="1207"/>
      <c r="CC39" s="1207"/>
      <c r="CD39" s="1207"/>
      <c r="CE39" s="1207"/>
      <c r="CF39" s="1207"/>
    </row>
    <row r="40" spans="1:84" ht="105" x14ac:dyDescent="0.25">
      <c r="A40" s="1355">
        <v>2022038</v>
      </c>
      <c r="B40" s="1172">
        <v>7637</v>
      </c>
      <c r="C40" s="1356" t="s">
        <v>643</v>
      </c>
      <c r="D40" s="1173" t="s">
        <v>671</v>
      </c>
      <c r="E40" s="1174">
        <v>43221500</v>
      </c>
      <c r="F40" s="1175" t="s">
        <v>766</v>
      </c>
      <c r="G40" s="1231">
        <v>44713</v>
      </c>
      <c r="H40" s="1231">
        <v>44742</v>
      </c>
      <c r="I40" s="1176">
        <v>6</v>
      </c>
      <c r="J40" s="1176" t="s">
        <v>699</v>
      </c>
      <c r="K40" s="1177" t="s">
        <v>674</v>
      </c>
      <c r="L40" s="1178" t="s">
        <v>735</v>
      </c>
      <c r="M40" s="1179">
        <v>38500000</v>
      </c>
      <c r="N40" s="1189" t="s">
        <v>676</v>
      </c>
      <c r="O40" s="1174" t="s">
        <v>677</v>
      </c>
      <c r="P40" s="1207" t="s">
        <v>678</v>
      </c>
      <c r="Q40" s="1163"/>
      <c r="R40" s="1269">
        <v>38500000</v>
      </c>
      <c r="S40" s="1357">
        <v>34500000</v>
      </c>
      <c r="T40" s="1357">
        <f>+Tabla16[[#This Row],[CDPS A 31 JULIO 2022]]-Tabla16[[#This Row],[CDP]]</f>
        <v>4000000</v>
      </c>
      <c r="U40" s="1357"/>
      <c r="V40" s="1357"/>
      <c r="W40" s="1357"/>
      <c r="X40" s="1207"/>
      <c r="Y40" s="1207"/>
      <c r="Z40" s="1207"/>
      <c r="AA40" s="1207"/>
      <c r="AB40" s="1207"/>
      <c r="AC40" s="1207"/>
      <c r="AD40" s="1207"/>
      <c r="AE40" s="1207"/>
      <c r="AF40" s="1207"/>
      <c r="AG40" s="1207"/>
      <c r="AH40" s="1207"/>
      <c r="AI40" s="1207"/>
      <c r="AJ40" s="1207"/>
      <c r="AK40" s="1207" t="s">
        <v>767</v>
      </c>
      <c r="AL40" s="1207" t="s">
        <v>768</v>
      </c>
      <c r="AM40" s="1207"/>
      <c r="AN40" s="1207"/>
      <c r="AO40" s="1207"/>
      <c r="AP40" s="1207"/>
      <c r="AQ40" s="1207"/>
      <c r="AR40" s="1207"/>
      <c r="AS40" s="1207"/>
      <c r="AT40" s="1207"/>
      <c r="AU40" s="1207"/>
      <c r="AV40" s="1207"/>
      <c r="AW40" s="1207"/>
      <c r="AX40" s="1207"/>
      <c r="AY40" s="1207"/>
      <c r="AZ40" s="1207"/>
      <c r="BA40" s="1207"/>
      <c r="BB40" s="1207"/>
      <c r="BC40" s="1207"/>
      <c r="BD40" s="1207"/>
      <c r="BE40" s="1207"/>
      <c r="BF40" s="1207"/>
      <c r="BG40" s="1207"/>
      <c r="BH40" s="1207"/>
      <c r="BI40" s="1207"/>
      <c r="BJ40" s="1207"/>
      <c r="BK40" s="1207"/>
      <c r="BL40" s="1207"/>
      <c r="BM40" s="1207"/>
      <c r="BN40" s="1207"/>
      <c r="BO40" s="1207"/>
      <c r="BP40" s="1207"/>
      <c r="BQ40" s="1207"/>
      <c r="BR40" s="1207"/>
      <c r="BS40" s="1207"/>
      <c r="BT40" s="1207"/>
      <c r="BU40" s="1207"/>
      <c r="BV40" s="1207"/>
      <c r="BW40" s="1207"/>
      <c r="BX40" s="1207"/>
      <c r="BY40" s="1207"/>
      <c r="BZ40" s="1207"/>
      <c r="CA40" s="1207"/>
      <c r="CB40" s="1207"/>
      <c r="CC40" s="1207"/>
      <c r="CD40" s="1207"/>
      <c r="CE40" s="1207"/>
      <c r="CF40" s="1207"/>
    </row>
    <row r="41" spans="1:84" ht="105" x14ac:dyDescent="0.25">
      <c r="A41" s="1355">
        <v>2022039</v>
      </c>
      <c r="B41" s="1172">
        <v>7637</v>
      </c>
      <c r="C41" s="1356" t="s">
        <v>643</v>
      </c>
      <c r="D41" s="1173" t="s">
        <v>671</v>
      </c>
      <c r="E41" s="1202">
        <v>43233200</v>
      </c>
      <c r="F41" s="1378" t="s">
        <v>769</v>
      </c>
      <c r="G41" s="1377">
        <v>44713</v>
      </c>
      <c r="H41" s="1377">
        <v>44772</v>
      </c>
      <c r="I41" s="1176">
        <v>3</v>
      </c>
      <c r="J41" s="1176" t="s">
        <v>696</v>
      </c>
      <c r="K41" s="1177" t="s">
        <v>770</v>
      </c>
      <c r="L41" s="1178" t="s">
        <v>735</v>
      </c>
      <c r="M41" s="1179">
        <f>170000000+150000000+105400077</f>
        <v>425400077</v>
      </c>
      <c r="N41" s="1382" t="s">
        <v>704</v>
      </c>
      <c r="O41" s="1174" t="s">
        <v>677</v>
      </c>
      <c r="P41" s="1207" t="s">
        <v>678</v>
      </c>
      <c r="Q41" s="1163"/>
      <c r="R41" s="1269">
        <v>425400077</v>
      </c>
      <c r="S41" s="1357"/>
      <c r="T41" s="1357">
        <f>+Tabla16[[#This Row],[CDPS A 31 JULIO 2022]]-Tabla16[[#This Row],[CDP]]</f>
        <v>425400077</v>
      </c>
      <c r="U41" s="1357"/>
      <c r="V41" s="1357"/>
      <c r="W41" s="1357"/>
      <c r="X41" s="1207"/>
      <c r="Y41" s="1207"/>
      <c r="Z41" s="1207"/>
      <c r="AA41" s="1207"/>
      <c r="AB41" s="1207"/>
      <c r="AC41" s="1207"/>
      <c r="AD41" s="1207"/>
      <c r="AE41" s="1207"/>
      <c r="AF41" s="1207"/>
      <c r="AG41" s="1207"/>
      <c r="AH41" s="1207"/>
      <c r="AI41" s="1207"/>
      <c r="AJ41" s="1207"/>
      <c r="AK41" s="1207" t="s">
        <v>771</v>
      </c>
      <c r="AL41" s="1207" t="s">
        <v>772</v>
      </c>
      <c r="AM41" s="1207"/>
      <c r="AN41" s="1207"/>
      <c r="AO41" s="1207"/>
      <c r="AP41" s="1207"/>
      <c r="AQ41" s="1207"/>
      <c r="AR41" s="1207"/>
      <c r="AS41" s="1207"/>
      <c r="AT41" s="1207"/>
      <c r="AU41" s="1207"/>
      <c r="AV41" s="1207"/>
      <c r="AW41" s="1207"/>
      <c r="AX41" s="1207"/>
      <c r="AY41" s="1207"/>
      <c r="AZ41" s="1207"/>
      <c r="BA41" s="1207"/>
      <c r="BB41" s="1207"/>
      <c r="BC41" s="1207"/>
      <c r="BD41" s="1207"/>
      <c r="BE41" s="1207"/>
      <c r="BF41" s="1207"/>
      <c r="BG41" s="1207"/>
      <c r="BH41" s="1207"/>
      <c r="BI41" s="1207"/>
      <c r="BJ41" s="1207"/>
      <c r="BK41" s="1207"/>
      <c r="BL41" s="1207"/>
      <c r="BM41" s="1207"/>
      <c r="BN41" s="1207"/>
      <c r="BO41" s="1207"/>
      <c r="BP41" s="1207"/>
      <c r="BQ41" s="1207"/>
      <c r="BR41" s="1207"/>
      <c r="BS41" s="1207"/>
      <c r="BT41" s="1207"/>
      <c r="BU41" s="1207"/>
      <c r="BV41" s="1207"/>
      <c r="BW41" s="1207"/>
      <c r="BX41" s="1207"/>
      <c r="BY41" s="1207"/>
      <c r="BZ41" s="1207"/>
      <c r="CA41" s="1207"/>
      <c r="CB41" s="1207"/>
      <c r="CC41" s="1207"/>
      <c r="CD41" s="1207"/>
      <c r="CE41" s="1207"/>
      <c r="CF41" s="1207"/>
    </row>
    <row r="42" spans="1:84" ht="180" x14ac:dyDescent="0.25">
      <c r="A42" s="1355">
        <v>2022041</v>
      </c>
      <c r="B42" s="1172">
        <v>7637</v>
      </c>
      <c r="C42" s="1356" t="s">
        <v>643</v>
      </c>
      <c r="D42" s="1173" t="s">
        <v>671</v>
      </c>
      <c r="E42" s="1202" t="s">
        <v>773</v>
      </c>
      <c r="F42" s="1378" t="s">
        <v>774</v>
      </c>
      <c r="G42" s="1377">
        <v>44762</v>
      </c>
      <c r="H42" s="1377">
        <v>44803</v>
      </c>
      <c r="I42" s="1176">
        <v>5</v>
      </c>
      <c r="J42" s="1176" t="s">
        <v>696</v>
      </c>
      <c r="K42" s="1177" t="s">
        <v>770</v>
      </c>
      <c r="L42" s="1178" t="s">
        <v>735</v>
      </c>
      <c r="M42" s="1179">
        <f>600000000-150000000+50000000</f>
        <v>500000000</v>
      </c>
      <c r="N42" s="1189" t="s">
        <v>676</v>
      </c>
      <c r="O42" s="1174" t="s">
        <v>677</v>
      </c>
      <c r="P42" s="1207" t="s">
        <v>678</v>
      </c>
      <c r="Q42" s="1163"/>
      <c r="R42" s="1269">
        <v>0</v>
      </c>
      <c r="S42" s="1357"/>
      <c r="T42" s="1357">
        <f>+Tabla16[[#This Row],[CDPS A 31 JULIO 2022]]-Tabla16[[#This Row],[CDP]]</f>
        <v>0</v>
      </c>
      <c r="U42" s="1357"/>
      <c r="V42" s="1357"/>
      <c r="W42" s="1357"/>
      <c r="X42" s="1207"/>
      <c r="Y42" s="1207"/>
      <c r="Z42" s="1207"/>
      <c r="AA42" s="1207"/>
      <c r="AB42" s="1207"/>
      <c r="AC42" s="1207"/>
      <c r="AD42" s="1207"/>
      <c r="AE42" s="1207"/>
      <c r="AF42" s="1207"/>
      <c r="AG42" s="1207"/>
      <c r="AH42" s="1207"/>
      <c r="AI42" s="1207"/>
      <c r="AJ42" s="1207"/>
      <c r="AK42" s="1207" t="s">
        <v>677</v>
      </c>
      <c r="AL42" s="1207" t="s">
        <v>775</v>
      </c>
      <c r="AM42" s="1207"/>
      <c r="AN42" s="1207"/>
      <c r="AO42" s="1207"/>
      <c r="AP42" s="1207"/>
      <c r="AQ42" s="1207"/>
      <c r="AR42" s="1207"/>
      <c r="AS42" s="1207"/>
      <c r="AT42" s="1207"/>
      <c r="AU42" s="1207"/>
      <c r="AV42" s="1207"/>
      <c r="AW42" s="1207"/>
      <c r="AX42" s="1207"/>
      <c r="AY42" s="1207"/>
      <c r="AZ42" s="1207"/>
      <c r="BA42" s="1207"/>
      <c r="BB42" s="1207"/>
      <c r="BC42" s="1207"/>
      <c r="BD42" s="1207"/>
      <c r="BE42" s="1207"/>
      <c r="BF42" s="1207"/>
      <c r="BG42" s="1207"/>
      <c r="BH42" s="1207"/>
      <c r="BI42" s="1207"/>
      <c r="BJ42" s="1207"/>
      <c r="BK42" s="1207"/>
      <c r="BL42" s="1207"/>
      <c r="BM42" s="1207"/>
      <c r="BN42" s="1207"/>
      <c r="BO42" s="1207"/>
      <c r="BP42" s="1207"/>
      <c r="BQ42" s="1207"/>
      <c r="BR42" s="1207"/>
      <c r="BS42" s="1207"/>
      <c r="BT42" s="1207"/>
      <c r="BU42" s="1207"/>
      <c r="BV42" s="1207"/>
      <c r="BW42" s="1207"/>
      <c r="BX42" s="1207"/>
      <c r="BY42" s="1207"/>
      <c r="BZ42" s="1207"/>
      <c r="CA42" s="1207"/>
      <c r="CB42" s="1207"/>
      <c r="CC42" s="1207"/>
      <c r="CD42" s="1207"/>
      <c r="CE42" s="1207"/>
      <c r="CF42" s="1207"/>
    </row>
    <row r="43" spans="1:84" ht="105" x14ac:dyDescent="0.25">
      <c r="A43" s="1355">
        <v>2022042</v>
      </c>
      <c r="B43" s="1172">
        <v>7637</v>
      </c>
      <c r="C43" s="1356" t="s">
        <v>643</v>
      </c>
      <c r="D43" s="1173" t="s">
        <v>671</v>
      </c>
      <c r="E43" s="1174"/>
      <c r="F43" s="1175" t="s">
        <v>776</v>
      </c>
      <c r="G43" s="1176"/>
      <c r="H43" s="1176"/>
      <c r="I43" s="1176"/>
      <c r="J43" s="1176" t="s">
        <v>97</v>
      </c>
      <c r="K43" s="1177" t="s">
        <v>674</v>
      </c>
      <c r="L43" s="1178" t="s">
        <v>675</v>
      </c>
      <c r="M43" s="1179">
        <v>22500000</v>
      </c>
      <c r="N43" s="1189" t="s">
        <v>676</v>
      </c>
      <c r="O43" s="1174" t="s">
        <v>677</v>
      </c>
      <c r="P43" s="1207" t="s">
        <v>757</v>
      </c>
      <c r="Q43" s="1163"/>
      <c r="R43" s="1269">
        <v>53195750</v>
      </c>
      <c r="S43" s="1357">
        <v>53195750</v>
      </c>
      <c r="T43" s="1357">
        <f>+Tabla16[[#This Row],[CDPS A 31 JULIO 2022]]-Tabla16[[#This Row],[CDP]]</f>
        <v>0</v>
      </c>
      <c r="U43" s="1357">
        <v>53195750</v>
      </c>
      <c r="V43" s="1357">
        <v>53195750</v>
      </c>
      <c r="W43" s="1357"/>
      <c r="X43" s="1207"/>
      <c r="Y43" s="1207"/>
      <c r="Z43" s="1207"/>
      <c r="AA43" s="1207"/>
      <c r="AB43" s="1207"/>
      <c r="AC43" s="1207"/>
      <c r="AD43" s="1207"/>
      <c r="AE43" s="1207"/>
      <c r="AF43" s="1207"/>
      <c r="AG43" s="1207"/>
      <c r="AH43" s="1207"/>
      <c r="AI43" s="1207"/>
      <c r="AJ43" s="1207"/>
      <c r="AK43" s="1207"/>
      <c r="AL43" s="1207" t="s">
        <v>777</v>
      </c>
      <c r="AM43" s="1207"/>
      <c r="AN43" s="1207"/>
      <c r="AO43" s="1207"/>
      <c r="AP43" s="1207"/>
      <c r="AQ43" s="1207"/>
      <c r="AR43" s="1207"/>
      <c r="AS43" s="1207"/>
      <c r="AT43" s="1207"/>
      <c r="AU43" s="1207"/>
      <c r="AV43" s="1207"/>
      <c r="AW43" s="1207"/>
      <c r="AX43" s="1207"/>
      <c r="AY43" s="1207"/>
      <c r="AZ43" s="1207"/>
      <c r="BA43" s="1207"/>
      <c r="BB43" s="1207"/>
      <c r="BC43" s="1207"/>
      <c r="BD43" s="1207"/>
      <c r="BE43" s="1207"/>
      <c r="BF43" s="1207"/>
      <c r="BG43" s="1207"/>
      <c r="BH43" s="1207"/>
      <c r="BI43" s="1207"/>
      <c r="BJ43" s="1207"/>
      <c r="BK43" s="1207"/>
      <c r="BL43" s="1207"/>
      <c r="BM43" s="1207"/>
      <c r="BN43" s="1207"/>
      <c r="BO43" s="1207"/>
      <c r="BP43" s="1207"/>
      <c r="BQ43" s="1207"/>
      <c r="BR43" s="1207"/>
      <c r="BS43" s="1207"/>
      <c r="BT43" s="1207"/>
      <c r="BU43" s="1207"/>
      <c r="BV43" s="1207"/>
      <c r="BW43" s="1207"/>
      <c r="BX43" s="1207"/>
      <c r="BY43" s="1207"/>
      <c r="BZ43" s="1207"/>
      <c r="CA43" s="1207"/>
      <c r="CB43" s="1207"/>
      <c r="CC43" s="1207"/>
      <c r="CD43" s="1207"/>
      <c r="CE43" s="1207"/>
      <c r="CF43" s="1207"/>
    </row>
    <row r="44" spans="1:84" ht="105" x14ac:dyDescent="0.25">
      <c r="A44" s="1355">
        <v>2022043</v>
      </c>
      <c r="B44" s="1172">
        <v>7655</v>
      </c>
      <c r="C44" s="1356" t="s">
        <v>668</v>
      </c>
      <c r="D44" s="1190" t="s">
        <v>689</v>
      </c>
      <c r="E44" s="1174" t="s">
        <v>778</v>
      </c>
      <c r="F44" s="1380" t="s">
        <v>779</v>
      </c>
      <c r="G44" s="1381">
        <v>44575</v>
      </c>
      <c r="H44" s="1381">
        <v>44575</v>
      </c>
      <c r="I44" s="1176">
        <v>11.5</v>
      </c>
      <c r="J44" s="1176" t="s">
        <v>673</v>
      </c>
      <c r="K44" s="1177" t="s">
        <v>674</v>
      </c>
      <c r="L44" s="1178" t="s">
        <v>780</v>
      </c>
      <c r="M44" s="1179">
        <v>92000000</v>
      </c>
      <c r="N44" s="1382" t="s">
        <v>781</v>
      </c>
      <c r="O44" s="1174" t="s">
        <v>771</v>
      </c>
      <c r="P44" s="1207" t="s">
        <v>678</v>
      </c>
      <c r="Q44" s="1163"/>
      <c r="R44" s="1269">
        <v>92000000</v>
      </c>
      <c r="S44" s="1357">
        <v>92000000</v>
      </c>
      <c r="T44" s="1357">
        <f>+Tabla16[[#This Row],[CDPS A 31 JULIO 2022]]-Tabla16[[#This Row],[CDP]]</f>
        <v>0</v>
      </c>
      <c r="U44" s="1357">
        <v>92000000</v>
      </c>
      <c r="V44" s="1357">
        <v>35466667</v>
      </c>
      <c r="W44" s="1357"/>
      <c r="X44" s="1207"/>
      <c r="Y44" s="1207"/>
      <c r="Z44" s="1207"/>
      <c r="AA44" s="1207"/>
      <c r="AB44" s="1207"/>
      <c r="AC44" s="1207"/>
      <c r="AD44" s="1207"/>
      <c r="AE44" s="1207"/>
      <c r="AF44" s="1207"/>
      <c r="AG44" s="1207"/>
      <c r="AH44" s="1207"/>
      <c r="AI44" s="1207"/>
      <c r="AJ44" s="1207"/>
      <c r="AK44" s="1207"/>
      <c r="AL44" s="1207" t="s">
        <v>782</v>
      </c>
      <c r="AM44" s="1207"/>
      <c r="AN44" s="1207"/>
      <c r="AO44" s="1207"/>
      <c r="AP44" s="1207"/>
      <c r="AQ44" s="1207"/>
      <c r="AR44" s="1207"/>
      <c r="AS44" s="1207"/>
      <c r="AT44" s="1207"/>
      <c r="AU44" s="1207"/>
      <c r="AV44" s="1207"/>
      <c r="AW44" s="1207"/>
      <c r="AX44" s="1207"/>
      <c r="AY44" s="1207"/>
      <c r="AZ44" s="1207"/>
      <c r="BA44" s="1207"/>
      <c r="BB44" s="1207"/>
      <c r="BC44" s="1207"/>
      <c r="BD44" s="1207"/>
      <c r="BE44" s="1207"/>
      <c r="BF44" s="1207"/>
      <c r="BG44" s="1207"/>
      <c r="BH44" s="1207"/>
      <c r="BI44" s="1207"/>
      <c r="BJ44" s="1207"/>
      <c r="BK44" s="1207"/>
      <c r="BL44" s="1207"/>
      <c r="BM44" s="1207"/>
      <c r="BN44" s="1207"/>
      <c r="BO44" s="1207"/>
      <c r="BP44" s="1207"/>
      <c r="BQ44" s="1207"/>
      <c r="BR44" s="1207"/>
      <c r="BS44" s="1207"/>
      <c r="BT44" s="1207"/>
      <c r="BU44" s="1207"/>
      <c r="BV44" s="1207"/>
      <c r="BW44" s="1207"/>
      <c r="BX44" s="1207"/>
      <c r="BY44" s="1207"/>
      <c r="BZ44" s="1207"/>
      <c r="CA44" s="1207"/>
      <c r="CB44" s="1207"/>
      <c r="CC44" s="1207"/>
      <c r="CD44" s="1207"/>
      <c r="CE44" s="1207"/>
      <c r="CF44" s="1207"/>
    </row>
    <row r="45" spans="1:84" ht="105" x14ac:dyDescent="0.25">
      <c r="A45" s="1355">
        <v>2022044</v>
      </c>
      <c r="B45" s="1172">
        <v>7655</v>
      </c>
      <c r="C45" s="1356" t="s">
        <v>668</v>
      </c>
      <c r="D45" s="1190" t="s">
        <v>689</v>
      </c>
      <c r="E45" s="1174" t="s">
        <v>778</v>
      </c>
      <c r="F45" s="1380" t="s">
        <v>783</v>
      </c>
      <c r="G45" s="1381">
        <v>44575</v>
      </c>
      <c r="H45" s="1381">
        <v>44575</v>
      </c>
      <c r="I45" s="1176">
        <v>11.5</v>
      </c>
      <c r="J45" s="1176" t="s">
        <v>673</v>
      </c>
      <c r="K45" s="1177" t="s">
        <v>674</v>
      </c>
      <c r="L45" s="1178" t="s">
        <v>780</v>
      </c>
      <c r="M45" s="1179">
        <v>103500000</v>
      </c>
      <c r="N45" s="1382" t="s">
        <v>781</v>
      </c>
      <c r="O45" s="1174" t="s">
        <v>771</v>
      </c>
      <c r="P45" s="1207" t="s">
        <v>678</v>
      </c>
      <c r="Q45" s="1163"/>
      <c r="R45" s="1269">
        <v>103500000</v>
      </c>
      <c r="S45" s="1357">
        <v>103500000</v>
      </c>
      <c r="T45" s="1357">
        <f>+Tabla16[[#This Row],[CDPS A 31 JULIO 2022]]-Tabla16[[#This Row],[CDP]]</f>
        <v>0</v>
      </c>
      <c r="U45" s="1357">
        <v>103500000</v>
      </c>
      <c r="V45" s="1357">
        <v>41400000</v>
      </c>
      <c r="W45" s="1357"/>
      <c r="X45" s="1207"/>
      <c r="Y45" s="1207"/>
      <c r="Z45" s="1207"/>
      <c r="AA45" s="1207"/>
      <c r="AB45" s="1207"/>
      <c r="AC45" s="1207"/>
      <c r="AD45" s="1207"/>
      <c r="AE45" s="1207"/>
      <c r="AF45" s="1207"/>
      <c r="AG45" s="1207"/>
      <c r="AH45" s="1207"/>
      <c r="AI45" s="1207"/>
      <c r="AJ45" s="1207"/>
      <c r="AK45" s="1207"/>
      <c r="AL45" s="1207" t="s">
        <v>784</v>
      </c>
      <c r="AM45" s="1207"/>
      <c r="AN45" s="1207"/>
      <c r="AO45" s="1207"/>
      <c r="AP45" s="1207"/>
      <c r="AQ45" s="1207"/>
      <c r="AR45" s="1207"/>
      <c r="AS45" s="1207"/>
      <c r="AT45" s="1207"/>
      <c r="AU45" s="1207"/>
      <c r="AV45" s="1207"/>
      <c r="AW45" s="1207"/>
      <c r="AX45" s="1207"/>
      <c r="AY45" s="1207"/>
      <c r="AZ45" s="1207"/>
      <c r="BA45" s="1207"/>
      <c r="BB45" s="1207"/>
      <c r="BC45" s="1207"/>
      <c r="BD45" s="1207"/>
      <c r="BE45" s="1207"/>
      <c r="BF45" s="1207"/>
      <c r="BG45" s="1207"/>
      <c r="BH45" s="1207"/>
      <c r="BI45" s="1207"/>
      <c r="BJ45" s="1207"/>
      <c r="BK45" s="1207"/>
      <c r="BL45" s="1207"/>
      <c r="BM45" s="1207"/>
      <c r="BN45" s="1207"/>
      <c r="BO45" s="1207"/>
      <c r="BP45" s="1207"/>
      <c r="BQ45" s="1207"/>
      <c r="BR45" s="1207"/>
      <c r="BS45" s="1207"/>
      <c r="BT45" s="1207"/>
      <c r="BU45" s="1207"/>
      <c r="BV45" s="1207"/>
      <c r="BW45" s="1207"/>
      <c r="BX45" s="1207"/>
      <c r="BY45" s="1207"/>
      <c r="BZ45" s="1207"/>
      <c r="CA45" s="1207"/>
      <c r="CB45" s="1207"/>
      <c r="CC45" s="1207"/>
      <c r="CD45" s="1207"/>
      <c r="CE45" s="1207"/>
      <c r="CF45" s="1207"/>
    </row>
    <row r="46" spans="1:84" ht="105" x14ac:dyDescent="0.25">
      <c r="A46" s="1355">
        <v>2022045</v>
      </c>
      <c r="B46" s="1172">
        <v>7655</v>
      </c>
      <c r="C46" s="1356" t="s">
        <v>668</v>
      </c>
      <c r="D46" s="1190" t="s">
        <v>689</v>
      </c>
      <c r="E46" s="1174" t="s">
        <v>778</v>
      </c>
      <c r="F46" s="1380" t="s">
        <v>785</v>
      </c>
      <c r="G46" s="1381">
        <v>44575</v>
      </c>
      <c r="H46" s="1381">
        <v>44575</v>
      </c>
      <c r="I46" s="1176">
        <v>11.5</v>
      </c>
      <c r="J46" s="1176" t="s">
        <v>673</v>
      </c>
      <c r="K46" s="1177" t="s">
        <v>674</v>
      </c>
      <c r="L46" s="1178" t="s">
        <v>675</v>
      </c>
      <c r="M46" s="1179">
        <v>57500000</v>
      </c>
      <c r="N46" s="1382" t="s">
        <v>781</v>
      </c>
      <c r="O46" s="1174" t="s">
        <v>771</v>
      </c>
      <c r="P46" s="1207" t="s">
        <v>678</v>
      </c>
      <c r="Q46" s="1163"/>
      <c r="R46" s="1269">
        <v>57500000</v>
      </c>
      <c r="S46" s="1357">
        <v>57500000</v>
      </c>
      <c r="T46" s="1357">
        <f>+Tabla16[[#This Row],[CDPS A 31 JULIO 2022]]-Tabla16[[#This Row],[CDP]]</f>
        <v>0</v>
      </c>
      <c r="U46" s="1357">
        <v>57500000</v>
      </c>
      <c r="V46" s="1357">
        <v>22166667</v>
      </c>
      <c r="W46" s="1357"/>
      <c r="X46" s="1207"/>
      <c r="Y46" s="1207"/>
      <c r="Z46" s="1207"/>
      <c r="AA46" s="1207"/>
      <c r="AB46" s="1207"/>
      <c r="AC46" s="1207"/>
      <c r="AD46" s="1207"/>
      <c r="AE46" s="1207"/>
      <c r="AF46" s="1207"/>
      <c r="AG46" s="1207"/>
      <c r="AH46" s="1207"/>
      <c r="AI46" s="1207"/>
      <c r="AJ46" s="1207"/>
      <c r="AK46" s="1207"/>
      <c r="AL46" s="1207" t="s">
        <v>781</v>
      </c>
      <c r="AM46" s="1207"/>
      <c r="AN46" s="1207"/>
      <c r="AO46" s="1207"/>
      <c r="AP46" s="1207"/>
      <c r="AQ46" s="1207"/>
      <c r="AR46" s="1207"/>
      <c r="AS46" s="1207"/>
      <c r="AT46" s="1207"/>
      <c r="AU46" s="1207"/>
      <c r="AV46" s="1207"/>
      <c r="AW46" s="1207"/>
      <c r="AX46" s="1207"/>
      <c r="AY46" s="1207"/>
      <c r="AZ46" s="1207"/>
      <c r="BA46" s="1207"/>
      <c r="BB46" s="1207"/>
      <c r="BC46" s="1207"/>
      <c r="BD46" s="1207"/>
      <c r="BE46" s="1207"/>
      <c r="BF46" s="1207"/>
      <c r="BG46" s="1207"/>
      <c r="BH46" s="1207"/>
      <c r="BI46" s="1207"/>
      <c r="BJ46" s="1207"/>
      <c r="BK46" s="1207"/>
      <c r="BL46" s="1207"/>
      <c r="BM46" s="1207"/>
      <c r="BN46" s="1207"/>
      <c r="BO46" s="1207"/>
      <c r="BP46" s="1207"/>
      <c r="BQ46" s="1207"/>
      <c r="BR46" s="1207"/>
      <c r="BS46" s="1207"/>
      <c r="BT46" s="1207"/>
      <c r="BU46" s="1207"/>
      <c r="BV46" s="1207"/>
      <c r="BW46" s="1207"/>
      <c r="BX46" s="1207"/>
      <c r="BY46" s="1207"/>
      <c r="BZ46" s="1207"/>
      <c r="CA46" s="1207"/>
      <c r="CB46" s="1207"/>
      <c r="CC46" s="1207"/>
      <c r="CD46" s="1207"/>
      <c r="CE46" s="1207"/>
      <c r="CF46" s="1207"/>
    </row>
    <row r="47" spans="1:84" ht="105" x14ac:dyDescent="0.25">
      <c r="A47" s="1355">
        <v>2022046</v>
      </c>
      <c r="B47" s="1172">
        <v>7655</v>
      </c>
      <c r="C47" s="1356" t="s">
        <v>668</v>
      </c>
      <c r="D47" s="1190" t="s">
        <v>689</v>
      </c>
      <c r="E47" s="1174" t="s">
        <v>778</v>
      </c>
      <c r="F47" s="1380" t="s">
        <v>786</v>
      </c>
      <c r="G47" s="1381">
        <v>44575</v>
      </c>
      <c r="H47" s="1381">
        <v>44575</v>
      </c>
      <c r="I47" s="1176">
        <v>11.5</v>
      </c>
      <c r="J47" s="1176" t="s">
        <v>673</v>
      </c>
      <c r="K47" s="1177" t="s">
        <v>674</v>
      </c>
      <c r="L47" s="1178" t="s">
        <v>675</v>
      </c>
      <c r="M47" s="1179">
        <v>78200000</v>
      </c>
      <c r="N47" s="1382" t="s">
        <v>781</v>
      </c>
      <c r="O47" s="1174" t="s">
        <v>771</v>
      </c>
      <c r="P47" s="1207" t="s">
        <v>678</v>
      </c>
      <c r="Q47" s="1163"/>
      <c r="R47" s="1269">
        <v>78200000</v>
      </c>
      <c r="S47" s="1357">
        <v>78200000</v>
      </c>
      <c r="T47" s="1357">
        <f>+Tabla16[[#This Row],[CDPS A 31 JULIO 2022]]-Tabla16[[#This Row],[CDP]]</f>
        <v>0</v>
      </c>
      <c r="U47" s="1357">
        <v>78200000</v>
      </c>
      <c r="V47" s="1357">
        <v>30146667</v>
      </c>
      <c r="W47" s="1357"/>
      <c r="X47" s="1207"/>
      <c r="Y47" s="1207"/>
      <c r="Z47" s="1207"/>
      <c r="AA47" s="1207"/>
      <c r="AB47" s="1207"/>
      <c r="AC47" s="1207"/>
      <c r="AD47" s="1207"/>
      <c r="AE47" s="1207"/>
      <c r="AF47" s="1207"/>
      <c r="AG47" s="1207"/>
      <c r="AH47" s="1207"/>
      <c r="AI47" s="1207"/>
      <c r="AJ47" s="1207"/>
      <c r="AK47" s="1207"/>
      <c r="AL47" s="1207" t="s">
        <v>704</v>
      </c>
      <c r="AM47" s="1207"/>
      <c r="AN47" s="1207"/>
      <c r="AO47" s="1207"/>
      <c r="AP47" s="1207"/>
      <c r="AQ47" s="1207"/>
      <c r="AR47" s="1207"/>
      <c r="AS47" s="1207"/>
      <c r="AT47" s="1207"/>
      <c r="AU47" s="1207"/>
      <c r="AV47" s="1207"/>
      <c r="AW47" s="1207"/>
      <c r="AX47" s="1207"/>
      <c r="AY47" s="1207"/>
      <c r="AZ47" s="1207"/>
      <c r="BA47" s="1207"/>
      <c r="BB47" s="1207"/>
      <c r="BC47" s="1207"/>
      <c r="BD47" s="1207"/>
      <c r="BE47" s="1207"/>
      <c r="BF47" s="1207"/>
      <c r="BG47" s="1207"/>
      <c r="BH47" s="1207"/>
      <c r="BI47" s="1207"/>
      <c r="BJ47" s="1207"/>
      <c r="BK47" s="1207"/>
      <c r="BL47" s="1207"/>
      <c r="BM47" s="1207"/>
      <c r="BN47" s="1207"/>
      <c r="BO47" s="1207"/>
      <c r="BP47" s="1207"/>
      <c r="BQ47" s="1207"/>
      <c r="BR47" s="1207"/>
      <c r="BS47" s="1207"/>
      <c r="BT47" s="1207"/>
      <c r="BU47" s="1207"/>
      <c r="BV47" s="1207"/>
      <c r="BW47" s="1207"/>
      <c r="BX47" s="1207"/>
      <c r="BY47" s="1207"/>
      <c r="BZ47" s="1207"/>
      <c r="CA47" s="1207"/>
      <c r="CB47" s="1207"/>
      <c r="CC47" s="1207"/>
      <c r="CD47" s="1207"/>
      <c r="CE47" s="1207"/>
      <c r="CF47" s="1207"/>
    </row>
    <row r="48" spans="1:84" ht="105" x14ac:dyDescent="0.25">
      <c r="A48" s="1355">
        <v>2022047</v>
      </c>
      <c r="B48" s="1172">
        <v>7655</v>
      </c>
      <c r="C48" s="1356" t="s">
        <v>668</v>
      </c>
      <c r="D48" s="1190" t="s">
        <v>689</v>
      </c>
      <c r="E48" s="1174" t="s">
        <v>778</v>
      </c>
      <c r="F48" s="1380" t="s">
        <v>787</v>
      </c>
      <c r="G48" s="1381">
        <v>44575</v>
      </c>
      <c r="H48" s="1381">
        <v>44575</v>
      </c>
      <c r="I48" s="1176">
        <v>11.5</v>
      </c>
      <c r="J48" s="1176" t="s">
        <v>673</v>
      </c>
      <c r="K48" s="1177" t="s">
        <v>674</v>
      </c>
      <c r="L48" s="1178" t="s">
        <v>675</v>
      </c>
      <c r="M48" s="1179">
        <v>38525000</v>
      </c>
      <c r="N48" s="1382" t="s">
        <v>781</v>
      </c>
      <c r="O48" s="1174" t="s">
        <v>771</v>
      </c>
      <c r="P48" s="1207" t="s">
        <v>678</v>
      </c>
      <c r="Q48" s="1163"/>
      <c r="R48" s="1269">
        <v>38525000</v>
      </c>
      <c r="S48" s="1357">
        <v>38525000</v>
      </c>
      <c r="T48" s="1357">
        <f>+Tabla16[[#This Row],[CDPS A 31 JULIO 2022]]-Tabla16[[#This Row],[CDP]]</f>
        <v>0</v>
      </c>
      <c r="U48" s="1357">
        <v>38525000</v>
      </c>
      <c r="V48" s="1357">
        <v>15410000</v>
      </c>
      <c r="W48" s="1357"/>
      <c r="X48" s="1207"/>
      <c r="Y48" s="1207"/>
      <c r="Z48" s="1207"/>
      <c r="AA48" s="1207"/>
      <c r="AB48" s="1207"/>
      <c r="AC48" s="1207"/>
      <c r="AD48" s="1207"/>
      <c r="AE48" s="1207"/>
      <c r="AF48" s="1207"/>
      <c r="AG48" s="1207"/>
      <c r="AH48" s="1207"/>
      <c r="AI48" s="1207"/>
      <c r="AJ48" s="1207"/>
      <c r="AK48" s="1207"/>
      <c r="AL48" s="1207" t="s">
        <v>685</v>
      </c>
      <c r="AM48" s="1207"/>
      <c r="AN48" s="1207"/>
      <c r="AO48" s="1207"/>
      <c r="AP48" s="1207"/>
      <c r="AQ48" s="1207"/>
      <c r="AR48" s="1207"/>
      <c r="AS48" s="1207"/>
      <c r="AT48" s="1207"/>
      <c r="AU48" s="1207"/>
      <c r="AV48" s="1207"/>
      <c r="AW48" s="1207"/>
      <c r="AX48" s="1207"/>
      <c r="AY48" s="1207"/>
      <c r="AZ48" s="1207"/>
      <c r="BA48" s="1207"/>
      <c r="BB48" s="1207"/>
      <c r="BC48" s="1207"/>
      <c r="BD48" s="1207"/>
      <c r="BE48" s="1207"/>
      <c r="BF48" s="1207"/>
      <c r="BG48" s="1207"/>
      <c r="BH48" s="1207"/>
      <c r="BI48" s="1207"/>
      <c r="BJ48" s="1207"/>
      <c r="BK48" s="1207"/>
      <c r="BL48" s="1207"/>
      <c r="BM48" s="1207"/>
      <c r="BN48" s="1207"/>
      <c r="BO48" s="1207"/>
      <c r="BP48" s="1207"/>
      <c r="BQ48" s="1207"/>
      <c r="BR48" s="1207"/>
      <c r="BS48" s="1207"/>
      <c r="BT48" s="1207"/>
      <c r="BU48" s="1207"/>
      <c r="BV48" s="1207"/>
      <c r="BW48" s="1207"/>
      <c r="BX48" s="1207"/>
      <c r="BY48" s="1207"/>
      <c r="BZ48" s="1207"/>
      <c r="CA48" s="1207"/>
      <c r="CB48" s="1207"/>
      <c r="CC48" s="1207"/>
      <c r="CD48" s="1207"/>
      <c r="CE48" s="1207"/>
      <c r="CF48" s="1207"/>
    </row>
    <row r="49" spans="1:84" ht="105" x14ac:dyDescent="0.25">
      <c r="A49" s="1355">
        <v>2022048</v>
      </c>
      <c r="B49" s="1172">
        <v>7655</v>
      </c>
      <c r="C49" s="1356" t="s">
        <v>668</v>
      </c>
      <c r="D49" s="1190" t="s">
        <v>689</v>
      </c>
      <c r="E49" s="1174" t="s">
        <v>778</v>
      </c>
      <c r="F49" s="1380" t="s">
        <v>788</v>
      </c>
      <c r="G49" s="1381">
        <v>44575</v>
      </c>
      <c r="H49" s="1381">
        <v>44575</v>
      </c>
      <c r="I49" s="1176">
        <v>11.5</v>
      </c>
      <c r="J49" s="1176" t="s">
        <v>673</v>
      </c>
      <c r="K49" s="1177" t="s">
        <v>674</v>
      </c>
      <c r="L49" s="1178" t="s">
        <v>780</v>
      </c>
      <c r="M49" s="1179">
        <v>92000000</v>
      </c>
      <c r="N49" s="1382" t="s">
        <v>781</v>
      </c>
      <c r="O49" s="1174" t="s">
        <v>771</v>
      </c>
      <c r="P49" s="1207" t="s">
        <v>678</v>
      </c>
      <c r="Q49" s="1163"/>
      <c r="R49" s="1269">
        <v>92000000</v>
      </c>
      <c r="S49" s="1357">
        <v>92000000</v>
      </c>
      <c r="T49" s="1357">
        <f>+Tabla16[[#This Row],[CDPS A 31 JULIO 2022]]-Tabla16[[#This Row],[CDP]]</f>
        <v>0</v>
      </c>
      <c r="U49" s="1357">
        <v>92000000</v>
      </c>
      <c r="V49" s="1357">
        <v>36800000</v>
      </c>
      <c r="W49" s="135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7"/>
      <c r="BL49" s="1207"/>
      <c r="BM49" s="1207"/>
      <c r="BN49" s="1207"/>
      <c r="BO49" s="1207"/>
      <c r="BP49" s="1207"/>
      <c r="BQ49" s="1207"/>
      <c r="BR49" s="1207"/>
      <c r="BS49" s="1207"/>
      <c r="BT49" s="1207"/>
      <c r="BU49" s="1207"/>
      <c r="BV49" s="1207"/>
      <c r="BW49" s="1207"/>
      <c r="BX49" s="1207"/>
      <c r="BY49" s="1207"/>
      <c r="BZ49" s="1207"/>
      <c r="CA49" s="1207"/>
      <c r="CB49" s="1207"/>
      <c r="CC49" s="1207"/>
      <c r="CD49" s="1207"/>
      <c r="CE49" s="1207"/>
      <c r="CF49" s="1207"/>
    </row>
    <row r="50" spans="1:84" ht="105" x14ac:dyDescent="0.25">
      <c r="A50" s="1355">
        <v>2022050</v>
      </c>
      <c r="B50" s="1172">
        <v>7655</v>
      </c>
      <c r="C50" s="1356" t="s">
        <v>668</v>
      </c>
      <c r="D50" s="1190" t="s">
        <v>689</v>
      </c>
      <c r="E50" s="1174" t="s">
        <v>778</v>
      </c>
      <c r="F50" s="1380" t="s">
        <v>789</v>
      </c>
      <c r="G50" s="1381">
        <v>44575</v>
      </c>
      <c r="H50" s="1381">
        <v>44575</v>
      </c>
      <c r="I50" s="1176">
        <v>7</v>
      </c>
      <c r="J50" s="1176" t="s">
        <v>673</v>
      </c>
      <c r="K50" s="1177" t="s">
        <v>674</v>
      </c>
      <c r="L50" s="1178" t="s">
        <v>675</v>
      </c>
      <c r="M50" s="1179">
        <v>38500000</v>
      </c>
      <c r="N50" s="1382" t="s">
        <v>781</v>
      </c>
      <c r="O50" s="1174" t="s">
        <v>771</v>
      </c>
      <c r="P50" s="1207" t="s">
        <v>678</v>
      </c>
      <c r="Q50" s="1163"/>
      <c r="R50" s="1269">
        <v>38500000</v>
      </c>
      <c r="S50" s="1357">
        <v>38500000</v>
      </c>
      <c r="T50" s="1357">
        <f>+Tabla16[[#This Row],[CDPS A 31 JULIO 2022]]-Tabla16[[#This Row],[CDP]]</f>
        <v>0</v>
      </c>
      <c r="U50" s="1357">
        <v>38500000</v>
      </c>
      <c r="V50" s="1357">
        <v>20900000</v>
      </c>
      <c r="W50" s="135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7"/>
      <c r="BL50" s="1207"/>
      <c r="BM50" s="1207"/>
      <c r="BN50" s="1207"/>
      <c r="BO50" s="1207"/>
      <c r="BP50" s="1207"/>
      <c r="BQ50" s="1207"/>
      <c r="BR50" s="1207"/>
      <c r="BS50" s="1207"/>
      <c r="BT50" s="1207"/>
      <c r="BU50" s="1207"/>
      <c r="BV50" s="1207"/>
      <c r="BW50" s="1207"/>
      <c r="BX50" s="1207"/>
      <c r="BY50" s="1207"/>
      <c r="BZ50" s="1207"/>
      <c r="CA50" s="1207"/>
      <c r="CB50" s="1207"/>
      <c r="CC50" s="1207"/>
      <c r="CD50" s="1207"/>
      <c r="CE50" s="1207"/>
      <c r="CF50" s="1207"/>
    </row>
    <row r="51" spans="1:84" ht="105" x14ac:dyDescent="0.25">
      <c r="A51" s="1355">
        <v>2022051</v>
      </c>
      <c r="B51" s="1172">
        <v>7655</v>
      </c>
      <c r="C51" s="1356" t="s">
        <v>668</v>
      </c>
      <c r="D51" s="1190" t="s">
        <v>689</v>
      </c>
      <c r="E51" s="1174" t="s">
        <v>778</v>
      </c>
      <c r="F51" s="1380" t="s">
        <v>790</v>
      </c>
      <c r="G51" s="1381">
        <v>44575</v>
      </c>
      <c r="H51" s="1381">
        <v>44575</v>
      </c>
      <c r="I51" s="1176">
        <v>11.5</v>
      </c>
      <c r="J51" s="1176" t="s">
        <v>673</v>
      </c>
      <c r="K51" s="1177" t="s">
        <v>674</v>
      </c>
      <c r="L51" s="1178" t="s">
        <v>675</v>
      </c>
      <c r="M51" s="1179">
        <v>20700000</v>
      </c>
      <c r="N51" s="1382" t="s">
        <v>781</v>
      </c>
      <c r="O51" s="1174" t="s">
        <v>771</v>
      </c>
      <c r="P51" s="1207" t="s">
        <v>678</v>
      </c>
      <c r="Q51" s="1163"/>
      <c r="R51" s="1269">
        <v>20700000</v>
      </c>
      <c r="S51" s="1357">
        <v>20700000</v>
      </c>
      <c r="T51" s="1357">
        <f>+Tabla16[[#This Row],[CDPS A 31 JULIO 2022]]-Tabla16[[#This Row],[CDP]]</f>
        <v>0</v>
      </c>
      <c r="U51" s="1357">
        <v>20700000</v>
      </c>
      <c r="V51" s="1357">
        <v>7980000</v>
      </c>
      <c r="W51" s="135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7"/>
      <c r="BL51" s="1207"/>
      <c r="BM51" s="1207"/>
      <c r="BN51" s="1207"/>
      <c r="BO51" s="1207"/>
      <c r="BP51" s="1207"/>
      <c r="BQ51" s="1207"/>
      <c r="BR51" s="1207"/>
      <c r="BS51" s="1207"/>
      <c r="BT51" s="1207"/>
      <c r="BU51" s="1207"/>
      <c r="BV51" s="1207"/>
      <c r="BW51" s="1207"/>
      <c r="BX51" s="1207"/>
      <c r="BY51" s="1207"/>
      <c r="BZ51" s="1207"/>
      <c r="CA51" s="1207"/>
      <c r="CB51" s="1207"/>
      <c r="CC51" s="1207"/>
      <c r="CD51" s="1207"/>
      <c r="CE51" s="1207"/>
      <c r="CF51" s="1207"/>
    </row>
    <row r="52" spans="1:84" ht="105" x14ac:dyDescent="0.25">
      <c r="A52" s="1400">
        <v>2022052</v>
      </c>
      <c r="B52" s="1401">
        <v>7655</v>
      </c>
      <c r="C52" s="1402" t="s">
        <v>668</v>
      </c>
      <c r="D52" s="1403" t="s">
        <v>689</v>
      </c>
      <c r="E52" s="1404" t="s">
        <v>778</v>
      </c>
      <c r="F52" s="1405" t="s">
        <v>791</v>
      </c>
      <c r="G52" s="1406">
        <v>44575</v>
      </c>
      <c r="H52" s="1406">
        <v>44575</v>
      </c>
      <c r="I52" s="1407">
        <v>11.5</v>
      </c>
      <c r="J52" s="1407" t="s">
        <v>673</v>
      </c>
      <c r="K52" s="1408" t="s">
        <v>674</v>
      </c>
      <c r="L52" s="1409" t="s">
        <v>675</v>
      </c>
      <c r="M52" s="1410">
        <f>83950000-5400000-16500000-1852500</f>
        <v>60197500</v>
      </c>
      <c r="N52" s="1411" t="s">
        <v>781</v>
      </c>
      <c r="O52" s="1404" t="s">
        <v>771</v>
      </c>
      <c r="P52" s="1412" t="s">
        <v>678</v>
      </c>
      <c r="Q52" s="1163"/>
      <c r="R52" s="1269">
        <v>83950000</v>
      </c>
      <c r="S52" s="1357">
        <v>83950000</v>
      </c>
      <c r="T52" s="1357">
        <f>+Tabla16[[#This Row],[CDPS A 31 JULIO 2022]]-Tabla16[[#This Row],[CDP]]</f>
        <v>0</v>
      </c>
      <c r="U52" s="1357">
        <v>83950000</v>
      </c>
      <c r="V52" s="1357">
        <v>32363333</v>
      </c>
      <c r="W52" s="135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07"/>
      <c r="BL52" s="1207"/>
      <c r="BM52" s="1207"/>
      <c r="BN52" s="1207"/>
      <c r="BO52" s="1207"/>
      <c r="BP52" s="1207"/>
      <c r="BQ52" s="1207"/>
      <c r="BR52" s="1207"/>
      <c r="BS52" s="1207"/>
      <c r="BT52" s="1207"/>
      <c r="BU52" s="1207"/>
      <c r="BV52" s="1207"/>
      <c r="BW52" s="1207"/>
      <c r="BX52" s="1207"/>
      <c r="BY52" s="1207"/>
      <c r="BZ52" s="1207"/>
      <c r="CA52" s="1207"/>
      <c r="CB52" s="1207"/>
      <c r="CC52" s="1207"/>
      <c r="CD52" s="1207"/>
      <c r="CE52" s="1207"/>
      <c r="CF52" s="1207"/>
    </row>
    <row r="53" spans="1:84" ht="105" x14ac:dyDescent="0.25">
      <c r="A53" s="1355">
        <v>2022053</v>
      </c>
      <c r="B53" s="1172">
        <v>7655</v>
      </c>
      <c r="C53" s="1356" t="s">
        <v>668</v>
      </c>
      <c r="D53" s="1190" t="s">
        <v>689</v>
      </c>
      <c r="E53" s="1174" t="s">
        <v>778</v>
      </c>
      <c r="F53" s="1380" t="s">
        <v>792</v>
      </c>
      <c r="G53" s="1381">
        <v>44575</v>
      </c>
      <c r="H53" s="1381">
        <v>44575</v>
      </c>
      <c r="I53" s="1176">
        <v>11.5</v>
      </c>
      <c r="J53" s="1176" t="s">
        <v>673</v>
      </c>
      <c r="K53" s="1177" t="s">
        <v>674</v>
      </c>
      <c r="L53" s="1178" t="s">
        <v>675</v>
      </c>
      <c r="M53" s="1179">
        <v>38525000</v>
      </c>
      <c r="N53" s="1382" t="s">
        <v>781</v>
      </c>
      <c r="O53" s="1174" t="s">
        <v>771</v>
      </c>
      <c r="P53" s="1207" t="s">
        <v>678</v>
      </c>
      <c r="Q53" s="1163"/>
      <c r="R53" s="1269">
        <v>38525000</v>
      </c>
      <c r="S53" s="1357">
        <v>38525000</v>
      </c>
      <c r="T53" s="1357">
        <f>+Tabla16[[#This Row],[CDPS A 31 JULIO 2022]]-Tabla16[[#This Row],[CDP]]</f>
        <v>0</v>
      </c>
      <c r="U53" s="1357">
        <v>38525000</v>
      </c>
      <c r="V53" s="1357">
        <v>13400000</v>
      </c>
      <c r="W53" s="135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207"/>
      <c r="BL53" s="1207"/>
      <c r="BM53" s="1207"/>
      <c r="BN53" s="1207"/>
      <c r="BO53" s="1207"/>
      <c r="BP53" s="1207"/>
      <c r="BQ53" s="1207"/>
      <c r="BR53" s="1207"/>
      <c r="BS53" s="1207"/>
      <c r="BT53" s="1207"/>
      <c r="BU53" s="1207"/>
      <c r="BV53" s="1207"/>
      <c r="BW53" s="1207"/>
      <c r="BX53" s="1207"/>
      <c r="BY53" s="1207"/>
      <c r="BZ53" s="1207"/>
      <c r="CA53" s="1207"/>
      <c r="CB53" s="1207"/>
      <c r="CC53" s="1207"/>
      <c r="CD53" s="1207"/>
      <c r="CE53" s="1207"/>
      <c r="CF53" s="1207"/>
    </row>
    <row r="54" spans="1:84" ht="105" x14ac:dyDescent="0.25">
      <c r="A54" s="1355">
        <v>2022054</v>
      </c>
      <c r="B54" s="1172">
        <v>7655</v>
      </c>
      <c r="C54" s="1356" t="s">
        <v>668</v>
      </c>
      <c r="D54" s="1190" t="s">
        <v>689</v>
      </c>
      <c r="E54" s="1174" t="s">
        <v>778</v>
      </c>
      <c r="F54" s="1380" t="s">
        <v>793</v>
      </c>
      <c r="G54" s="1381">
        <v>44575</v>
      </c>
      <c r="H54" s="1381">
        <v>44575</v>
      </c>
      <c r="I54" s="1176">
        <v>6</v>
      </c>
      <c r="J54" s="1176" t="s">
        <v>673</v>
      </c>
      <c r="K54" s="1177" t="s">
        <v>674</v>
      </c>
      <c r="L54" s="1178" t="s">
        <v>675</v>
      </c>
      <c r="M54" s="1179">
        <v>27000000</v>
      </c>
      <c r="N54" s="1382" t="s">
        <v>781</v>
      </c>
      <c r="O54" s="1174" t="s">
        <v>771</v>
      </c>
      <c r="P54" s="1207" t="s">
        <v>678</v>
      </c>
      <c r="Q54" s="1163"/>
      <c r="R54" s="1269">
        <v>27000000</v>
      </c>
      <c r="S54" s="1357">
        <v>27000000</v>
      </c>
      <c r="T54" s="1357">
        <f>+Tabla16[[#This Row],[CDPS A 31 JULIO 2022]]-Tabla16[[#This Row],[CDP]]</f>
        <v>0</v>
      </c>
      <c r="U54" s="1357">
        <v>27000000</v>
      </c>
      <c r="V54" s="1357"/>
      <c r="W54" s="135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207"/>
      <c r="BL54" s="1207"/>
      <c r="BM54" s="1207"/>
      <c r="BN54" s="1207"/>
      <c r="BO54" s="1207"/>
      <c r="BP54" s="1207"/>
      <c r="BQ54" s="1207"/>
      <c r="BR54" s="1207"/>
      <c r="BS54" s="1207"/>
      <c r="BT54" s="1207"/>
      <c r="BU54" s="1207"/>
      <c r="BV54" s="1207"/>
      <c r="BW54" s="1207"/>
      <c r="BX54" s="1207"/>
      <c r="BY54" s="1207"/>
      <c r="BZ54" s="1207"/>
      <c r="CA54" s="1207"/>
      <c r="CB54" s="1207"/>
      <c r="CC54" s="1207"/>
      <c r="CD54" s="1207"/>
      <c r="CE54" s="1207"/>
      <c r="CF54" s="1207"/>
    </row>
    <row r="55" spans="1:84" ht="105" x14ac:dyDescent="0.25">
      <c r="A55" s="1355">
        <v>2022055</v>
      </c>
      <c r="B55" s="1172">
        <v>7655</v>
      </c>
      <c r="C55" s="1356" t="s">
        <v>668</v>
      </c>
      <c r="D55" s="1190" t="s">
        <v>689</v>
      </c>
      <c r="E55" s="1174" t="s">
        <v>778</v>
      </c>
      <c r="F55" s="1380" t="s">
        <v>794</v>
      </c>
      <c r="G55" s="1381">
        <v>44575</v>
      </c>
      <c r="H55" s="1381">
        <v>44575</v>
      </c>
      <c r="I55" s="1176">
        <v>11.5</v>
      </c>
      <c r="J55" s="1176" t="s">
        <v>673</v>
      </c>
      <c r="K55" s="1177" t="s">
        <v>674</v>
      </c>
      <c r="L55" s="1178" t="s">
        <v>675</v>
      </c>
      <c r="M55" s="1179">
        <v>51750000</v>
      </c>
      <c r="N55" s="1382" t="s">
        <v>781</v>
      </c>
      <c r="O55" s="1174" t="s">
        <v>771</v>
      </c>
      <c r="P55" s="1207" t="s">
        <v>678</v>
      </c>
      <c r="Q55" s="1163"/>
      <c r="R55" s="1269">
        <v>51750000</v>
      </c>
      <c r="S55" s="1357">
        <v>51750000</v>
      </c>
      <c r="T55" s="1357">
        <f>+Tabla16[[#This Row],[CDPS A 31 JULIO 2022]]-Tabla16[[#This Row],[CDP]]</f>
        <v>0</v>
      </c>
      <c r="U55" s="1357">
        <v>51750000</v>
      </c>
      <c r="V55" s="1357">
        <v>18000000</v>
      </c>
      <c r="W55" s="1357"/>
      <c r="X55" s="1207"/>
      <c r="Y55" s="1207"/>
      <c r="Z55" s="1207"/>
      <c r="AA55" s="1207"/>
      <c r="AB55" s="1207"/>
      <c r="AC55" s="1207"/>
      <c r="AD55" s="1207"/>
      <c r="AE55" s="1207"/>
      <c r="AF55" s="1207"/>
      <c r="AG55" s="1207"/>
      <c r="AH55" s="1207"/>
      <c r="AI55" s="1207"/>
      <c r="AJ55" s="1207"/>
      <c r="AK55" s="1207"/>
      <c r="AL55" s="1207"/>
      <c r="AM55" s="1207"/>
      <c r="AN55" s="1207"/>
      <c r="AO55" s="1207"/>
      <c r="AP55" s="1207"/>
      <c r="AQ55" s="1207"/>
      <c r="AR55" s="1207"/>
      <c r="AS55" s="1207"/>
      <c r="AT55" s="1207"/>
      <c r="AU55" s="1207"/>
      <c r="AV55" s="1207"/>
      <c r="AW55" s="1207"/>
      <c r="AX55" s="1207"/>
      <c r="AY55" s="1207"/>
      <c r="AZ55" s="1207"/>
      <c r="BA55" s="1207"/>
      <c r="BB55" s="1207"/>
      <c r="BC55" s="1207"/>
      <c r="BD55" s="1207"/>
      <c r="BE55" s="1207"/>
      <c r="BF55" s="1207"/>
      <c r="BG55" s="1207"/>
      <c r="BH55" s="1207"/>
      <c r="BI55" s="1207"/>
      <c r="BJ55" s="1207"/>
      <c r="BK55" s="1207"/>
      <c r="BL55" s="1207"/>
      <c r="BM55" s="1207"/>
      <c r="BN55" s="1207"/>
      <c r="BO55" s="1207"/>
      <c r="BP55" s="1207"/>
      <c r="BQ55" s="1207"/>
      <c r="BR55" s="1207"/>
      <c r="BS55" s="1207"/>
      <c r="BT55" s="1207"/>
      <c r="BU55" s="1207"/>
      <c r="BV55" s="1207"/>
      <c r="BW55" s="1207"/>
      <c r="BX55" s="1207"/>
      <c r="BY55" s="1207"/>
      <c r="BZ55" s="1207"/>
      <c r="CA55" s="1207"/>
      <c r="CB55" s="1207"/>
      <c r="CC55" s="1207"/>
      <c r="CD55" s="1207"/>
      <c r="CE55" s="1207"/>
      <c r="CF55" s="1207"/>
    </row>
    <row r="56" spans="1:84" ht="105" x14ac:dyDescent="0.25">
      <c r="A56" s="1355">
        <v>2022057</v>
      </c>
      <c r="B56" s="1172">
        <v>7655</v>
      </c>
      <c r="C56" s="1356" t="s">
        <v>668</v>
      </c>
      <c r="D56" s="1190" t="s">
        <v>689</v>
      </c>
      <c r="E56" s="1174" t="s">
        <v>778</v>
      </c>
      <c r="F56" s="1380" t="s">
        <v>795</v>
      </c>
      <c r="G56" s="1381">
        <v>44575</v>
      </c>
      <c r="H56" s="1381">
        <v>44575</v>
      </c>
      <c r="I56" s="1176">
        <v>11.5</v>
      </c>
      <c r="J56" s="1176" t="s">
        <v>673</v>
      </c>
      <c r="K56" s="1177" t="s">
        <v>674</v>
      </c>
      <c r="L56" s="1178" t="s">
        <v>675</v>
      </c>
      <c r="M56" s="1179">
        <v>38525000</v>
      </c>
      <c r="N56" s="1382" t="s">
        <v>781</v>
      </c>
      <c r="O56" s="1174" t="s">
        <v>771</v>
      </c>
      <c r="P56" s="1207" t="s">
        <v>678</v>
      </c>
      <c r="Q56" s="1163"/>
      <c r="R56" s="1269">
        <v>38525000</v>
      </c>
      <c r="S56" s="1357">
        <v>38525000</v>
      </c>
      <c r="T56" s="1357">
        <f>+Tabla16[[#This Row],[CDPS A 31 JULIO 2022]]-Tabla16[[#This Row],[CDP]]</f>
        <v>0</v>
      </c>
      <c r="U56" s="1357">
        <v>38525000</v>
      </c>
      <c r="V56" s="1357">
        <v>14628333</v>
      </c>
      <c r="W56" s="1357"/>
      <c r="X56" s="1207"/>
      <c r="Y56" s="1207"/>
      <c r="Z56" s="1207"/>
      <c r="AA56" s="1207"/>
      <c r="AB56" s="1207"/>
      <c r="AC56" s="1207"/>
      <c r="AD56" s="1207"/>
      <c r="AE56" s="1207"/>
      <c r="AF56" s="1207"/>
      <c r="AG56" s="1207"/>
      <c r="AH56" s="1207"/>
      <c r="AI56" s="1207"/>
      <c r="AJ56" s="1207"/>
      <c r="AK56" s="1207"/>
      <c r="AL56" s="1207"/>
      <c r="AM56" s="1207"/>
      <c r="AN56" s="1207"/>
      <c r="AO56" s="1207"/>
      <c r="AP56" s="1207"/>
      <c r="AQ56" s="1207"/>
      <c r="AR56" s="1207"/>
      <c r="AS56" s="1207"/>
      <c r="AT56" s="1207"/>
      <c r="AU56" s="1207"/>
      <c r="AV56" s="1207"/>
      <c r="AW56" s="1207"/>
      <c r="AX56" s="1207"/>
      <c r="AY56" s="1207"/>
      <c r="AZ56" s="1207"/>
      <c r="BA56" s="1207"/>
      <c r="BB56" s="1207"/>
      <c r="BC56" s="1207"/>
      <c r="BD56" s="1207"/>
      <c r="BE56" s="1207"/>
      <c r="BF56" s="1207"/>
      <c r="BG56" s="1207"/>
      <c r="BH56" s="1207"/>
      <c r="BI56" s="1207"/>
      <c r="BJ56" s="1207"/>
      <c r="BK56" s="1207"/>
      <c r="BL56" s="1207"/>
      <c r="BM56" s="1207"/>
      <c r="BN56" s="1207"/>
      <c r="BO56" s="1207"/>
      <c r="BP56" s="1207"/>
      <c r="BQ56" s="1207"/>
      <c r="BR56" s="1207"/>
      <c r="BS56" s="1207"/>
      <c r="BT56" s="1207"/>
      <c r="BU56" s="1207"/>
      <c r="BV56" s="1207"/>
      <c r="BW56" s="1207"/>
      <c r="BX56" s="1207"/>
      <c r="BY56" s="1207"/>
      <c r="BZ56" s="1207"/>
      <c r="CA56" s="1207"/>
      <c r="CB56" s="1207"/>
      <c r="CC56" s="1207"/>
      <c r="CD56" s="1207"/>
      <c r="CE56" s="1207"/>
      <c r="CF56" s="1207"/>
    </row>
    <row r="57" spans="1:84" ht="105" x14ac:dyDescent="0.25">
      <c r="A57" s="1355">
        <v>2022058</v>
      </c>
      <c r="B57" s="1172">
        <v>7655</v>
      </c>
      <c r="C57" s="1356" t="s">
        <v>668</v>
      </c>
      <c r="D57" s="1190" t="s">
        <v>689</v>
      </c>
      <c r="E57" s="1174" t="s">
        <v>778</v>
      </c>
      <c r="F57" s="1380" t="s">
        <v>796</v>
      </c>
      <c r="G57" s="1381">
        <v>44575</v>
      </c>
      <c r="H57" s="1381">
        <v>44575</v>
      </c>
      <c r="I57" s="1176">
        <v>11.5</v>
      </c>
      <c r="J57" s="1176" t="s">
        <v>673</v>
      </c>
      <c r="K57" s="1177" t="s">
        <v>674</v>
      </c>
      <c r="L57" s="1178" t="s">
        <v>675</v>
      </c>
      <c r="M57" s="1179">
        <v>28175000</v>
      </c>
      <c r="N57" s="1382" t="s">
        <v>781</v>
      </c>
      <c r="O57" s="1174" t="s">
        <v>771</v>
      </c>
      <c r="P57" s="1207" t="s">
        <v>678</v>
      </c>
      <c r="Q57" s="1163"/>
      <c r="R57" s="1269">
        <v>28175000</v>
      </c>
      <c r="S57" s="1357">
        <v>28175000</v>
      </c>
      <c r="T57" s="1357">
        <f>+Tabla16[[#This Row],[CDPS A 31 JULIO 2022]]-Tabla16[[#This Row],[CDP]]</f>
        <v>0</v>
      </c>
      <c r="U57" s="1357">
        <v>28175000</v>
      </c>
      <c r="V57" s="1357">
        <v>10943333</v>
      </c>
      <c r="W57" s="1357"/>
      <c r="X57" s="1207"/>
      <c r="Y57" s="1207"/>
      <c r="Z57" s="1207"/>
      <c r="AA57" s="1207"/>
      <c r="AB57" s="1207"/>
      <c r="AC57" s="1207"/>
      <c r="AD57" s="1207"/>
      <c r="AE57" s="1207"/>
      <c r="AF57" s="1207"/>
      <c r="AG57" s="1207"/>
      <c r="AH57" s="1207"/>
      <c r="AI57" s="1207"/>
      <c r="AJ57" s="1207"/>
      <c r="AK57" s="1207"/>
      <c r="AL57" s="1207"/>
      <c r="AM57" s="1207"/>
      <c r="AN57" s="1207"/>
      <c r="AO57" s="1207"/>
      <c r="AP57" s="1207"/>
      <c r="AQ57" s="1207"/>
      <c r="AR57" s="1207"/>
      <c r="AS57" s="1207"/>
      <c r="AT57" s="1207"/>
      <c r="AU57" s="1207"/>
      <c r="AV57" s="1207"/>
      <c r="AW57" s="1207"/>
      <c r="AX57" s="1207"/>
      <c r="AY57" s="1207"/>
      <c r="AZ57" s="1207"/>
      <c r="BA57" s="1207"/>
      <c r="BB57" s="1207"/>
      <c r="BC57" s="1207"/>
      <c r="BD57" s="1207"/>
      <c r="BE57" s="1207"/>
      <c r="BF57" s="1207"/>
      <c r="BG57" s="1207"/>
      <c r="BH57" s="1207"/>
      <c r="BI57" s="1207"/>
      <c r="BJ57" s="1207"/>
      <c r="BK57" s="1207"/>
      <c r="BL57" s="1207"/>
      <c r="BM57" s="1207"/>
      <c r="BN57" s="1207"/>
      <c r="BO57" s="1207"/>
      <c r="BP57" s="1207"/>
      <c r="BQ57" s="1207"/>
      <c r="BR57" s="1207"/>
      <c r="BS57" s="1207"/>
      <c r="BT57" s="1207"/>
      <c r="BU57" s="1207"/>
      <c r="BV57" s="1207"/>
      <c r="BW57" s="1207"/>
      <c r="BX57" s="1207"/>
      <c r="BY57" s="1207"/>
      <c r="BZ57" s="1207"/>
      <c r="CA57" s="1207"/>
      <c r="CB57" s="1207"/>
      <c r="CC57" s="1207"/>
      <c r="CD57" s="1207"/>
      <c r="CE57" s="1207"/>
      <c r="CF57" s="1207"/>
    </row>
    <row r="58" spans="1:84" ht="105" x14ac:dyDescent="0.25">
      <c r="A58" s="1355">
        <v>2022059</v>
      </c>
      <c r="B58" s="1172">
        <v>7655</v>
      </c>
      <c r="C58" s="1356" t="s">
        <v>668</v>
      </c>
      <c r="D58" s="1190" t="s">
        <v>689</v>
      </c>
      <c r="E58" s="1174" t="s">
        <v>778</v>
      </c>
      <c r="F58" s="1380" t="s">
        <v>797</v>
      </c>
      <c r="G58" s="1381">
        <v>44575</v>
      </c>
      <c r="H58" s="1381">
        <v>44575</v>
      </c>
      <c r="I58" s="1176">
        <v>11.5</v>
      </c>
      <c r="J58" s="1176" t="s">
        <v>673</v>
      </c>
      <c r="K58" s="1177" t="s">
        <v>674</v>
      </c>
      <c r="L58" s="1178" t="s">
        <v>675</v>
      </c>
      <c r="M58" s="1179">
        <v>44275000</v>
      </c>
      <c r="N58" s="1382" t="s">
        <v>781</v>
      </c>
      <c r="O58" s="1174" t="s">
        <v>771</v>
      </c>
      <c r="P58" s="1207" t="s">
        <v>678</v>
      </c>
      <c r="Q58" s="1163"/>
      <c r="R58" s="1269">
        <v>44275000</v>
      </c>
      <c r="S58" s="1357">
        <v>44275000</v>
      </c>
      <c r="T58" s="1357">
        <f>+Tabla16[[#This Row],[CDPS A 31 JULIO 2022]]-Tabla16[[#This Row],[CDP]]</f>
        <v>0</v>
      </c>
      <c r="U58" s="1357">
        <v>44275000</v>
      </c>
      <c r="V58" s="1357">
        <v>16811667</v>
      </c>
      <c r="W58" s="135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07"/>
      <c r="BF58" s="1207"/>
      <c r="BG58" s="1207"/>
      <c r="BH58" s="1207"/>
      <c r="BI58" s="1207"/>
      <c r="BJ58" s="1207"/>
      <c r="BK58" s="1207"/>
      <c r="BL58" s="1207"/>
      <c r="BM58" s="1207"/>
      <c r="BN58" s="1207"/>
      <c r="BO58" s="1207"/>
      <c r="BP58" s="1207"/>
      <c r="BQ58" s="1207"/>
      <c r="BR58" s="1207"/>
      <c r="BS58" s="1207"/>
      <c r="BT58" s="1207"/>
      <c r="BU58" s="1207"/>
      <c r="BV58" s="1207"/>
      <c r="BW58" s="1207"/>
      <c r="BX58" s="1207"/>
      <c r="BY58" s="1207"/>
      <c r="BZ58" s="1207"/>
      <c r="CA58" s="1207"/>
      <c r="CB58" s="1207"/>
      <c r="CC58" s="1207"/>
      <c r="CD58" s="1207"/>
      <c r="CE58" s="1207"/>
      <c r="CF58" s="1207"/>
    </row>
    <row r="59" spans="1:84" ht="105" x14ac:dyDescent="0.25">
      <c r="A59" s="1355">
        <v>2022060</v>
      </c>
      <c r="B59" s="1172">
        <v>7655</v>
      </c>
      <c r="C59" s="1356" t="s">
        <v>668</v>
      </c>
      <c r="D59" s="1190" t="s">
        <v>689</v>
      </c>
      <c r="E59" s="1174" t="s">
        <v>778</v>
      </c>
      <c r="F59" s="1380" t="s">
        <v>797</v>
      </c>
      <c r="G59" s="1381">
        <v>44575</v>
      </c>
      <c r="H59" s="1381">
        <v>44575</v>
      </c>
      <c r="I59" s="1176">
        <v>11.5</v>
      </c>
      <c r="J59" s="1176" t="s">
        <v>673</v>
      </c>
      <c r="K59" s="1177" t="s">
        <v>674</v>
      </c>
      <c r="L59" s="1178" t="s">
        <v>675</v>
      </c>
      <c r="M59" s="1179">
        <v>44275000</v>
      </c>
      <c r="N59" s="1382" t="s">
        <v>781</v>
      </c>
      <c r="O59" s="1174" t="s">
        <v>771</v>
      </c>
      <c r="P59" s="1207" t="s">
        <v>678</v>
      </c>
      <c r="Q59" s="1163"/>
      <c r="R59" s="1269">
        <v>44275000</v>
      </c>
      <c r="S59" s="1357">
        <v>44275000</v>
      </c>
      <c r="T59" s="1357">
        <f>+Tabla16[[#This Row],[CDPS A 31 JULIO 2022]]-Tabla16[[#This Row],[CDP]]</f>
        <v>0</v>
      </c>
      <c r="U59" s="1357">
        <v>44275000</v>
      </c>
      <c r="V59" s="1357">
        <v>15784999</v>
      </c>
      <c r="W59" s="1357"/>
      <c r="X59" s="1207"/>
      <c r="Y59" s="1207"/>
      <c r="Z59" s="1207"/>
      <c r="AA59" s="1207"/>
      <c r="AB59" s="1207"/>
      <c r="AC59" s="1207"/>
      <c r="AD59" s="1207"/>
      <c r="AE59" s="1207"/>
      <c r="AF59" s="1207"/>
      <c r="AG59" s="1207"/>
      <c r="AH59" s="1207"/>
      <c r="AI59" s="1207"/>
      <c r="AJ59" s="1207"/>
      <c r="AK59" s="1207"/>
      <c r="AL59" s="1207"/>
      <c r="AM59" s="1207"/>
      <c r="AN59" s="1207"/>
      <c r="AO59" s="1207"/>
      <c r="AP59" s="1207"/>
      <c r="AQ59" s="1207"/>
      <c r="AR59" s="1207"/>
      <c r="AS59" s="1207"/>
      <c r="AT59" s="1207"/>
      <c r="AU59" s="1207"/>
      <c r="AV59" s="1207"/>
      <c r="AW59" s="1207"/>
      <c r="AX59" s="1207"/>
      <c r="AY59" s="1207"/>
      <c r="AZ59" s="1207"/>
      <c r="BA59" s="1207"/>
      <c r="BB59" s="1207"/>
      <c r="BC59" s="1207"/>
      <c r="BD59" s="1207"/>
      <c r="BE59" s="1207"/>
      <c r="BF59" s="1207"/>
      <c r="BG59" s="1207"/>
      <c r="BH59" s="1207"/>
      <c r="BI59" s="1207"/>
      <c r="BJ59" s="1207"/>
      <c r="BK59" s="1207"/>
      <c r="BL59" s="1207"/>
      <c r="BM59" s="1207"/>
      <c r="BN59" s="1207"/>
      <c r="BO59" s="1207"/>
      <c r="BP59" s="1207"/>
      <c r="BQ59" s="1207"/>
      <c r="BR59" s="1207"/>
      <c r="BS59" s="1207"/>
      <c r="BT59" s="1207"/>
      <c r="BU59" s="1207"/>
      <c r="BV59" s="1207"/>
      <c r="BW59" s="1207"/>
      <c r="BX59" s="1207"/>
      <c r="BY59" s="1207"/>
      <c r="BZ59" s="1207"/>
      <c r="CA59" s="1207"/>
      <c r="CB59" s="1207"/>
      <c r="CC59" s="1207"/>
      <c r="CD59" s="1207"/>
      <c r="CE59" s="1207"/>
      <c r="CF59" s="1207"/>
    </row>
    <row r="60" spans="1:84" ht="105" x14ac:dyDescent="0.25">
      <c r="A60" s="1355">
        <v>2022061</v>
      </c>
      <c r="B60" s="1172">
        <v>7655</v>
      </c>
      <c r="C60" s="1356" t="s">
        <v>668</v>
      </c>
      <c r="D60" s="1190" t="s">
        <v>689</v>
      </c>
      <c r="E60" s="1174" t="s">
        <v>778</v>
      </c>
      <c r="F60" s="1380" t="s">
        <v>798</v>
      </c>
      <c r="G60" s="1381">
        <v>44575</v>
      </c>
      <c r="H60" s="1381">
        <v>44575</v>
      </c>
      <c r="I60" s="1176">
        <v>11.5</v>
      </c>
      <c r="J60" s="1176" t="s">
        <v>673</v>
      </c>
      <c r="K60" s="1177" t="s">
        <v>674</v>
      </c>
      <c r="L60" s="1178" t="s">
        <v>675</v>
      </c>
      <c r="M60" s="1179">
        <v>51750000</v>
      </c>
      <c r="N60" s="1382" t="s">
        <v>781</v>
      </c>
      <c r="O60" s="1174" t="s">
        <v>771</v>
      </c>
      <c r="P60" s="1207" t="s">
        <v>678</v>
      </c>
      <c r="Q60" s="1163"/>
      <c r="R60" s="1269">
        <v>51750000</v>
      </c>
      <c r="S60" s="1357">
        <v>51750000</v>
      </c>
      <c r="T60" s="1357">
        <f>+Tabla16[[#This Row],[CDPS A 31 JULIO 2022]]-Tabla16[[#This Row],[CDP]]</f>
        <v>0</v>
      </c>
      <c r="U60" s="1357">
        <v>51750000</v>
      </c>
      <c r="V60" s="1357">
        <v>17700000</v>
      </c>
      <c r="W60" s="1357"/>
      <c r="X60" s="1207"/>
      <c r="Y60" s="1207"/>
      <c r="Z60" s="1207"/>
      <c r="AA60" s="1207"/>
      <c r="AB60" s="1207"/>
      <c r="AC60" s="1207"/>
      <c r="AD60" s="1207"/>
      <c r="AE60" s="1207"/>
      <c r="AF60" s="1207"/>
      <c r="AG60" s="1207"/>
      <c r="AH60" s="1207"/>
      <c r="AI60" s="1207"/>
      <c r="AJ60" s="1207"/>
      <c r="AK60" s="1207"/>
      <c r="AL60" s="1207"/>
      <c r="AM60" s="1207"/>
      <c r="AN60" s="1207"/>
      <c r="AO60" s="1207"/>
      <c r="AP60" s="1207"/>
      <c r="AQ60" s="1207"/>
      <c r="AR60" s="1207"/>
      <c r="AS60" s="1207"/>
      <c r="AT60" s="1207"/>
      <c r="AU60" s="1207"/>
      <c r="AV60" s="1207"/>
      <c r="AW60" s="1207"/>
      <c r="AX60" s="1207"/>
      <c r="AY60" s="1207"/>
      <c r="AZ60" s="1207"/>
      <c r="BA60" s="1207"/>
      <c r="BB60" s="1207"/>
      <c r="BC60" s="1207"/>
      <c r="BD60" s="1207"/>
      <c r="BE60" s="1207"/>
      <c r="BF60" s="1207"/>
      <c r="BG60" s="1207"/>
      <c r="BH60" s="1207"/>
      <c r="BI60" s="1207"/>
      <c r="BJ60" s="1207"/>
      <c r="BK60" s="1207"/>
      <c r="BL60" s="1207"/>
      <c r="BM60" s="1207"/>
      <c r="BN60" s="1207"/>
      <c r="BO60" s="1207"/>
      <c r="BP60" s="1207"/>
      <c r="BQ60" s="1207"/>
      <c r="BR60" s="1207"/>
      <c r="BS60" s="1207"/>
      <c r="BT60" s="1207"/>
      <c r="BU60" s="1207"/>
      <c r="BV60" s="1207"/>
      <c r="BW60" s="1207"/>
      <c r="BX60" s="1207"/>
      <c r="BY60" s="1207"/>
      <c r="BZ60" s="1207"/>
      <c r="CA60" s="1207"/>
      <c r="CB60" s="1207"/>
      <c r="CC60" s="1207"/>
      <c r="CD60" s="1207"/>
      <c r="CE60" s="1207"/>
      <c r="CF60" s="1207"/>
    </row>
    <row r="61" spans="1:84" ht="105" x14ac:dyDescent="0.25">
      <c r="A61" s="1355">
        <v>2022062</v>
      </c>
      <c r="B61" s="1172">
        <v>7655</v>
      </c>
      <c r="C61" s="1356" t="s">
        <v>668</v>
      </c>
      <c r="D61" s="1190" t="s">
        <v>689</v>
      </c>
      <c r="E61" s="1174" t="s">
        <v>778</v>
      </c>
      <c r="F61" s="1380" t="s">
        <v>799</v>
      </c>
      <c r="G61" s="1381">
        <v>44575</v>
      </c>
      <c r="H61" s="1381">
        <v>44575</v>
      </c>
      <c r="I61" s="1176">
        <v>7</v>
      </c>
      <c r="J61" s="1176" t="s">
        <v>673</v>
      </c>
      <c r="K61" s="1177" t="s">
        <v>674</v>
      </c>
      <c r="L61" s="1178" t="s">
        <v>675</v>
      </c>
      <c r="M61" s="1179">
        <v>51100000</v>
      </c>
      <c r="N61" s="1382" t="s">
        <v>781</v>
      </c>
      <c r="O61" s="1174" t="s">
        <v>771</v>
      </c>
      <c r="P61" s="1207" t="s">
        <v>678</v>
      </c>
      <c r="Q61" s="1163"/>
      <c r="R61" s="1269">
        <v>51100000</v>
      </c>
      <c r="S61" s="1357">
        <v>51100000</v>
      </c>
      <c r="T61" s="1357">
        <f>+Tabla16[[#This Row],[CDPS A 31 JULIO 2022]]-Tabla16[[#This Row],[CDP]]</f>
        <v>0</v>
      </c>
      <c r="U61" s="1357">
        <v>51100000</v>
      </c>
      <c r="V61" s="1357">
        <v>31633333</v>
      </c>
      <c r="W61" s="1357"/>
      <c r="X61" s="1207"/>
      <c r="Y61" s="1207"/>
      <c r="Z61" s="1207"/>
      <c r="AA61" s="1207"/>
      <c r="AB61" s="1207"/>
      <c r="AC61" s="1207"/>
      <c r="AD61" s="1207"/>
      <c r="AE61" s="1207"/>
      <c r="AF61" s="1207"/>
      <c r="AG61" s="1207"/>
      <c r="AH61" s="1207"/>
      <c r="AI61" s="1207"/>
      <c r="AJ61" s="1207"/>
      <c r="AK61" s="1207"/>
      <c r="AL61" s="1207"/>
      <c r="AM61" s="1207"/>
      <c r="AN61" s="1207"/>
      <c r="AO61" s="1207"/>
      <c r="AP61" s="1207"/>
      <c r="AQ61" s="1207"/>
      <c r="AR61" s="1207"/>
      <c r="AS61" s="1207"/>
      <c r="AT61" s="1207"/>
      <c r="AU61" s="1207"/>
      <c r="AV61" s="1207"/>
      <c r="AW61" s="1207"/>
      <c r="AX61" s="1207"/>
      <c r="AY61" s="1207"/>
      <c r="AZ61" s="1207"/>
      <c r="BA61" s="1207"/>
      <c r="BB61" s="1207"/>
      <c r="BC61" s="1207"/>
      <c r="BD61" s="1207"/>
      <c r="BE61" s="1207"/>
      <c r="BF61" s="1207"/>
      <c r="BG61" s="1207"/>
      <c r="BH61" s="1207"/>
      <c r="BI61" s="1207"/>
      <c r="BJ61" s="1207"/>
      <c r="BK61" s="1207"/>
      <c r="BL61" s="1207"/>
      <c r="BM61" s="1207"/>
      <c r="BN61" s="1207"/>
      <c r="BO61" s="1207"/>
      <c r="BP61" s="1207"/>
      <c r="BQ61" s="1207"/>
      <c r="BR61" s="1207"/>
      <c r="BS61" s="1207"/>
      <c r="BT61" s="1207"/>
      <c r="BU61" s="1207"/>
      <c r="BV61" s="1207"/>
      <c r="BW61" s="1207"/>
      <c r="BX61" s="1207"/>
      <c r="BY61" s="1207"/>
      <c r="BZ61" s="1207"/>
      <c r="CA61" s="1207"/>
      <c r="CB61" s="1207"/>
      <c r="CC61" s="1207"/>
      <c r="CD61" s="1207"/>
      <c r="CE61" s="1207"/>
      <c r="CF61" s="1207"/>
    </row>
    <row r="62" spans="1:84" ht="105" x14ac:dyDescent="0.25">
      <c r="A62" s="1355">
        <v>2022063</v>
      </c>
      <c r="B62" s="1172">
        <v>7655</v>
      </c>
      <c r="C62" s="1356" t="s">
        <v>668</v>
      </c>
      <c r="D62" s="1190" t="s">
        <v>689</v>
      </c>
      <c r="E62" s="1174" t="s">
        <v>800</v>
      </c>
      <c r="F62" s="1380" t="s">
        <v>801</v>
      </c>
      <c r="G62" s="1381">
        <v>44630</v>
      </c>
      <c r="H62" s="1381">
        <v>44630</v>
      </c>
      <c r="I62" s="1176">
        <v>4</v>
      </c>
      <c r="J62" s="1176" t="s">
        <v>699</v>
      </c>
      <c r="K62" s="1177" t="s">
        <v>674</v>
      </c>
      <c r="L62" s="1178" t="s">
        <v>802</v>
      </c>
      <c r="M62" s="1179">
        <f>20000000-1622500-8377500</f>
        <v>10000000</v>
      </c>
      <c r="N62" s="1382" t="s">
        <v>781</v>
      </c>
      <c r="O62" s="1174" t="s">
        <v>771</v>
      </c>
      <c r="P62" s="1207" t="s">
        <v>678</v>
      </c>
      <c r="Q62" s="1163"/>
      <c r="R62" s="1269">
        <v>0</v>
      </c>
      <c r="S62" s="1357"/>
      <c r="T62" s="1357">
        <f>+Tabla16[[#This Row],[CDPS A 31 JULIO 2022]]-Tabla16[[#This Row],[CDP]]</f>
        <v>0</v>
      </c>
      <c r="U62" s="1357"/>
      <c r="V62" s="1357"/>
      <c r="W62" s="1357"/>
      <c r="X62" s="1207"/>
      <c r="Y62" s="1207"/>
      <c r="Z62" s="1207"/>
      <c r="AA62" s="1207"/>
      <c r="AB62" s="1207"/>
      <c r="AC62" s="1207"/>
      <c r="AD62" s="1207"/>
      <c r="AE62" s="1207"/>
      <c r="AF62" s="1207"/>
      <c r="AG62" s="1207"/>
      <c r="AH62" s="1207"/>
      <c r="AI62" s="1207"/>
      <c r="AJ62" s="1207"/>
      <c r="AK62" s="1207"/>
      <c r="AL62" s="1207"/>
      <c r="AM62" s="1207"/>
      <c r="AN62" s="1207"/>
      <c r="AO62" s="1207"/>
      <c r="AP62" s="1207"/>
      <c r="AQ62" s="1207"/>
      <c r="AR62" s="1207"/>
      <c r="AS62" s="1207"/>
      <c r="AT62" s="1207"/>
      <c r="AU62" s="1207"/>
      <c r="AV62" s="1207"/>
      <c r="AW62" s="1207"/>
      <c r="AX62" s="1207"/>
      <c r="AY62" s="1207"/>
      <c r="AZ62" s="1207"/>
      <c r="BA62" s="1207"/>
      <c r="BB62" s="1207"/>
      <c r="BC62" s="1207"/>
      <c r="BD62" s="1207"/>
      <c r="BE62" s="1207"/>
      <c r="BF62" s="1207"/>
      <c r="BG62" s="1207"/>
      <c r="BH62" s="1207"/>
      <c r="BI62" s="1207"/>
      <c r="BJ62" s="1207"/>
      <c r="BK62" s="1207"/>
      <c r="BL62" s="1207"/>
      <c r="BM62" s="1207"/>
      <c r="BN62" s="1207"/>
      <c r="BO62" s="1207"/>
      <c r="BP62" s="1207"/>
      <c r="BQ62" s="1207"/>
      <c r="BR62" s="1207"/>
      <c r="BS62" s="1207"/>
      <c r="BT62" s="1207"/>
      <c r="BU62" s="1207"/>
      <c r="BV62" s="1207"/>
      <c r="BW62" s="1207"/>
      <c r="BX62" s="1207"/>
      <c r="BY62" s="1207"/>
      <c r="BZ62" s="1207"/>
      <c r="CA62" s="1207"/>
      <c r="CB62" s="1207"/>
      <c r="CC62" s="1207"/>
      <c r="CD62" s="1207"/>
      <c r="CE62" s="1207"/>
      <c r="CF62" s="1207"/>
    </row>
    <row r="63" spans="1:84" ht="105" x14ac:dyDescent="0.25">
      <c r="A63" s="1355">
        <v>2022064</v>
      </c>
      <c r="B63" s="1172">
        <v>7655</v>
      </c>
      <c r="C63" s="1356" t="s">
        <v>668</v>
      </c>
      <c r="D63" s="1190" t="s">
        <v>689</v>
      </c>
      <c r="E63" s="1174" t="s">
        <v>803</v>
      </c>
      <c r="F63" s="1380" t="s">
        <v>804</v>
      </c>
      <c r="G63" s="1381">
        <v>44576</v>
      </c>
      <c r="H63" s="1381">
        <v>44576</v>
      </c>
      <c r="I63" s="1176" t="s">
        <v>97</v>
      </c>
      <c r="J63" s="1176" t="s">
        <v>687</v>
      </c>
      <c r="K63" s="1177" t="s">
        <v>674</v>
      </c>
      <c r="L63" s="1178" t="s">
        <v>675</v>
      </c>
      <c r="M63" s="1179">
        <v>20000000</v>
      </c>
      <c r="N63" s="1382" t="s">
        <v>781</v>
      </c>
      <c r="O63" s="1174" t="s">
        <v>771</v>
      </c>
      <c r="P63" s="1207" t="s">
        <v>748</v>
      </c>
      <c r="Q63" s="1163"/>
      <c r="R63" s="1269">
        <v>16142292</v>
      </c>
      <c r="S63" s="1357">
        <v>16142292</v>
      </c>
      <c r="T63" s="1357">
        <f>+Tabla16[[#This Row],[CDPS A 31 JULIO 2022]]-Tabla16[[#This Row],[CDP]]</f>
        <v>0</v>
      </c>
      <c r="U63" s="1357">
        <v>16142292</v>
      </c>
      <c r="V63" s="1357"/>
      <c r="W63" s="1357"/>
      <c r="X63" s="1207"/>
      <c r="Y63" s="1207"/>
      <c r="Z63" s="1207"/>
      <c r="AA63" s="1207"/>
      <c r="AB63" s="1207"/>
      <c r="AC63" s="1207"/>
      <c r="AD63" s="1207"/>
      <c r="AE63" s="1207"/>
      <c r="AF63" s="1207"/>
      <c r="AG63" s="1207"/>
      <c r="AH63" s="1207"/>
      <c r="AI63" s="1207"/>
      <c r="AJ63" s="1207"/>
      <c r="AK63" s="1207"/>
      <c r="AL63" s="1207"/>
      <c r="AM63" s="1207"/>
      <c r="AN63" s="1207"/>
      <c r="AO63" s="1207"/>
      <c r="AP63" s="1207"/>
      <c r="AQ63" s="1207"/>
      <c r="AR63" s="1207"/>
      <c r="AS63" s="1207"/>
      <c r="AT63" s="1207"/>
      <c r="AU63" s="1207"/>
      <c r="AV63" s="1207"/>
      <c r="AW63" s="1207"/>
      <c r="AX63" s="1207"/>
      <c r="AY63" s="1207"/>
      <c r="AZ63" s="1207"/>
      <c r="BA63" s="1207"/>
      <c r="BB63" s="1207"/>
      <c r="BC63" s="1207"/>
      <c r="BD63" s="1207"/>
      <c r="BE63" s="1207"/>
      <c r="BF63" s="1207"/>
      <c r="BG63" s="1207"/>
      <c r="BH63" s="1207"/>
      <c r="BI63" s="1207"/>
      <c r="BJ63" s="1207"/>
      <c r="BK63" s="1207"/>
      <c r="BL63" s="1207"/>
      <c r="BM63" s="1207"/>
      <c r="BN63" s="1207"/>
      <c r="BO63" s="1207"/>
      <c r="BP63" s="1207"/>
      <c r="BQ63" s="1207"/>
      <c r="BR63" s="1207"/>
      <c r="BS63" s="1207"/>
      <c r="BT63" s="1207"/>
      <c r="BU63" s="1207"/>
      <c r="BV63" s="1207"/>
      <c r="BW63" s="1207"/>
      <c r="BX63" s="1207"/>
      <c r="BY63" s="1207"/>
      <c r="BZ63" s="1207"/>
      <c r="CA63" s="1207"/>
      <c r="CB63" s="1207"/>
      <c r="CC63" s="1207"/>
      <c r="CD63" s="1207"/>
      <c r="CE63" s="1207"/>
      <c r="CF63" s="1207"/>
    </row>
    <row r="64" spans="1:84" ht="105" x14ac:dyDescent="0.25">
      <c r="A64" s="1355">
        <v>2022065</v>
      </c>
      <c r="B64" s="1172">
        <v>7655</v>
      </c>
      <c r="C64" s="1356" t="s">
        <v>668</v>
      </c>
      <c r="D64" s="1190" t="s">
        <v>689</v>
      </c>
      <c r="E64" s="1174" t="s">
        <v>803</v>
      </c>
      <c r="F64" s="1380" t="s">
        <v>805</v>
      </c>
      <c r="G64" s="1381">
        <v>44607</v>
      </c>
      <c r="H64" s="1381">
        <v>44607</v>
      </c>
      <c r="I64" s="1176">
        <v>10</v>
      </c>
      <c r="J64" s="1176" t="s">
        <v>687</v>
      </c>
      <c r="K64" s="1177" t="s">
        <v>674</v>
      </c>
      <c r="L64" s="1178" t="s">
        <v>675</v>
      </c>
      <c r="M64" s="1179">
        <v>140000000</v>
      </c>
      <c r="N64" s="1382" t="s">
        <v>781</v>
      </c>
      <c r="O64" s="1174" t="s">
        <v>771</v>
      </c>
      <c r="P64" s="1207" t="s">
        <v>678</v>
      </c>
      <c r="Q64" s="1163"/>
      <c r="R64" s="1269">
        <v>95712773</v>
      </c>
      <c r="S64" s="1357">
        <v>95712773</v>
      </c>
      <c r="T64" s="1357">
        <f>+Tabla16[[#This Row],[CDPS A 31 JULIO 2022]]-Tabla16[[#This Row],[CDP]]</f>
        <v>0</v>
      </c>
      <c r="U64" s="1357">
        <v>95712773</v>
      </c>
      <c r="V64" s="1357"/>
      <c r="W64" s="1357"/>
      <c r="X64" s="1207"/>
      <c r="Y64" s="1207"/>
      <c r="Z64" s="1207"/>
      <c r="AA64" s="1207"/>
      <c r="AB64" s="1207"/>
      <c r="AC64" s="1207"/>
      <c r="AD64" s="1207"/>
      <c r="AE64" s="1207"/>
      <c r="AF64" s="1207"/>
      <c r="AG64" s="1207"/>
      <c r="AH64" s="1207"/>
      <c r="AI64" s="1207"/>
      <c r="AJ64" s="1207"/>
      <c r="AK64" s="1207"/>
      <c r="AL64" s="1207"/>
      <c r="AM64" s="1207"/>
      <c r="AN64" s="1207"/>
      <c r="AO64" s="1207"/>
      <c r="AP64" s="1207"/>
      <c r="AQ64" s="1207"/>
      <c r="AR64" s="1207"/>
      <c r="AS64" s="1207"/>
      <c r="AT64" s="1207"/>
      <c r="AU64" s="1207"/>
      <c r="AV64" s="1207"/>
      <c r="AW64" s="1207"/>
      <c r="AX64" s="1207"/>
      <c r="AY64" s="1207"/>
      <c r="AZ64" s="1207"/>
      <c r="BA64" s="1207"/>
      <c r="BB64" s="1207"/>
      <c r="BC64" s="1207"/>
      <c r="BD64" s="1207"/>
      <c r="BE64" s="1207"/>
      <c r="BF64" s="1207"/>
      <c r="BG64" s="1207"/>
      <c r="BH64" s="1207"/>
      <c r="BI64" s="1207"/>
      <c r="BJ64" s="1207"/>
      <c r="BK64" s="1207"/>
      <c r="BL64" s="1207"/>
      <c r="BM64" s="1207"/>
      <c r="BN64" s="1207"/>
      <c r="BO64" s="1207"/>
      <c r="BP64" s="1207"/>
      <c r="BQ64" s="1207"/>
      <c r="BR64" s="1207"/>
      <c r="BS64" s="1207"/>
      <c r="BT64" s="1207"/>
      <c r="BU64" s="1207"/>
      <c r="BV64" s="1207"/>
      <c r="BW64" s="1207"/>
      <c r="BX64" s="1207"/>
      <c r="BY64" s="1207"/>
      <c r="BZ64" s="1207"/>
      <c r="CA64" s="1207"/>
      <c r="CB64" s="1207"/>
      <c r="CC64" s="1207"/>
      <c r="CD64" s="1207"/>
      <c r="CE64" s="1207"/>
      <c r="CF64" s="1207"/>
    </row>
    <row r="65" spans="1:84" ht="105" x14ac:dyDescent="0.25">
      <c r="A65" s="1355">
        <v>2022068</v>
      </c>
      <c r="B65" s="1172">
        <v>7655</v>
      </c>
      <c r="C65" s="1356" t="s">
        <v>668</v>
      </c>
      <c r="D65" s="1190" t="s">
        <v>689</v>
      </c>
      <c r="E65" s="1174" t="s">
        <v>778</v>
      </c>
      <c r="F65" s="1380" t="s">
        <v>806</v>
      </c>
      <c r="G65" s="1381">
        <v>44575</v>
      </c>
      <c r="H65" s="1381">
        <v>44575</v>
      </c>
      <c r="I65" s="1176">
        <v>11.5</v>
      </c>
      <c r="J65" s="1176" t="s">
        <v>673</v>
      </c>
      <c r="K65" s="1177" t="s">
        <v>674</v>
      </c>
      <c r="L65" s="1178" t="s">
        <v>675</v>
      </c>
      <c r="M65" s="1179">
        <v>44275000</v>
      </c>
      <c r="N65" s="1382" t="s">
        <v>781</v>
      </c>
      <c r="O65" s="1174" t="s">
        <v>771</v>
      </c>
      <c r="P65" s="1207" t="s">
        <v>678</v>
      </c>
      <c r="Q65" s="1163"/>
      <c r="R65" s="1269">
        <v>44275000</v>
      </c>
      <c r="S65" s="1357">
        <v>44275000</v>
      </c>
      <c r="T65" s="1357">
        <f>+Tabla16[[#This Row],[CDPS A 31 JULIO 2022]]-Tabla16[[#This Row],[CDP]]</f>
        <v>0</v>
      </c>
      <c r="U65" s="1357">
        <v>44275000</v>
      </c>
      <c r="V65" s="1357">
        <v>15400000</v>
      </c>
      <c r="W65" s="135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07"/>
      <c r="BF65" s="1207"/>
      <c r="BG65" s="1207"/>
      <c r="BH65" s="1207"/>
      <c r="BI65" s="1207"/>
      <c r="BJ65" s="1207"/>
      <c r="BK65" s="1207"/>
      <c r="BL65" s="1207"/>
      <c r="BM65" s="1207"/>
      <c r="BN65" s="1207"/>
      <c r="BO65" s="1207"/>
      <c r="BP65" s="1207"/>
      <c r="BQ65" s="1207"/>
      <c r="BR65" s="1207"/>
      <c r="BS65" s="1207"/>
      <c r="BT65" s="1207"/>
      <c r="BU65" s="1207"/>
      <c r="BV65" s="1207"/>
      <c r="BW65" s="1207"/>
      <c r="BX65" s="1207"/>
      <c r="BY65" s="1207"/>
      <c r="BZ65" s="1207"/>
      <c r="CA65" s="1207"/>
      <c r="CB65" s="1207"/>
      <c r="CC65" s="1207"/>
      <c r="CD65" s="1207"/>
      <c r="CE65" s="1207"/>
      <c r="CF65" s="1207"/>
    </row>
    <row r="66" spans="1:84" ht="105" x14ac:dyDescent="0.25">
      <c r="A66" s="1355">
        <v>2022069</v>
      </c>
      <c r="B66" s="1172">
        <v>7655</v>
      </c>
      <c r="C66" s="1356" t="s">
        <v>668</v>
      </c>
      <c r="D66" s="1190" t="s">
        <v>689</v>
      </c>
      <c r="E66" s="1174" t="s">
        <v>778</v>
      </c>
      <c r="F66" s="1380" t="s">
        <v>807</v>
      </c>
      <c r="G66" s="1381">
        <v>44575</v>
      </c>
      <c r="H66" s="1381">
        <v>44575</v>
      </c>
      <c r="I66" s="1176">
        <v>11.5</v>
      </c>
      <c r="J66" s="1176" t="s">
        <v>673</v>
      </c>
      <c r="K66" s="1177" t="s">
        <v>674</v>
      </c>
      <c r="L66" s="1178" t="s">
        <v>780</v>
      </c>
      <c r="M66" s="1179">
        <v>47150000</v>
      </c>
      <c r="N66" s="1382" t="s">
        <v>781</v>
      </c>
      <c r="O66" s="1174" t="s">
        <v>771</v>
      </c>
      <c r="P66" s="1207" t="s">
        <v>678</v>
      </c>
      <c r="Q66" s="1163"/>
      <c r="R66" s="1269">
        <v>47150000</v>
      </c>
      <c r="S66" s="1357">
        <v>47150000</v>
      </c>
      <c r="T66" s="1357">
        <f>+Tabla16[[#This Row],[CDPS A 31 JULIO 2022]]-Tabla16[[#This Row],[CDP]]</f>
        <v>0</v>
      </c>
      <c r="U66" s="1357">
        <v>47150000</v>
      </c>
      <c r="V66" s="1357">
        <v>17356667</v>
      </c>
      <c r="W66" s="135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07"/>
      <c r="BF66" s="1207"/>
      <c r="BG66" s="1207"/>
      <c r="BH66" s="1207"/>
      <c r="BI66" s="1207"/>
      <c r="BJ66" s="1207"/>
      <c r="BK66" s="1207"/>
      <c r="BL66" s="1207"/>
      <c r="BM66" s="1207"/>
      <c r="BN66" s="1207"/>
      <c r="BO66" s="1207"/>
      <c r="BP66" s="1207"/>
      <c r="BQ66" s="1207"/>
      <c r="BR66" s="1207"/>
      <c r="BS66" s="1207"/>
      <c r="BT66" s="1207"/>
      <c r="BU66" s="1207"/>
      <c r="BV66" s="1207"/>
      <c r="BW66" s="1207"/>
      <c r="BX66" s="1207"/>
      <c r="BY66" s="1207"/>
      <c r="BZ66" s="1207"/>
      <c r="CA66" s="1207"/>
      <c r="CB66" s="1207"/>
      <c r="CC66" s="1207"/>
      <c r="CD66" s="1207"/>
      <c r="CE66" s="1207"/>
      <c r="CF66" s="1207"/>
    </row>
    <row r="67" spans="1:84" ht="105" x14ac:dyDescent="0.25">
      <c r="A67" s="1355">
        <v>2022070</v>
      </c>
      <c r="B67" s="1172">
        <v>7655</v>
      </c>
      <c r="C67" s="1356" t="s">
        <v>668</v>
      </c>
      <c r="D67" s="1190" t="s">
        <v>689</v>
      </c>
      <c r="E67" s="1174" t="s">
        <v>778</v>
      </c>
      <c r="F67" s="1380" t="s">
        <v>807</v>
      </c>
      <c r="G67" s="1381">
        <v>44575</v>
      </c>
      <c r="H67" s="1381">
        <v>44575</v>
      </c>
      <c r="I67" s="1176">
        <v>11.5</v>
      </c>
      <c r="J67" s="1176" t="s">
        <v>673</v>
      </c>
      <c r="K67" s="1177" t="s">
        <v>674</v>
      </c>
      <c r="L67" s="1178" t="s">
        <v>675</v>
      </c>
      <c r="M67" s="1179">
        <v>63250000</v>
      </c>
      <c r="N67" s="1382" t="s">
        <v>781</v>
      </c>
      <c r="O67" s="1174" t="s">
        <v>771</v>
      </c>
      <c r="P67" s="1207" t="s">
        <v>678</v>
      </c>
      <c r="Q67" s="1163"/>
      <c r="R67" s="1269">
        <v>63250000</v>
      </c>
      <c r="S67" s="1357">
        <v>63250000</v>
      </c>
      <c r="T67" s="1357">
        <f>+Tabla16[[#This Row],[CDPS A 31 JULIO 2022]]-Tabla16[[#This Row],[CDP]]</f>
        <v>0</v>
      </c>
      <c r="U67" s="1357">
        <v>63250000</v>
      </c>
      <c r="V67" s="1357">
        <v>23283333</v>
      </c>
      <c r="W67" s="135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07"/>
      <c r="BF67" s="1207"/>
      <c r="BG67" s="1207"/>
      <c r="BH67" s="1207"/>
      <c r="BI67" s="1207"/>
      <c r="BJ67" s="1207"/>
      <c r="BK67" s="1207"/>
      <c r="BL67" s="1207"/>
      <c r="BM67" s="1207"/>
      <c r="BN67" s="1207"/>
      <c r="BO67" s="1207"/>
      <c r="BP67" s="1207"/>
      <c r="BQ67" s="1207"/>
      <c r="BR67" s="1207"/>
      <c r="BS67" s="1207"/>
      <c r="BT67" s="1207"/>
      <c r="BU67" s="1207"/>
      <c r="BV67" s="1207"/>
      <c r="BW67" s="1207"/>
      <c r="BX67" s="1207"/>
      <c r="BY67" s="1207"/>
      <c r="BZ67" s="1207"/>
      <c r="CA67" s="1207"/>
      <c r="CB67" s="1207"/>
      <c r="CC67" s="1207"/>
      <c r="CD67" s="1207"/>
      <c r="CE67" s="1207"/>
      <c r="CF67" s="1207"/>
    </row>
    <row r="68" spans="1:84" ht="105" x14ac:dyDescent="0.25">
      <c r="A68" s="1355">
        <v>2022071</v>
      </c>
      <c r="B68" s="1172">
        <v>7655</v>
      </c>
      <c r="C68" s="1356" t="s">
        <v>668</v>
      </c>
      <c r="D68" s="1190" t="s">
        <v>689</v>
      </c>
      <c r="E68" s="1174" t="s">
        <v>778</v>
      </c>
      <c r="F68" s="1380" t="s">
        <v>807</v>
      </c>
      <c r="G68" s="1381">
        <v>44575</v>
      </c>
      <c r="H68" s="1381">
        <v>44575</v>
      </c>
      <c r="I68" s="1176">
        <v>11.5</v>
      </c>
      <c r="J68" s="1176" t="s">
        <v>673</v>
      </c>
      <c r="K68" s="1177" t="s">
        <v>674</v>
      </c>
      <c r="L68" s="1178" t="s">
        <v>675</v>
      </c>
      <c r="M68" s="1179">
        <v>63250000</v>
      </c>
      <c r="N68" s="1382" t="s">
        <v>781</v>
      </c>
      <c r="O68" s="1174" t="s">
        <v>771</v>
      </c>
      <c r="P68" s="1207" t="s">
        <v>678</v>
      </c>
      <c r="Q68" s="1163"/>
      <c r="R68" s="1269">
        <v>63250000</v>
      </c>
      <c r="S68" s="1357">
        <v>63250000</v>
      </c>
      <c r="T68" s="1357">
        <f>+Tabla16[[#This Row],[CDPS A 31 JULIO 2022]]-Tabla16[[#This Row],[CDP]]</f>
        <v>0</v>
      </c>
      <c r="U68" s="1357">
        <v>63250000</v>
      </c>
      <c r="V68" s="1357">
        <v>23283333</v>
      </c>
      <c r="W68" s="1357"/>
      <c r="X68" s="1207"/>
      <c r="Y68" s="1207"/>
      <c r="Z68" s="1207"/>
      <c r="AA68" s="1207"/>
      <c r="AB68" s="1207"/>
      <c r="AC68" s="1207"/>
      <c r="AD68" s="1207"/>
      <c r="AE68" s="1207"/>
      <c r="AF68" s="1207"/>
      <c r="AG68" s="1207"/>
      <c r="AH68" s="1207"/>
      <c r="AI68" s="1207"/>
      <c r="AJ68" s="1207"/>
      <c r="AK68" s="1207"/>
      <c r="AL68" s="1207"/>
      <c r="AM68" s="1207"/>
      <c r="AN68" s="1207"/>
      <c r="AO68" s="1207"/>
      <c r="AP68" s="1207"/>
      <c r="AQ68" s="1207"/>
      <c r="AR68" s="1207"/>
      <c r="AS68" s="1207"/>
      <c r="AT68" s="1207"/>
      <c r="AU68" s="1207"/>
      <c r="AV68" s="1207"/>
      <c r="AW68" s="1207"/>
      <c r="AX68" s="1207"/>
      <c r="AY68" s="1207"/>
      <c r="AZ68" s="1207"/>
      <c r="BA68" s="1207"/>
      <c r="BB68" s="1207"/>
      <c r="BC68" s="1207"/>
      <c r="BD68" s="1207"/>
      <c r="BE68" s="1207"/>
      <c r="BF68" s="1207"/>
      <c r="BG68" s="1207"/>
      <c r="BH68" s="1207"/>
      <c r="BI68" s="1207"/>
      <c r="BJ68" s="1207"/>
      <c r="BK68" s="1207"/>
      <c r="BL68" s="1207"/>
      <c r="BM68" s="1207"/>
      <c r="BN68" s="1207"/>
      <c r="BO68" s="1207"/>
      <c r="BP68" s="1207"/>
      <c r="BQ68" s="1207"/>
      <c r="BR68" s="1207"/>
      <c r="BS68" s="1207"/>
      <c r="BT68" s="1207"/>
      <c r="BU68" s="1207"/>
      <c r="BV68" s="1207"/>
      <c r="BW68" s="1207"/>
      <c r="BX68" s="1207"/>
      <c r="BY68" s="1207"/>
      <c r="BZ68" s="1207"/>
      <c r="CA68" s="1207"/>
      <c r="CB68" s="1207"/>
      <c r="CC68" s="1207"/>
      <c r="CD68" s="1207"/>
      <c r="CE68" s="1207"/>
      <c r="CF68" s="1207"/>
    </row>
    <row r="69" spans="1:84" ht="105" x14ac:dyDescent="0.25">
      <c r="A69" s="1355">
        <v>2022072</v>
      </c>
      <c r="B69" s="1172">
        <v>7655</v>
      </c>
      <c r="C69" s="1356" t="s">
        <v>668</v>
      </c>
      <c r="D69" s="1190" t="s">
        <v>689</v>
      </c>
      <c r="E69" s="1174" t="s">
        <v>778</v>
      </c>
      <c r="F69" s="1380" t="s">
        <v>808</v>
      </c>
      <c r="G69" s="1381">
        <v>44575</v>
      </c>
      <c r="H69" s="1381">
        <v>44575</v>
      </c>
      <c r="I69" s="1176">
        <v>6</v>
      </c>
      <c r="J69" s="1176" t="s">
        <v>673</v>
      </c>
      <c r="K69" s="1177" t="s">
        <v>674</v>
      </c>
      <c r="L69" s="1178" t="s">
        <v>675</v>
      </c>
      <c r="M69" s="1179">
        <v>16500000</v>
      </c>
      <c r="N69" s="1382" t="s">
        <v>781</v>
      </c>
      <c r="O69" s="1174" t="s">
        <v>771</v>
      </c>
      <c r="P69" s="1207" t="s">
        <v>678</v>
      </c>
      <c r="Q69" s="1163"/>
      <c r="R69" s="1269">
        <v>16500000</v>
      </c>
      <c r="S69" s="1357">
        <v>16500000</v>
      </c>
      <c r="T69" s="1357">
        <f>+Tabla16[[#This Row],[CDPS A 31 JULIO 2022]]-Tabla16[[#This Row],[CDP]]</f>
        <v>0</v>
      </c>
      <c r="U69" s="1357">
        <v>16500000</v>
      </c>
      <c r="V69" s="1357">
        <v>11916667</v>
      </c>
      <c r="W69" s="1357"/>
      <c r="X69" s="1207"/>
      <c r="Y69" s="1207"/>
      <c r="Z69" s="1207"/>
      <c r="AA69" s="1207"/>
      <c r="AB69" s="1207"/>
      <c r="AC69" s="1207"/>
      <c r="AD69" s="1207"/>
      <c r="AE69" s="1207"/>
      <c r="AF69" s="1207"/>
      <c r="AG69" s="1207"/>
      <c r="AH69" s="1207"/>
      <c r="AI69" s="1207"/>
      <c r="AJ69" s="1207"/>
      <c r="AK69" s="1207"/>
      <c r="AL69" s="1207"/>
      <c r="AM69" s="1207"/>
      <c r="AN69" s="1207"/>
      <c r="AO69" s="1207"/>
      <c r="AP69" s="1207"/>
      <c r="AQ69" s="1207"/>
      <c r="AR69" s="1207"/>
      <c r="AS69" s="1207"/>
      <c r="AT69" s="1207"/>
      <c r="AU69" s="1207"/>
      <c r="AV69" s="1207"/>
      <c r="AW69" s="1207"/>
      <c r="AX69" s="1207"/>
      <c r="AY69" s="1207"/>
      <c r="AZ69" s="1207"/>
      <c r="BA69" s="1207"/>
      <c r="BB69" s="1207"/>
      <c r="BC69" s="1207"/>
      <c r="BD69" s="1207"/>
      <c r="BE69" s="1207"/>
      <c r="BF69" s="1207"/>
      <c r="BG69" s="1207"/>
      <c r="BH69" s="1207"/>
      <c r="BI69" s="1207"/>
      <c r="BJ69" s="1207"/>
      <c r="BK69" s="1207"/>
      <c r="BL69" s="1207"/>
      <c r="BM69" s="1207"/>
      <c r="BN69" s="1207"/>
      <c r="BO69" s="1207"/>
      <c r="BP69" s="1207"/>
      <c r="BQ69" s="1207"/>
      <c r="BR69" s="1207"/>
      <c r="BS69" s="1207"/>
      <c r="BT69" s="1207"/>
      <c r="BU69" s="1207"/>
      <c r="BV69" s="1207"/>
      <c r="BW69" s="1207"/>
      <c r="BX69" s="1207"/>
      <c r="BY69" s="1207"/>
      <c r="BZ69" s="1207"/>
      <c r="CA69" s="1207"/>
      <c r="CB69" s="1207"/>
      <c r="CC69" s="1207"/>
      <c r="CD69" s="1207"/>
      <c r="CE69" s="1207"/>
      <c r="CF69" s="1207"/>
    </row>
    <row r="70" spans="1:84" ht="105" x14ac:dyDescent="0.25">
      <c r="A70" s="1355">
        <v>2022073</v>
      </c>
      <c r="B70" s="1172">
        <v>7655</v>
      </c>
      <c r="C70" s="1356" t="s">
        <v>668</v>
      </c>
      <c r="D70" s="1190" t="s">
        <v>689</v>
      </c>
      <c r="E70" s="1174" t="s">
        <v>778</v>
      </c>
      <c r="F70" s="1380" t="s">
        <v>807</v>
      </c>
      <c r="G70" s="1381">
        <v>44575</v>
      </c>
      <c r="H70" s="1381">
        <v>44575</v>
      </c>
      <c r="I70" s="1176">
        <v>11.5</v>
      </c>
      <c r="J70" s="1176" t="s">
        <v>673</v>
      </c>
      <c r="K70" s="1177" t="s">
        <v>674</v>
      </c>
      <c r="L70" s="1178" t="s">
        <v>675</v>
      </c>
      <c r="M70" s="1179">
        <v>63250000</v>
      </c>
      <c r="N70" s="1382" t="s">
        <v>781</v>
      </c>
      <c r="O70" s="1174" t="s">
        <v>771</v>
      </c>
      <c r="P70" s="1207" t="s">
        <v>678</v>
      </c>
      <c r="Q70" s="1163"/>
      <c r="R70" s="1269">
        <v>63250000</v>
      </c>
      <c r="S70" s="1357">
        <v>63250000</v>
      </c>
      <c r="T70" s="1357">
        <f>+Tabla16[[#This Row],[CDPS A 31 JULIO 2022]]-Tabla16[[#This Row],[CDP]]</f>
        <v>0</v>
      </c>
      <c r="U70" s="1357">
        <v>63250000</v>
      </c>
      <c r="V70" s="1357">
        <v>16500000</v>
      </c>
      <c r="W70" s="1357"/>
      <c r="X70" s="1207"/>
      <c r="Y70" s="1207"/>
      <c r="Z70" s="1207"/>
      <c r="AA70" s="1207"/>
      <c r="AB70" s="1207"/>
      <c r="AC70" s="1207"/>
      <c r="AD70" s="1207"/>
      <c r="AE70" s="1207"/>
      <c r="AF70" s="1207"/>
      <c r="AG70" s="1207"/>
      <c r="AH70" s="1207"/>
      <c r="AI70" s="1207"/>
      <c r="AJ70" s="1207"/>
      <c r="AK70" s="1207"/>
      <c r="AL70" s="1207"/>
      <c r="AM70" s="1207"/>
      <c r="AN70" s="1207"/>
      <c r="AO70" s="1207"/>
      <c r="AP70" s="1207"/>
      <c r="AQ70" s="1207"/>
      <c r="AR70" s="1207"/>
      <c r="AS70" s="1207"/>
      <c r="AT70" s="1207"/>
      <c r="AU70" s="1207"/>
      <c r="AV70" s="1207"/>
      <c r="AW70" s="1207"/>
      <c r="AX70" s="1207"/>
      <c r="AY70" s="1207"/>
      <c r="AZ70" s="1207"/>
      <c r="BA70" s="1207"/>
      <c r="BB70" s="1207"/>
      <c r="BC70" s="1207"/>
      <c r="BD70" s="1207"/>
      <c r="BE70" s="1207"/>
      <c r="BF70" s="1207"/>
      <c r="BG70" s="1207"/>
      <c r="BH70" s="1207"/>
      <c r="BI70" s="1207"/>
      <c r="BJ70" s="1207"/>
      <c r="BK70" s="1207"/>
      <c r="BL70" s="1207"/>
      <c r="BM70" s="1207"/>
      <c r="BN70" s="1207"/>
      <c r="BO70" s="1207"/>
      <c r="BP70" s="1207"/>
      <c r="BQ70" s="1207"/>
      <c r="BR70" s="1207"/>
      <c r="BS70" s="1207"/>
      <c r="BT70" s="1207"/>
      <c r="BU70" s="1207"/>
      <c r="BV70" s="1207"/>
      <c r="BW70" s="1207"/>
      <c r="BX70" s="1207"/>
      <c r="BY70" s="1207"/>
      <c r="BZ70" s="1207"/>
      <c r="CA70" s="1207"/>
      <c r="CB70" s="1207"/>
      <c r="CC70" s="1207"/>
      <c r="CD70" s="1207"/>
      <c r="CE70" s="1207"/>
      <c r="CF70" s="1207"/>
    </row>
    <row r="71" spans="1:84" ht="105" x14ac:dyDescent="0.25">
      <c r="A71" s="1355">
        <v>2022074</v>
      </c>
      <c r="B71" s="1172">
        <v>7655</v>
      </c>
      <c r="C71" s="1356" t="s">
        <v>668</v>
      </c>
      <c r="D71" s="1190" t="s">
        <v>689</v>
      </c>
      <c r="E71" s="1174" t="s">
        <v>778</v>
      </c>
      <c r="F71" s="1380" t="s">
        <v>807</v>
      </c>
      <c r="G71" s="1381">
        <v>44575</v>
      </c>
      <c r="H71" s="1381">
        <v>44575</v>
      </c>
      <c r="I71" s="1176">
        <v>11.5</v>
      </c>
      <c r="J71" s="1176" t="s">
        <v>673</v>
      </c>
      <c r="K71" s="1177" t="s">
        <v>674</v>
      </c>
      <c r="L71" s="1178" t="s">
        <v>675</v>
      </c>
      <c r="M71" s="1179">
        <v>58650000</v>
      </c>
      <c r="N71" s="1382" t="s">
        <v>781</v>
      </c>
      <c r="O71" s="1174" t="s">
        <v>771</v>
      </c>
      <c r="P71" s="1207" t="s">
        <v>678</v>
      </c>
      <c r="Q71" s="1163"/>
      <c r="R71" s="1269">
        <v>58650000</v>
      </c>
      <c r="S71" s="1357">
        <v>58650000</v>
      </c>
      <c r="T71" s="1357">
        <f>+Tabla16[[#This Row],[CDPS A 31 JULIO 2022]]-Tabla16[[#This Row],[CDP]]</f>
        <v>0</v>
      </c>
      <c r="U71" s="1357">
        <v>58650000</v>
      </c>
      <c r="V71" s="1357">
        <v>20400000</v>
      </c>
      <c r="W71" s="1357"/>
      <c r="X71" s="1207"/>
      <c r="Y71" s="1207"/>
      <c r="Z71" s="1207"/>
      <c r="AA71" s="1207"/>
      <c r="AB71" s="1207"/>
      <c r="AC71" s="1207"/>
      <c r="AD71" s="1207"/>
      <c r="AE71" s="1207"/>
      <c r="AF71" s="1207"/>
      <c r="AG71" s="1207"/>
      <c r="AH71" s="1207"/>
      <c r="AI71" s="1207"/>
      <c r="AJ71" s="1207"/>
      <c r="AK71" s="1207"/>
      <c r="AL71" s="1207"/>
      <c r="AM71" s="1207"/>
      <c r="AN71" s="1207"/>
      <c r="AO71" s="1207"/>
      <c r="AP71" s="1207"/>
      <c r="AQ71" s="1207"/>
      <c r="AR71" s="1207"/>
      <c r="AS71" s="1207"/>
      <c r="AT71" s="1207"/>
      <c r="AU71" s="1207"/>
      <c r="AV71" s="1207"/>
      <c r="AW71" s="1207"/>
      <c r="AX71" s="1207"/>
      <c r="AY71" s="1207"/>
      <c r="AZ71" s="1207"/>
      <c r="BA71" s="1207"/>
      <c r="BB71" s="1207"/>
      <c r="BC71" s="1207"/>
      <c r="BD71" s="1207"/>
      <c r="BE71" s="1207"/>
      <c r="BF71" s="1207"/>
      <c r="BG71" s="1207"/>
      <c r="BH71" s="1207"/>
      <c r="BI71" s="1207"/>
      <c r="BJ71" s="1207"/>
      <c r="BK71" s="1207"/>
      <c r="BL71" s="1207"/>
      <c r="BM71" s="1207"/>
      <c r="BN71" s="1207"/>
      <c r="BO71" s="1207"/>
      <c r="BP71" s="1207"/>
      <c r="BQ71" s="1207"/>
      <c r="BR71" s="1207"/>
      <c r="BS71" s="1207"/>
      <c r="BT71" s="1207"/>
      <c r="BU71" s="1207"/>
      <c r="BV71" s="1207"/>
      <c r="BW71" s="1207"/>
      <c r="BX71" s="1207"/>
      <c r="BY71" s="1207"/>
      <c r="BZ71" s="1207"/>
      <c r="CA71" s="1207"/>
      <c r="CB71" s="1207"/>
      <c r="CC71" s="1207"/>
      <c r="CD71" s="1207"/>
      <c r="CE71" s="1207"/>
      <c r="CF71" s="1207"/>
    </row>
    <row r="72" spans="1:84" ht="105" x14ac:dyDescent="0.25">
      <c r="A72" s="1355">
        <v>2022075</v>
      </c>
      <c r="B72" s="1172">
        <v>7655</v>
      </c>
      <c r="C72" s="1356" t="s">
        <v>668</v>
      </c>
      <c r="D72" s="1190" t="s">
        <v>689</v>
      </c>
      <c r="E72" s="1174" t="s">
        <v>778</v>
      </c>
      <c r="F72" s="1380" t="s">
        <v>808</v>
      </c>
      <c r="G72" s="1381">
        <v>44575</v>
      </c>
      <c r="H72" s="1381">
        <v>44575</v>
      </c>
      <c r="I72" s="1176">
        <v>11.5</v>
      </c>
      <c r="J72" s="1176" t="s">
        <v>673</v>
      </c>
      <c r="K72" s="1177" t="s">
        <v>674</v>
      </c>
      <c r="L72" s="1178" t="s">
        <v>675</v>
      </c>
      <c r="M72" s="1179">
        <v>31625000</v>
      </c>
      <c r="N72" s="1382" t="s">
        <v>781</v>
      </c>
      <c r="O72" s="1174" t="s">
        <v>771</v>
      </c>
      <c r="P72" s="1207" t="s">
        <v>678</v>
      </c>
      <c r="Q72" s="1163"/>
      <c r="R72" s="1269">
        <v>31625000</v>
      </c>
      <c r="S72" s="1357">
        <v>31625000</v>
      </c>
      <c r="T72" s="1357">
        <f>+Tabla16[[#This Row],[CDPS A 31 JULIO 2022]]-Tabla16[[#This Row],[CDP]]</f>
        <v>0</v>
      </c>
      <c r="U72" s="1357">
        <v>31625000</v>
      </c>
      <c r="V72" s="1357">
        <v>11550000</v>
      </c>
      <c r="W72" s="1357"/>
      <c r="X72" s="1207"/>
      <c r="Y72" s="1207"/>
      <c r="Z72" s="1207"/>
      <c r="AA72" s="1207"/>
      <c r="AB72" s="1207"/>
      <c r="AC72" s="1207"/>
      <c r="AD72" s="1207"/>
      <c r="AE72" s="1207"/>
      <c r="AF72" s="1207"/>
      <c r="AG72" s="1207"/>
      <c r="AH72" s="1207"/>
      <c r="AI72" s="1207"/>
      <c r="AJ72" s="1207"/>
      <c r="AK72" s="1207"/>
      <c r="AL72" s="1207"/>
      <c r="AM72" s="1207"/>
      <c r="AN72" s="1207"/>
      <c r="AO72" s="1207"/>
      <c r="AP72" s="1207"/>
      <c r="AQ72" s="1207"/>
      <c r="AR72" s="1207"/>
      <c r="AS72" s="1207"/>
      <c r="AT72" s="1207"/>
      <c r="AU72" s="1207"/>
      <c r="AV72" s="1207"/>
      <c r="AW72" s="1207"/>
      <c r="AX72" s="1207"/>
      <c r="AY72" s="1207"/>
      <c r="AZ72" s="1207"/>
      <c r="BA72" s="1207"/>
      <c r="BB72" s="1207"/>
      <c r="BC72" s="1207"/>
      <c r="BD72" s="1207"/>
      <c r="BE72" s="1207"/>
      <c r="BF72" s="1207"/>
      <c r="BG72" s="1207"/>
      <c r="BH72" s="1207"/>
      <c r="BI72" s="1207"/>
      <c r="BJ72" s="1207"/>
      <c r="BK72" s="1207"/>
      <c r="BL72" s="1207"/>
      <c r="BM72" s="1207"/>
      <c r="BN72" s="1207"/>
      <c r="BO72" s="1207"/>
      <c r="BP72" s="1207"/>
      <c r="BQ72" s="1207"/>
      <c r="BR72" s="1207"/>
      <c r="BS72" s="1207"/>
      <c r="BT72" s="1207"/>
      <c r="BU72" s="1207"/>
      <c r="BV72" s="1207"/>
      <c r="BW72" s="1207"/>
      <c r="BX72" s="1207"/>
      <c r="BY72" s="1207"/>
      <c r="BZ72" s="1207"/>
      <c r="CA72" s="1207"/>
      <c r="CB72" s="1207"/>
      <c r="CC72" s="1207"/>
      <c r="CD72" s="1207"/>
      <c r="CE72" s="1207"/>
      <c r="CF72" s="1207"/>
    </row>
    <row r="73" spans="1:84" ht="105" x14ac:dyDescent="0.25">
      <c r="A73" s="1355">
        <v>2022076</v>
      </c>
      <c r="B73" s="1172">
        <v>7655</v>
      </c>
      <c r="C73" s="1356" t="s">
        <v>668</v>
      </c>
      <c r="D73" s="1190" t="s">
        <v>689</v>
      </c>
      <c r="E73" s="1174" t="s">
        <v>778</v>
      </c>
      <c r="F73" s="1380" t="s">
        <v>809</v>
      </c>
      <c r="G73" s="1381">
        <v>44575</v>
      </c>
      <c r="H73" s="1381">
        <v>44575</v>
      </c>
      <c r="I73" s="1176">
        <v>11.5</v>
      </c>
      <c r="J73" s="1176" t="s">
        <v>673</v>
      </c>
      <c r="K73" s="1177" t="s">
        <v>674</v>
      </c>
      <c r="L73" s="1178" t="s">
        <v>675</v>
      </c>
      <c r="M73" s="1179">
        <v>28175000</v>
      </c>
      <c r="N73" s="1382" t="s">
        <v>781</v>
      </c>
      <c r="O73" s="1174" t="s">
        <v>771</v>
      </c>
      <c r="P73" s="1207" t="s">
        <v>678</v>
      </c>
      <c r="Q73" s="1163"/>
      <c r="R73" s="1269">
        <v>28175000</v>
      </c>
      <c r="S73" s="1357">
        <v>28175000</v>
      </c>
      <c r="T73" s="1357">
        <f>+Tabla16[[#This Row],[CDPS A 31 JULIO 2022]]-Tabla16[[#This Row],[CDP]]</f>
        <v>0</v>
      </c>
      <c r="U73" s="1357">
        <v>28175000</v>
      </c>
      <c r="V73" s="1357">
        <v>10371667</v>
      </c>
      <c r="W73" s="1357"/>
      <c r="X73" s="1207"/>
      <c r="Y73" s="1207"/>
      <c r="Z73" s="1207"/>
      <c r="AA73" s="1207"/>
      <c r="AB73" s="1207"/>
      <c r="AC73" s="1207"/>
      <c r="AD73" s="1207"/>
      <c r="AE73" s="1207"/>
      <c r="AF73" s="1207"/>
      <c r="AG73" s="1207"/>
      <c r="AH73" s="1207"/>
      <c r="AI73" s="1207"/>
      <c r="AJ73" s="1207"/>
      <c r="AK73" s="1207"/>
      <c r="AL73" s="1207"/>
      <c r="AM73" s="1207"/>
      <c r="AN73" s="1207"/>
      <c r="AO73" s="1207"/>
      <c r="AP73" s="1207"/>
      <c r="AQ73" s="1207"/>
      <c r="AR73" s="1207"/>
      <c r="AS73" s="1207"/>
      <c r="AT73" s="1207"/>
      <c r="AU73" s="1207"/>
      <c r="AV73" s="1207"/>
      <c r="AW73" s="1207"/>
      <c r="AX73" s="1207"/>
      <c r="AY73" s="1207"/>
      <c r="AZ73" s="1207"/>
      <c r="BA73" s="1207"/>
      <c r="BB73" s="1207"/>
      <c r="BC73" s="1207"/>
      <c r="BD73" s="1207"/>
      <c r="BE73" s="1207"/>
      <c r="BF73" s="1207"/>
      <c r="BG73" s="1207"/>
      <c r="BH73" s="1207"/>
      <c r="BI73" s="1207"/>
      <c r="BJ73" s="1207"/>
      <c r="BK73" s="1207"/>
      <c r="BL73" s="1207"/>
      <c r="BM73" s="1207"/>
      <c r="BN73" s="1207"/>
      <c r="BO73" s="1207"/>
      <c r="BP73" s="1207"/>
      <c r="BQ73" s="1207"/>
      <c r="BR73" s="1207"/>
      <c r="BS73" s="1207"/>
      <c r="BT73" s="1207"/>
      <c r="BU73" s="1207"/>
      <c r="BV73" s="1207"/>
      <c r="BW73" s="1207"/>
      <c r="BX73" s="1207"/>
      <c r="BY73" s="1207"/>
      <c r="BZ73" s="1207"/>
      <c r="CA73" s="1207"/>
      <c r="CB73" s="1207"/>
      <c r="CC73" s="1207"/>
      <c r="CD73" s="1207"/>
      <c r="CE73" s="1207"/>
      <c r="CF73" s="1207"/>
    </row>
    <row r="74" spans="1:84" ht="105" x14ac:dyDescent="0.25">
      <c r="A74" s="1355">
        <v>2022077</v>
      </c>
      <c r="B74" s="1172">
        <v>7655</v>
      </c>
      <c r="C74" s="1356" t="s">
        <v>668</v>
      </c>
      <c r="D74" s="1190" t="s">
        <v>689</v>
      </c>
      <c r="E74" s="1174" t="s">
        <v>778</v>
      </c>
      <c r="F74" s="1380" t="s">
        <v>809</v>
      </c>
      <c r="G74" s="1381">
        <v>44575</v>
      </c>
      <c r="H74" s="1381">
        <v>44575</v>
      </c>
      <c r="I74" s="1176">
        <v>11.5</v>
      </c>
      <c r="J74" s="1176" t="s">
        <v>673</v>
      </c>
      <c r="K74" s="1177" t="s">
        <v>674</v>
      </c>
      <c r="L74" s="1178" t="s">
        <v>675</v>
      </c>
      <c r="M74" s="1179">
        <v>28175000</v>
      </c>
      <c r="N74" s="1382" t="s">
        <v>781</v>
      </c>
      <c r="O74" s="1174" t="s">
        <v>771</v>
      </c>
      <c r="P74" s="1207" t="s">
        <v>678</v>
      </c>
      <c r="Q74" s="1163"/>
      <c r="R74" s="1269">
        <v>28175000</v>
      </c>
      <c r="S74" s="1357">
        <v>28175000</v>
      </c>
      <c r="T74" s="1357">
        <f>+Tabla16[[#This Row],[CDPS A 31 JULIO 2022]]-Tabla16[[#This Row],[CDP]]</f>
        <v>0</v>
      </c>
      <c r="U74" s="1357">
        <v>28175000</v>
      </c>
      <c r="V74" s="1357">
        <v>10616667</v>
      </c>
      <c r="W74" s="1357"/>
      <c r="X74" s="1207"/>
      <c r="Y74" s="1207"/>
      <c r="Z74" s="1207"/>
      <c r="AA74" s="1207"/>
      <c r="AB74" s="1207"/>
      <c r="AC74" s="1207"/>
      <c r="AD74" s="1207"/>
      <c r="AE74" s="1207"/>
      <c r="AF74" s="1207"/>
      <c r="AG74" s="1207"/>
      <c r="AH74" s="1207"/>
      <c r="AI74" s="1207"/>
      <c r="AJ74" s="1207"/>
      <c r="AK74" s="1207"/>
      <c r="AL74" s="1207"/>
      <c r="AM74" s="1207"/>
      <c r="AN74" s="1207"/>
      <c r="AO74" s="1207"/>
      <c r="AP74" s="1207"/>
      <c r="AQ74" s="1207"/>
      <c r="AR74" s="1207"/>
      <c r="AS74" s="1207"/>
      <c r="AT74" s="1207"/>
      <c r="AU74" s="1207"/>
      <c r="AV74" s="1207"/>
      <c r="AW74" s="1207"/>
      <c r="AX74" s="1207"/>
      <c r="AY74" s="1207"/>
      <c r="AZ74" s="1207"/>
      <c r="BA74" s="1207"/>
      <c r="BB74" s="1207"/>
      <c r="BC74" s="1207"/>
      <c r="BD74" s="1207"/>
      <c r="BE74" s="1207"/>
      <c r="BF74" s="1207"/>
      <c r="BG74" s="1207"/>
      <c r="BH74" s="1207"/>
      <c r="BI74" s="1207"/>
      <c r="BJ74" s="1207"/>
      <c r="BK74" s="1207"/>
      <c r="BL74" s="1207"/>
      <c r="BM74" s="1207"/>
      <c r="BN74" s="1207"/>
      <c r="BO74" s="1207"/>
      <c r="BP74" s="1207"/>
      <c r="BQ74" s="1207"/>
      <c r="BR74" s="1207"/>
      <c r="BS74" s="1207"/>
      <c r="BT74" s="1207"/>
      <c r="BU74" s="1207"/>
      <c r="BV74" s="1207"/>
      <c r="BW74" s="1207"/>
      <c r="BX74" s="1207"/>
      <c r="BY74" s="1207"/>
      <c r="BZ74" s="1207"/>
      <c r="CA74" s="1207"/>
      <c r="CB74" s="1207"/>
      <c r="CC74" s="1207"/>
      <c r="CD74" s="1207"/>
      <c r="CE74" s="1207"/>
      <c r="CF74" s="1207"/>
    </row>
    <row r="75" spans="1:84" ht="105" x14ac:dyDescent="0.25">
      <c r="A75" s="1355">
        <v>2022078</v>
      </c>
      <c r="B75" s="1172">
        <v>7655</v>
      </c>
      <c r="C75" s="1356" t="s">
        <v>668</v>
      </c>
      <c r="D75" s="1190" t="s">
        <v>689</v>
      </c>
      <c r="E75" s="1174" t="s">
        <v>778</v>
      </c>
      <c r="F75" s="1380" t="s">
        <v>810</v>
      </c>
      <c r="G75" s="1381">
        <v>44575</v>
      </c>
      <c r="H75" s="1381">
        <v>44575</v>
      </c>
      <c r="I75" s="1176">
        <v>11.5</v>
      </c>
      <c r="J75" s="1176" t="s">
        <v>673</v>
      </c>
      <c r="K75" s="1177" t="s">
        <v>674</v>
      </c>
      <c r="L75" s="1178" t="s">
        <v>675</v>
      </c>
      <c r="M75" s="1179">
        <v>24150000</v>
      </c>
      <c r="N75" s="1382" t="s">
        <v>781</v>
      </c>
      <c r="O75" s="1174" t="s">
        <v>771</v>
      </c>
      <c r="P75" s="1207" t="s">
        <v>678</v>
      </c>
      <c r="Q75" s="1163"/>
      <c r="R75" s="1269">
        <v>24150000</v>
      </c>
      <c r="S75" s="1357">
        <v>24150000</v>
      </c>
      <c r="T75" s="1357">
        <f>+Tabla16[[#This Row],[CDPS A 31 JULIO 2022]]-Tabla16[[#This Row],[CDP]]</f>
        <v>0</v>
      </c>
      <c r="U75" s="1357">
        <v>24150000</v>
      </c>
      <c r="V75" s="1357">
        <v>6300000</v>
      </c>
      <c r="W75" s="1357"/>
      <c r="X75" s="1207"/>
      <c r="Y75" s="1207"/>
      <c r="Z75" s="1207"/>
      <c r="AA75" s="1207"/>
      <c r="AB75" s="1207"/>
      <c r="AC75" s="1207"/>
      <c r="AD75" s="1207"/>
      <c r="AE75" s="1207"/>
      <c r="AF75" s="1207"/>
      <c r="AG75" s="1207"/>
      <c r="AH75" s="1207"/>
      <c r="AI75" s="1207"/>
      <c r="AJ75" s="1207"/>
      <c r="AK75" s="1207"/>
      <c r="AL75" s="1207"/>
      <c r="AM75" s="1207"/>
      <c r="AN75" s="1207"/>
      <c r="AO75" s="1207"/>
      <c r="AP75" s="1207"/>
      <c r="AQ75" s="1207"/>
      <c r="AR75" s="1207"/>
      <c r="AS75" s="1207"/>
      <c r="AT75" s="1207"/>
      <c r="AU75" s="1207"/>
      <c r="AV75" s="1207"/>
      <c r="AW75" s="1207"/>
      <c r="AX75" s="1207"/>
      <c r="AY75" s="1207"/>
      <c r="AZ75" s="1207"/>
      <c r="BA75" s="1207"/>
      <c r="BB75" s="1207"/>
      <c r="BC75" s="1207"/>
      <c r="BD75" s="1207"/>
      <c r="BE75" s="1207"/>
      <c r="BF75" s="1207"/>
      <c r="BG75" s="1207"/>
      <c r="BH75" s="1207"/>
      <c r="BI75" s="1207"/>
      <c r="BJ75" s="1207"/>
      <c r="BK75" s="1207"/>
      <c r="BL75" s="1207"/>
      <c r="BM75" s="1207"/>
      <c r="BN75" s="1207"/>
      <c r="BO75" s="1207"/>
      <c r="BP75" s="1207"/>
      <c r="BQ75" s="1207"/>
      <c r="BR75" s="1207"/>
      <c r="BS75" s="1207"/>
      <c r="BT75" s="1207"/>
      <c r="BU75" s="1207"/>
      <c r="BV75" s="1207"/>
      <c r="BW75" s="1207"/>
      <c r="BX75" s="1207"/>
      <c r="BY75" s="1207"/>
      <c r="BZ75" s="1207"/>
      <c r="CA75" s="1207"/>
      <c r="CB75" s="1207"/>
      <c r="CC75" s="1207"/>
      <c r="CD75" s="1207"/>
      <c r="CE75" s="1207"/>
      <c r="CF75" s="1207"/>
    </row>
    <row r="76" spans="1:84" ht="105" x14ac:dyDescent="0.25">
      <c r="A76" s="1355">
        <v>2022079</v>
      </c>
      <c r="B76" s="1172">
        <v>7655</v>
      </c>
      <c r="C76" s="1356" t="s">
        <v>668</v>
      </c>
      <c r="D76" s="1190" t="s">
        <v>689</v>
      </c>
      <c r="E76" s="1174" t="s">
        <v>778</v>
      </c>
      <c r="F76" s="1380" t="s">
        <v>811</v>
      </c>
      <c r="G76" s="1381">
        <v>44575</v>
      </c>
      <c r="H76" s="1381">
        <v>44575</v>
      </c>
      <c r="I76" s="1176">
        <v>11.5</v>
      </c>
      <c r="J76" s="1176" t="s">
        <v>673</v>
      </c>
      <c r="K76" s="1177" t="s">
        <v>674</v>
      </c>
      <c r="L76" s="1178" t="s">
        <v>675</v>
      </c>
      <c r="M76" s="1179">
        <v>57500000</v>
      </c>
      <c r="N76" s="1382" t="s">
        <v>781</v>
      </c>
      <c r="O76" s="1174" t="s">
        <v>771</v>
      </c>
      <c r="P76" s="1207" t="s">
        <v>678</v>
      </c>
      <c r="Q76" s="1163"/>
      <c r="R76" s="1269">
        <v>57500000</v>
      </c>
      <c r="S76" s="1357">
        <v>57500000</v>
      </c>
      <c r="T76" s="1357">
        <f>+Tabla16[[#This Row],[CDPS A 31 JULIO 2022]]-Tabla16[[#This Row],[CDP]]</f>
        <v>0</v>
      </c>
      <c r="U76" s="1357">
        <v>57500000</v>
      </c>
      <c r="V76" s="1357">
        <v>21166667</v>
      </c>
      <c r="W76" s="1357"/>
      <c r="X76" s="1207"/>
      <c r="Y76" s="1207"/>
      <c r="Z76" s="1207"/>
      <c r="AA76" s="1207"/>
      <c r="AB76" s="1207"/>
      <c r="AC76" s="1207"/>
      <c r="AD76" s="1207"/>
      <c r="AE76" s="1207"/>
      <c r="AF76" s="1207"/>
      <c r="AG76" s="1207"/>
      <c r="AH76" s="1207"/>
      <c r="AI76" s="1207"/>
      <c r="AJ76" s="1207"/>
      <c r="AK76" s="1207"/>
      <c r="AL76" s="1207"/>
      <c r="AM76" s="1207"/>
      <c r="AN76" s="1207"/>
      <c r="AO76" s="1207"/>
      <c r="AP76" s="1207"/>
      <c r="AQ76" s="1207"/>
      <c r="AR76" s="1207"/>
      <c r="AS76" s="1207"/>
      <c r="AT76" s="1207"/>
      <c r="AU76" s="1207"/>
      <c r="AV76" s="1207"/>
      <c r="AW76" s="1207"/>
      <c r="AX76" s="1207"/>
      <c r="AY76" s="1207"/>
      <c r="AZ76" s="1207"/>
      <c r="BA76" s="1207"/>
      <c r="BB76" s="1207"/>
      <c r="BC76" s="1207"/>
      <c r="BD76" s="1207"/>
      <c r="BE76" s="1207"/>
      <c r="BF76" s="1207"/>
      <c r="BG76" s="1207"/>
      <c r="BH76" s="1207"/>
      <c r="BI76" s="1207"/>
      <c r="BJ76" s="1207"/>
      <c r="BK76" s="1207"/>
      <c r="BL76" s="1207"/>
      <c r="BM76" s="1207"/>
      <c r="BN76" s="1207"/>
      <c r="BO76" s="1207"/>
      <c r="BP76" s="1207"/>
      <c r="BQ76" s="1207"/>
      <c r="BR76" s="1207"/>
      <c r="BS76" s="1207"/>
      <c r="BT76" s="1207"/>
      <c r="BU76" s="1207"/>
      <c r="BV76" s="1207"/>
      <c r="BW76" s="1207"/>
      <c r="BX76" s="1207"/>
      <c r="BY76" s="1207"/>
      <c r="BZ76" s="1207"/>
      <c r="CA76" s="1207"/>
      <c r="CB76" s="1207"/>
      <c r="CC76" s="1207"/>
      <c r="CD76" s="1207"/>
      <c r="CE76" s="1207"/>
      <c r="CF76" s="1207"/>
    </row>
    <row r="77" spans="1:84" ht="105" x14ac:dyDescent="0.25">
      <c r="A77" s="1355">
        <v>2022080</v>
      </c>
      <c r="B77" s="1172">
        <v>7655</v>
      </c>
      <c r="C77" s="1356" t="s">
        <v>668</v>
      </c>
      <c r="D77" s="1190" t="s">
        <v>689</v>
      </c>
      <c r="E77" s="1174" t="s">
        <v>778</v>
      </c>
      <c r="F77" s="1380" t="s">
        <v>812</v>
      </c>
      <c r="G77" s="1381">
        <v>44575</v>
      </c>
      <c r="H77" s="1381">
        <v>44575</v>
      </c>
      <c r="I77" s="1176">
        <v>11.5</v>
      </c>
      <c r="J77" s="1176" t="s">
        <v>673</v>
      </c>
      <c r="K77" s="1177" t="s">
        <v>674</v>
      </c>
      <c r="L77" s="1178" t="s">
        <v>675</v>
      </c>
      <c r="M77" s="1179">
        <v>83950000</v>
      </c>
      <c r="N77" s="1382" t="s">
        <v>781</v>
      </c>
      <c r="O77" s="1174" t="s">
        <v>771</v>
      </c>
      <c r="P77" s="1207" t="s">
        <v>678</v>
      </c>
      <c r="Q77" s="1163"/>
      <c r="R77" s="1269">
        <v>83950000</v>
      </c>
      <c r="S77" s="1357">
        <v>83950000</v>
      </c>
      <c r="T77" s="1357">
        <f>+Tabla16[[#This Row],[CDPS A 31 JULIO 2022]]-Tabla16[[#This Row],[CDP]]</f>
        <v>0</v>
      </c>
      <c r="U77" s="1357">
        <v>83950000</v>
      </c>
      <c r="V77" s="1357">
        <v>31876667</v>
      </c>
      <c r="W77" s="1357"/>
      <c r="X77" s="1207"/>
      <c r="Y77" s="1207"/>
      <c r="Z77" s="1207"/>
      <c r="AA77" s="1207"/>
      <c r="AB77" s="1207"/>
      <c r="AC77" s="1207"/>
      <c r="AD77" s="1207"/>
      <c r="AE77" s="1207"/>
      <c r="AF77" s="1207"/>
      <c r="AG77" s="1207"/>
      <c r="AH77" s="1207"/>
      <c r="AI77" s="1207"/>
      <c r="AJ77" s="1207"/>
      <c r="AK77" s="1207"/>
      <c r="AL77" s="1207"/>
      <c r="AM77" s="1207"/>
      <c r="AN77" s="1207"/>
      <c r="AO77" s="1207"/>
      <c r="AP77" s="1207"/>
      <c r="AQ77" s="1207"/>
      <c r="AR77" s="1207"/>
      <c r="AS77" s="1207"/>
      <c r="AT77" s="1207"/>
      <c r="AU77" s="1207"/>
      <c r="AV77" s="1207"/>
      <c r="AW77" s="1207"/>
      <c r="AX77" s="1207"/>
      <c r="AY77" s="1207"/>
      <c r="AZ77" s="1207"/>
      <c r="BA77" s="1207"/>
      <c r="BB77" s="1207"/>
      <c r="BC77" s="1207"/>
      <c r="BD77" s="1207"/>
      <c r="BE77" s="1207"/>
      <c r="BF77" s="1207"/>
      <c r="BG77" s="1207"/>
      <c r="BH77" s="1207"/>
      <c r="BI77" s="1207"/>
      <c r="BJ77" s="1207"/>
      <c r="BK77" s="1207"/>
      <c r="BL77" s="1207"/>
      <c r="BM77" s="1207"/>
      <c r="BN77" s="1207"/>
      <c r="BO77" s="1207"/>
      <c r="BP77" s="1207"/>
      <c r="BQ77" s="1207"/>
      <c r="BR77" s="1207"/>
      <c r="BS77" s="1207"/>
      <c r="BT77" s="1207"/>
      <c r="BU77" s="1207"/>
      <c r="BV77" s="1207"/>
      <c r="BW77" s="1207"/>
      <c r="BX77" s="1207"/>
      <c r="BY77" s="1207"/>
      <c r="BZ77" s="1207"/>
      <c r="CA77" s="1207"/>
      <c r="CB77" s="1207"/>
      <c r="CC77" s="1207"/>
      <c r="CD77" s="1207"/>
      <c r="CE77" s="1207"/>
      <c r="CF77" s="1207"/>
    </row>
    <row r="78" spans="1:84" ht="105" x14ac:dyDescent="0.25">
      <c r="A78" s="1355">
        <v>2022081</v>
      </c>
      <c r="B78" s="1172">
        <v>7655</v>
      </c>
      <c r="C78" s="1356" t="s">
        <v>668</v>
      </c>
      <c r="D78" s="1190" t="s">
        <v>689</v>
      </c>
      <c r="E78" s="1174" t="s">
        <v>778</v>
      </c>
      <c r="F78" s="1380" t="s">
        <v>813</v>
      </c>
      <c r="G78" s="1381">
        <v>44575</v>
      </c>
      <c r="H78" s="1381">
        <v>44575</v>
      </c>
      <c r="I78" s="1176">
        <v>11.5</v>
      </c>
      <c r="J78" s="1176" t="s">
        <v>673</v>
      </c>
      <c r="K78" s="1177" t="s">
        <v>674</v>
      </c>
      <c r="L78" s="1178" t="s">
        <v>675</v>
      </c>
      <c r="M78" s="1179">
        <v>28175000</v>
      </c>
      <c r="N78" s="1382" t="s">
        <v>781</v>
      </c>
      <c r="O78" s="1174" t="s">
        <v>771</v>
      </c>
      <c r="P78" s="1207" t="s">
        <v>678</v>
      </c>
      <c r="Q78" s="1163"/>
      <c r="R78" s="1269">
        <v>28175000</v>
      </c>
      <c r="S78" s="1357">
        <v>28175000</v>
      </c>
      <c r="T78" s="1357">
        <f>+Tabla16[[#This Row],[CDPS A 31 JULIO 2022]]-Tabla16[[#This Row],[CDP]]</f>
        <v>0</v>
      </c>
      <c r="U78" s="1357">
        <v>28175000</v>
      </c>
      <c r="V78" s="1357">
        <v>9228333</v>
      </c>
      <c r="W78" s="135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07"/>
      <c r="BF78" s="1207"/>
      <c r="BG78" s="1207"/>
      <c r="BH78" s="1207"/>
      <c r="BI78" s="1207"/>
      <c r="BJ78" s="1207"/>
      <c r="BK78" s="1207"/>
      <c r="BL78" s="1207"/>
      <c r="BM78" s="1207"/>
      <c r="BN78" s="1207"/>
      <c r="BO78" s="1207"/>
      <c r="BP78" s="1207"/>
      <c r="BQ78" s="1207"/>
      <c r="BR78" s="1207"/>
      <c r="BS78" s="1207"/>
      <c r="BT78" s="1207"/>
      <c r="BU78" s="1207"/>
      <c r="BV78" s="1207"/>
      <c r="BW78" s="1207"/>
      <c r="BX78" s="1207"/>
      <c r="BY78" s="1207"/>
      <c r="BZ78" s="1207"/>
      <c r="CA78" s="1207"/>
      <c r="CB78" s="1207"/>
      <c r="CC78" s="1207"/>
      <c r="CD78" s="1207"/>
      <c r="CE78" s="1207"/>
      <c r="CF78" s="1207"/>
    </row>
    <row r="79" spans="1:84" ht="105" x14ac:dyDescent="0.25">
      <c r="A79" s="1355">
        <v>2022082</v>
      </c>
      <c r="B79" s="1172">
        <v>7655</v>
      </c>
      <c r="C79" s="1356" t="s">
        <v>668</v>
      </c>
      <c r="D79" s="1190" t="s">
        <v>689</v>
      </c>
      <c r="E79" s="1174" t="s">
        <v>778</v>
      </c>
      <c r="F79" s="1380" t="s">
        <v>809</v>
      </c>
      <c r="G79" s="1381">
        <v>44575</v>
      </c>
      <c r="H79" s="1381">
        <v>44575</v>
      </c>
      <c r="I79" s="1176">
        <v>11.5</v>
      </c>
      <c r="J79" s="1176" t="s">
        <v>673</v>
      </c>
      <c r="K79" s="1177" t="s">
        <v>674</v>
      </c>
      <c r="L79" s="1178" t="s">
        <v>675</v>
      </c>
      <c r="M79" s="1179">
        <v>28175000</v>
      </c>
      <c r="N79" s="1382" t="s">
        <v>781</v>
      </c>
      <c r="O79" s="1174" t="s">
        <v>771</v>
      </c>
      <c r="P79" s="1207" t="s">
        <v>678</v>
      </c>
      <c r="Q79" s="1163"/>
      <c r="R79" s="1269">
        <v>28175000</v>
      </c>
      <c r="S79" s="1357">
        <v>28175000</v>
      </c>
      <c r="T79" s="1357">
        <f>+Tabla16[[#This Row],[CDPS A 31 JULIO 2022]]-Tabla16[[#This Row],[CDP]]</f>
        <v>0</v>
      </c>
      <c r="U79" s="1357">
        <v>28175000</v>
      </c>
      <c r="V79" s="1357">
        <v>10371667</v>
      </c>
      <c r="W79" s="135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07"/>
      <c r="BF79" s="1207"/>
      <c r="BG79" s="1207"/>
      <c r="BH79" s="1207"/>
      <c r="BI79" s="1207"/>
      <c r="BJ79" s="1207"/>
      <c r="BK79" s="1207"/>
      <c r="BL79" s="1207"/>
      <c r="BM79" s="1207"/>
      <c r="BN79" s="1207"/>
      <c r="BO79" s="1207"/>
      <c r="BP79" s="1207"/>
      <c r="BQ79" s="1207"/>
      <c r="BR79" s="1207"/>
      <c r="BS79" s="1207"/>
      <c r="BT79" s="1207"/>
      <c r="BU79" s="1207"/>
      <c r="BV79" s="1207"/>
      <c r="BW79" s="1207"/>
      <c r="BX79" s="1207"/>
      <c r="BY79" s="1207"/>
      <c r="BZ79" s="1207"/>
      <c r="CA79" s="1207"/>
      <c r="CB79" s="1207"/>
      <c r="CC79" s="1207"/>
      <c r="CD79" s="1207"/>
      <c r="CE79" s="1207"/>
      <c r="CF79" s="1207"/>
    </row>
    <row r="80" spans="1:84" ht="105" x14ac:dyDescent="0.25">
      <c r="A80" s="1355">
        <v>2022083</v>
      </c>
      <c r="B80" s="1172">
        <v>7655</v>
      </c>
      <c r="C80" s="1356" t="s">
        <v>668</v>
      </c>
      <c r="D80" s="1190" t="s">
        <v>689</v>
      </c>
      <c r="E80" s="1174" t="s">
        <v>778</v>
      </c>
      <c r="F80" s="1380" t="s">
        <v>809</v>
      </c>
      <c r="G80" s="1381">
        <v>44575</v>
      </c>
      <c r="H80" s="1381">
        <v>44575</v>
      </c>
      <c r="I80" s="1176">
        <v>11.5</v>
      </c>
      <c r="J80" s="1176" t="s">
        <v>673</v>
      </c>
      <c r="K80" s="1177" t="s">
        <v>674</v>
      </c>
      <c r="L80" s="1178" t="s">
        <v>675</v>
      </c>
      <c r="M80" s="1179">
        <v>28175000</v>
      </c>
      <c r="N80" s="1382" t="s">
        <v>781</v>
      </c>
      <c r="O80" s="1174" t="s">
        <v>771</v>
      </c>
      <c r="P80" s="1207" t="s">
        <v>678</v>
      </c>
      <c r="Q80" s="1163"/>
      <c r="R80" s="1269">
        <v>28175000</v>
      </c>
      <c r="S80" s="1357">
        <v>28175000</v>
      </c>
      <c r="T80" s="1357">
        <f>+Tabla16[[#This Row],[CDPS A 31 JULIO 2022]]-Tabla16[[#This Row],[CDP]]</f>
        <v>0</v>
      </c>
      <c r="U80" s="1357">
        <v>28175000</v>
      </c>
      <c r="V80" s="1357">
        <v>10290000</v>
      </c>
      <c r="W80" s="135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07"/>
      <c r="BF80" s="1207"/>
      <c r="BG80" s="1207"/>
      <c r="BH80" s="1207"/>
      <c r="BI80" s="1207"/>
      <c r="BJ80" s="1207"/>
      <c r="BK80" s="1207"/>
      <c r="BL80" s="1207"/>
      <c r="BM80" s="1207"/>
      <c r="BN80" s="1207"/>
      <c r="BO80" s="1207"/>
      <c r="BP80" s="1207"/>
      <c r="BQ80" s="1207"/>
      <c r="BR80" s="1207"/>
      <c r="BS80" s="1207"/>
      <c r="BT80" s="1207"/>
      <c r="BU80" s="1207"/>
      <c r="BV80" s="1207"/>
      <c r="BW80" s="1207"/>
      <c r="BX80" s="1207"/>
      <c r="BY80" s="1207"/>
      <c r="BZ80" s="1207"/>
      <c r="CA80" s="1207"/>
      <c r="CB80" s="1207"/>
      <c r="CC80" s="1207"/>
      <c r="CD80" s="1207"/>
      <c r="CE80" s="1207"/>
      <c r="CF80" s="1207"/>
    </row>
    <row r="81" spans="1:84" ht="105" x14ac:dyDescent="0.25">
      <c r="A81" s="1355">
        <v>2022084</v>
      </c>
      <c r="B81" s="1172">
        <v>7655</v>
      </c>
      <c r="C81" s="1356" t="s">
        <v>668</v>
      </c>
      <c r="D81" s="1190" t="s">
        <v>689</v>
      </c>
      <c r="E81" s="1174" t="s">
        <v>778</v>
      </c>
      <c r="F81" s="1380" t="s">
        <v>809</v>
      </c>
      <c r="G81" s="1381">
        <v>44575</v>
      </c>
      <c r="H81" s="1381">
        <v>44575</v>
      </c>
      <c r="I81" s="1176">
        <v>11.5</v>
      </c>
      <c r="J81" s="1176" t="s">
        <v>673</v>
      </c>
      <c r="K81" s="1177" t="s">
        <v>674</v>
      </c>
      <c r="L81" s="1178" t="s">
        <v>675</v>
      </c>
      <c r="M81" s="1179">
        <v>28175000</v>
      </c>
      <c r="N81" s="1382" t="s">
        <v>781</v>
      </c>
      <c r="O81" s="1174" t="s">
        <v>771</v>
      </c>
      <c r="P81" s="1207" t="s">
        <v>678</v>
      </c>
      <c r="Q81" s="1163"/>
      <c r="R81" s="1269">
        <v>28175000</v>
      </c>
      <c r="S81" s="1357">
        <v>28175000</v>
      </c>
      <c r="T81" s="1357">
        <f>+Tabla16[[#This Row],[CDPS A 31 JULIO 2022]]-Tabla16[[#This Row],[CDP]]</f>
        <v>0</v>
      </c>
      <c r="U81" s="1357">
        <v>28175000</v>
      </c>
      <c r="V81" s="1357">
        <v>9800000</v>
      </c>
      <c r="W81" s="1357"/>
      <c r="X81" s="1207"/>
      <c r="Y81" s="1207"/>
      <c r="Z81" s="1207"/>
      <c r="AA81" s="1207"/>
      <c r="AB81" s="1207"/>
      <c r="AC81" s="1207"/>
      <c r="AD81" s="1207"/>
      <c r="AE81" s="1207"/>
      <c r="AF81" s="1207"/>
      <c r="AG81" s="1207"/>
      <c r="AH81" s="1207"/>
      <c r="AI81" s="1207"/>
      <c r="AJ81" s="1207"/>
      <c r="AK81" s="1207"/>
      <c r="AL81" s="1207"/>
      <c r="AM81" s="1207"/>
      <c r="AN81" s="1207"/>
      <c r="AO81" s="1207"/>
      <c r="AP81" s="1207"/>
      <c r="AQ81" s="1207"/>
      <c r="AR81" s="1207"/>
      <c r="AS81" s="1207"/>
      <c r="AT81" s="1207"/>
      <c r="AU81" s="1207"/>
      <c r="AV81" s="1207"/>
      <c r="AW81" s="1207"/>
      <c r="AX81" s="1207"/>
      <c r="AY81" s="1207"/>
      <c r="AZ81" s="1207"/>
      <c r="BA81" s="1207"/>
      <c r="BB81" s="1207"/>
      <c r="BC81" s="1207"/>
      <c r="BD81" s="1207"/>
      <c r="BE81" s="1207"/>
      <c r="BF81" s="1207"/>
      <c r="BG81" s="1207"/>
      <c r="BH81" s="1207"/>
      <c r="BI81" s="1207"/>
      <c r="BJ81" s="1207"/>
      <c r="BK81" s="1207"/>
      <c r="BL81" s="1207"/>
      <c r="BM81" s="1207"/>
      <c r="BN81" s="1207"/>
      <c r="BO81" s="1207"/>
      <c r="BP81" s="1207"/>
      <c r="BQ81" s="1207"/>
      <c r="BR81" s="1207"/>
      <c r="BS81" s="1207"/>
      <c r="BT81" s="1207"/>
      <c r="BU81" s="1207"/>
      <c r="BV81" s="1207"/>
      <c r="BW81" s="1207"/>
      <c r="BX81" s="1207"/>
      <c r="BY81" s="1207"/>
      <c r="BZ81" s="1207"/>
      <c r="CA81" s="1207"/>
      <c r="CB81" s="1207"/>
      <c r="CC81" s="1207"/>
      <c r="CD81" s="1207"/>
      <c r="CE81" s="1207"/>
      <c r="CF81" s="1207"/>
    </row>
    <row r="82" spans="1:84" ht="105" x14ac:dyDescent="0.25">
      <c r="A82" s="1355">
        <v>2022085</v>
      </c>
      <c r="B82" s="1172">
        <v>7655</v>
      </c>
      <c r="C82" s="1356" t="s">
        <v>668</v>
      </c>
      <c r="D82" s="1190" t="s">
        <v>689</v>
      </c>
      <c r="E82" s="1174" t="s">
        <v>778</v>
      </c>
      <c r="F82" s="1380" t="s">
        <v>814</v>
      </c>
      <c r="G82" s="1381">
        <v>44575</v>
      </c>
      <c r="H82" s="1381">
        <v>44575</v>
      </c>
      <c r="I82" s="1176">
        <v>11.5</v>
      </c>
      <c r="J82" s="1176" t="s">
        <v>673</v>
      </c>
      <c r="K82" s="1177" t="s">
        <v>674</v>
      </c>
      <c r="L82" s="1178" t="s">
        <v>675</v>
      </c>
      <c r="M82" s="1179">
        <v>78200000</v>
      </c>
      <c r="N82" s="1382" t="s">
        <v>781</v>
      </c>
      <c r="O82" s="1174" t="s">
        <v>771</v>
      </c>
      <c r="P82" s="1207" t="s">
        <v>678</v>
      </c>
      <c r="Q82" s="1163"/>
      <c r="R82" s="1269">
        <v>78200000</v>
      </c>
      <c r="S82" s="1357">
        <v>78200000</v>
      </c>
      <c r="T82" s="1357">
        <f>+Tabla16[[#This Row],[CDPS A 31 JULIO 2022]]-Tabla16[[#This Row],[CDP]]</f>
        <v>0</v>
      </c>
      <c r="U82" s="1357">
        <v>78200000</v>
      </c>
      <c r="V82" s="1357">
        <v>30146667</v>
      </c>
      <c r="W82" s="1357"/>
      <c r="X82" s="1207"/>
      <c r="Y82" s="1207"/>
      <c r="Z82" s="1207"/>
      <c r="AA82" s="1207"/>
      <c r="AB82" s="1207"/>
      <c r="AC82" s="1207"/>
      <c r="AD82" s="1207"/>
      <c r="AE82" s="1207"/>
      <c r="AF82" s="1207"/>
      <c r="AG82" s="1207"/>
      <c r="AH82" s="1207"/>
      <c r="AI82" s="1207"/>
      <c r="AJ82" s="1207"/>
      <c r="AK82" s="1207"/>
      <c r="AL82" s="1207"/>
      <c r="AM82" s="1207"/>
      <c r="AN82" s="1207"/>
      <c r="AO82" s="1207"/>
      <c r="AP82" s="1207"/>
      <c r="AQ82" s="1207"/>
      <c r="AR82" s="1207"/>
      <c r="AS82" s="1207"/>
      <c r="AT82" s="1207"/>
      <c r="AU82" s="1207"/>
      <c r="AV82" s="1207"/>
      <c r="AW82" s="1207"/>
      <c r="AX82" s="1207"/>
      <c r="AY82" s="1207"/>
      <c r="AZ82" s="1207"/>
      <c r="BA82" s="1207"/>
      <c r="BB82" s="1207"/>
      <c r="BC82" s="1207"/>
      <c r="BD82" s="1207"/>
      <c r="BE82" s="1207"/>
      <c r="BF82" s="1207"/>
      <c r="BG82" s="1207"/>
      <c r="BH82" s="1207"/>
      <c r="BI82" s="1207"/>
      <c r="BJ82" s="1207"/>
      <c r="BK82" s="1207"/>
      <c r="BL82" s="1207"/>
      <c r="BM82" s="1207"/>
      <c r="BN82" s="1207"/>
      <c r="BO82" s="1207"/>
      <c r="BP82" s="1207"/>
      <c r="BQ82" s="1207"/>
      <c r="BR82" s="1207"/>
      <c r="BS82" s="1207"/>
      <c r="BT82" s="1207"/>
      <c r="BU82" s="1207"/>
      <c r="BV82" s="1207"/>
      <c r="BW82" s="1207"/>
      <c r="BX82" s="1207"/>
      <c r="BY82" s="1207"/>
      <c r="BZ82" s="1207"/>
      <c r="CA82" s="1207"/>
      <c r="CB82" s="1207"/>
      <c r="CC82" s="1207"/>
      <c r="CD82" s="1207"/>
      <c r="CE82" s="1207"/>
      <c r="CF82" s="1207"/>
    </row>
    <row r="83" spans="1:84" ht="105" x14ac:dyDescent="0.25">
      <c r="A83" s="1355">
        <v>2022086</v>
      </c>
      <c r="B83" s="1172">
        <v>7655</v>
      </c>
      <c r="C83" s="1356" t="s">
        <v>668</v>
      </c>
      <c r="D83" s="1190" t="s">
        <v>689</v>
      </c>
      <c r="E83" s="1174" t="s">
        <v>778</v>
      </c>
      <c r="F83" s="1380" t="s">
        <v>815</v>
      </c>
      <c r="G83" s="1381">
        <v>44575</v>
      </c>
      <c r="H83" s="1381">
        <v>44575</v>
      </c>
      <c r="I83" s="1176">
        <v>11.5</v>
      </c>
      <c r="J83" s="1176" t="s">
        <v>673</v>
      </c>
      <c r="K83" s="1177" t="s">
        <v>674</v>
      </c>
      <c r="L83" s="1178" t="s">
        <v>675</v>
      </c>
      <c r="M83" s="1179">
        <v>36800000</v>
      </c>
      <c r="N83" s="1382" t="s">
        <v>781</v>
      </c>
      <c r="O83" s="1174" t="s">
        <v>771</v>
      </c>
      <c r="P83" s="1207" t="s">
        <v>678</v>
      </c>
      <c r="Q83" s="1163"/>
      <c r="R83" s="1269">
        <v>36800000</v>
      </c>
      <c r="S83" s="1357">
        <v>36800000</v>
      </c>
      <c r="T83" s="1357">
        <f>+Tabla16[[#This Row],[CDPS A 31 JULIO 2022]]-Tabla16[[#This Row],[CDP]]</f>
        <v>0</v>
      </c>
      <c r="U83" s="1357">
        <v>36800000</v>
      </c>
      <c r="V83" s="1357">
        <v>14186667</v>
      </c>
      <c r="W83" s="1357"/>
      <c r="X83" s="1207"/>
      <c r="Y83" s="1207"/>
      <c r="Z83" s="1207"/>
      <c r="AA83" s="1207"/>
      <c r="AB83" s="1207"/>
      <c r="AC83" s="1207"/>
      <c r="AD83" s="1207"/>
      <c r="AE83" s="1207"/>
      <c r="AF83" s="1207"/>
      <c r="AG83" s="1207"/>
      <c r="AH83" s="1207"/>
      <c r="AI83" s="1207"/>
      <c r="AJ83" s="1207"/>
      <c r="AK83" s="1207"/>
      <c r="AL83" s="1207"/>
      <c r="AM83" s="1207"/>
      <c r="AN83" s="1207"/>
      <c r="AO83" s="1207"/>
      <c r="AP83" s="1207"/>
      <c r="AQ83" s="1207"/>
      <c r="AR83" s="1207"/>
      <c r="AS83" s="1207"/>
      <c r="AT83" s="1207"/>
      <c r="AU83" s="1207"/>
      <c r="AV83" s="1207"/>
      <c r="AW83" s="1207"/>
      <c r="AX83" s="1207"/>
      <c r="AY83" s="1207"/>
      <c r="AZ83" s="1207"/>
      <c r="BA83" s="1207"/>
      <c r="BB83" s="1207"/>
      <c r="BC83" s="1207"/>
      <c r="BD83" s="1207"/>
      <c r="BE83" s="1207"/>
      <c r="BF83" s="1207"/>
      <c r="BG83" s="1207"/>
      <c r="BH83" s="1207"/>
      <c r="BI83" s="1207"/>
      <c r="BJ83" s="1207"/>
      <c r="BK83" s="1207"/>
      <c r="BL83" s="1207"/>
      <c r="BM83" s="1207"/>
      <c r="BN83" s="1207"/>
      <c r="BO83" s="1207"/>
      <c r="BP83" s="1207"/>
      <c r="BQ83" s="1207"/>
      <c r="BR83" s="1207"/>
      <c r="BS83" s="1207"/>
      <c r="BT83" s="1207"/>
      <c r="BU83" s="1207"/>
      <c r="BV83" s="1207"/>
      <c r="BW83" s="1207"/>
      <c r="BX83" s="1207"/>
      <c r="BY83" s="1207"/>
      <c r="BZ83" s="1207"/>
      <c r="CA83" s="1207"/>
      <c r="CB83" s="1207"/>
      <c r="CC83" s="1207"/>
      <c r="CD83" s="1207"/>
      <c r="CE83" s="1207"/>
      <c r="CF83" s="1207"/>
    </row>
    <row r="84" spans="1:84" ht="105" x14ac:dyDescent="0.25">
      <c r="A84" s="1355">
        <v>2022087</v>
      </c>
      <c r="B84" s="1172">
        <v>7655</v>
      </c>
      <c r="C84" s="1356" t="s">
        <v>668</v>
      </c>
      <c r="D84" s="1190" t="s">
        <v>689</v>
      </c>
      <c r="E84" s="1174" t="s">
        <v>778</v>
      </c>
      <c r="F84" s="1380" t="s">
        <v>816</v>
      </c>
      <c r="G84" s="1381">
        <v>44575</v>
      </c>
      <c r="H84" s="1381">
        <v>44575</v>
      </c>
      <c r="I84" s="1176">
        <v>11.5</v>
      </c>
      <c r="J84" s="1176" t="s">
        <v>673</v>
      </c>
      <c r="K84" s="1177" t="s">
        <v>674</v>
      </c>
      <c r="L84" s="1178" t="s">
        <v>675</v>
      </c>
      <c r="M84" s="1179">
        <v>58650000</v>
      </c>
      <c r="N84" s="1382" t="s">
        <v>781</v>
      </c>
      <c r="O84" s="1174" t="s">
        <v>771</v>
      </c>
      <c r="P84" s="1207" t="s">
        <v>678</v>
      </c>
      <c r="Q84" s="1163"/>
      <c r="R84" s="1269">
        <v>58650000</v>
      </c>
      <c r="S84" s="1357">
        <v>58650000</v>
      </c>
      <c r="T84" s="1357">
        <f>+Tabla16[[#This Row],[CDPS A 31 JULIO 2022]]-Tabla16[[#This Row],[CDP]]</f>
        <v>0</v>
      </c>
      <c r="U84" s="1357">
        <v>58650000</v>
      </c>
      <c r="V84" s="1357">
        <v>22270000</v>
      </c>
      <c r="W84" s="1357"/>
      <c r="X84" s="1207"/>
      <c r="Y84" s="1207"/>
      <c r="Z84" s="1207"/>
      <c r="AA84" s="1207"/>
      <c r="AB84" s="1207"/>
      <c r="AC84" s="1207"/>
      <c r="AD84" s="1207"/>
      <c r="AE84" s="1207"/>
      <c r="AF84" s="1207"/>
      <c r="AG84" s="1207"/>
      <c r="AH84" s="1207"/>
      <c r="AI84" s="1207"/>
      <c r="AJ84" s="1207"/>
      <c r="AK84" s="1207"/>
      <c r="AL84" s="1207"/>
      <c r="AM84" s="1207"/>
      <c r="AN84" s="1207"/>
      <c r="AO84" s="1207"/>
      <c r="AP84" s="1207"/>
      <c r="AQ84" s="1207"/>
      <c r="AR84" s="1207"/>
      <c r="AS84" s="1207"/>
      <c r="AT84" s="1207"/>
      <c r="AU84" s="1207"/>
      <c r="AV84" s="1207"/>
      <c r="AW84" s="1207"/>
      <c r="AX84" s="1207"/>
      <c r="AY84" s="1207"/>
      <c r="AZ84" s="1207"/>
      <c r="BA84" s="1207"/>
      <c r="BB84" s="1207"/>
      <c r="BC84" s="1207"/>
      <c r="BD84" s="1207"/>
      <c r="BE84" s="1207"/>
      <c r="BF84" s="1207"/>
      <c r="BG84" s="1207"/>
      <c r="BH84" s="1207"/>
      <c r="BI84" s="1207"/>
      <c r="BJ84" s="1207"/>
      <c r="BK84" s="1207"/>
      <c r="BL84" s="1207"/>
      <c r="BM84" s="1207"/>
      <c r="BN84" s="1207"/>
      <c r="BO84" s="1207"/>
      <c r="BP84" s="1207"/>
      <c r="BQ84" s="1207"/>
      <c r="BR84" s="1207"/>
      <c r="BS84" s="1207"/>
      <c r="BT84" s="1207"/>
      <c r="BU84" s="1207"/>
      <c r="BV84" s="1207"/>
      <c r="BW84" s="1207"/>
      <c r="BX84" s="1207"/>
      <c r="BY84" s="1207"/>
      <c r="BZ84" s="1207"/>
      <c r="CA84" s="1207"/>
      <c r="CB84" s="1207"/>
      <c r="CC84" s="1207"/>
      <c r="CD84" s="1207"/>
      <c r="CE84" s="1207"/>
      <c r="CF84" s="1207"/>
    </row>
    <row r="85" spans="1:84" ht="105" x14ac:dyDescent="0.25">
      <c r="A85" s="1355">
        <v>2022088</v>
      </c>
      <c r="B85" s="1172">
        <v>7655</v>
      </c>
      <c r="C85" s="1356" t="s">
        <v>668</v>
      </c>
      <c r="D85" s="1190" t="s">
        <v>689</v>
      </c>
      <c r="E85" s="1174" t="s">
        <v>778</v>
      </c>
      <c r="F85" s="1380" t="s">
        <v>817</v>
      </c>
      <c r="G85" s="1381">
        <v>44575</v>
      </c>
      <c r="H85" s="1381">
        <v>44575</v>
      </c>
      <c r="I85" s="1176">
        <v>11.5</v>
      </c>
      <c r="J85" s="1176" t="s">
        <v>673</v>
      </c>
      <c r="K85" s="1177" t="s">
        <v>674</v>
      </c>
      <c r="L85" s="1178" t="s">
        <v>675</v>
      </c>
      <c r="M85" s="1179">
        <v>38525000</v>
      </c>
      <c r="N85" s="1382" t="s">
        <v>781</v>
      </c>
      <c r="O85" s="1174" t="s">
        <v>771</v>
      </c>
      <c r="P85" s="1207" t="s">
        <v>678</v>
      </c>
      <c r="Q85" s="1163"/>
      <c r="R85" s="1269">
        <v>38525000</v>
      </c>
      <c r="S85" s="1357">
        <v>38525000</v>
      </c>
      <c r="T85" s="1357">
        <f>+Tabla16[[#This Row],[CDPS A 31 JULIO 2022]]-Tabla16[[#This Row],[CDP]]</f>
        <v>0</v>
      </c>
      <c r="U85" s="1357">
        <v>38525000</v>
      </c>
      <c r="V85" s="1357">
        <v>15298333</v>
      </c>
      <c r="W85" s="135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07"/>
      <c r="BF85" s="1207"/>
      <c r="BG85" s="1207"/>
      <c r="BH85" s="1207"/>
      <c r="BI85" s="1207"/>
      <c r="BJ85" s="1207"/>
      <c r="BK85" s="1207"/>
      <c r="BL85" s="1207"/>
      <c r="BM85" s="1207"/>
      <c r="BN85" s="1207"/>
      <c r="BO85" s="1207"/>
      <c r="BP85" s="1207"/>
      <c r="BQ85" s="1207"/>
      <c r="BR85" s="1207"/>
      <c r="BS85" s="1207"/>
      <c r="BT85" s="1207"/>
      <c r="BU85" s="1207"/>
      <c r="BV85" s="1207"/>
      <c r="BW85" s="1207"/>
      <c r="BX85" s="1207"/>
      <c r="BY85" s="1207"/>
      <c r="BZ85" s="1207"/>
      <c r="CA85" s="1207"/>
      <c r="CB85" s="1207"/>
      <c r="CC85" s="1207"/>
      <c r="CD85" s="1207"/>
      <c r="CE85" s="1207"/>
      <c r="CF85" s="1207"/>
    </row>
    <row r="86" spans="1:84" ht="105" x14ac:dyDescent="0.25">
      <c r="A86" s="1355">
        <v>2022089</v>
      </c>
      <c r="B86" s="1172">
        <v>7655</v>
      </c>
      <c r="C86" s="1356" t="s">
        <v>668</v>
      </c>
      <c r="D86" s="1190" t="s">
        <v>689</v>
      </c>
      <c r="E86" s="1174" t="s">
        <v>778</v>
      </c>
      <c r="F86" s="1380" t="s">
        <v>818</v>
      </c>
      <c r="G86" s="1381">
        <v>44575</v>
      </c>
      <c r="H86" s="1381">
        <v>44575</v>
      </c>
      <c r="I86" s="1176">
        <v>11.5</v>
      </c>
      <c r="J86" s="1176" t="s">
        <v>673</v>
      </c>
      <c r="K86" s="1177" t="s">
        <v>674</v>
      </c>
      <c r="L86" s="1178" t="s">
        <v>675</v>
      </c>
      <c r="M86" s="1179">
        <v>48300000</v>
      </c>
      <c r="N86" s="1382" t="s">
        <v>781</v>
      </c>
      <c r="O86" s="1174" t="s">
        <v>771</v>
      </c>
      <c r="P86" s="1207" t="s">
        <v>678</v>
      </c>
      <c r="Q86" s="1163"/>
      <c r="R86" s="1269">
        <v>48300000</v>
      </c>
      <c r="S86" s="1357">
        <v>48300000</v>
      </c>
      <c r="T86" s="1357">
        <f>+Tabla16[[#This Row],[CDPS A 31 JULIO 2022]]-Tabla16[[#This Row],[CDP]]</f>
        <v>0</v>
      </c>
      <c r="U86" s="1357">
        <v>48300000</v>
      </c>
      <c r="V86" s="1357">
        <v>19180000</v>
      </c>
      <c r="W86" s="135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07"/>
      <c r="BF86" s="1207"/>
      <c r="BG86" s="1207"/>
      <c r="BH86" s="1207"/>
      <c r="BI86" s="1207"/>
      <c r="BJ86" s="1207"/>
      <c r="BK86" s="1207"/>
      <c r="BL86" s="1207"/>
      <c r="BM86" s="1207"/>
      <c r="BN86" s="1207"/>
      <c r="BO86" s="1207"/>
      <c r="BP86" s="1207"/>
      <c r="BQ86" s="1207"/>
      <c r="BR86" s="1207"/>
      <c r="BS86" s="1207"/>
      <c r="BT86" s="1207"/>
      <c r="BU86" s="1207"/>
      <c r="BV86" s="1207"/>
      <c r="BW86" s="1207"/>
      <c r="BX86" s="1207"/>
      <c r="BY86" s="1207"/>
      <c r="BZ86" s="1207"/>
      <c r="CA86" s="1207"/>
      <c r="CB86" s="1207"/>
      <c r="CC86" s="1207"/>
      <c r="CD86" s="1207"/>
      <c r="CE86" s="1207"/>
      <c r="CF86" s="1207"/>
    </row>
    <row r="87" spans="1:84" ht="105" x14ac:dyDescent="0.25">
      <c r="A87" s="1355">
        <v>2022091</v>
      </c>
      <c r="B87" s="1172">
        <v>7655</v>
      </c>
      <c r="C87" s="1356" t="s">
        <v>668</v>
      </c>
      <c r="D87" s="1190" t="s">
        <v>689</v>
      </c>
      <c r="E87" s="1174" t="s">
        <v>778</v>
      </c>
      <c r="F87" s="1380" t="s">
        <v>819</v>
      </c>
      <c r="G87" s="1381">
        <v>44575</v>
      </c>
      <c r="H87" s="1381">
        <v>44575</v>
      </c>
      <c r="I87" s="1176">
        <v>11.5</v>
      </c>
      <c r="J87" s="1176" t="s">
        <v>673</v>
      </c>
      <c r="K87" s="1177" t="s">
        <v>674</v>
      </c>
      <c r="L87" s="1178" t="s">
        <v>675</v>
      </c>
      <c r="M87" s="1179">
        <v>80500000</v>
      </c>
      <c r="N87" s="1382" t="s">
        <v>781</v>
      </c>
      <c r="O87" s="1174" t="s">
        <v>771</v>
      </c>
      <c r="P87" s="1207" t="s">
        <v>678</v>
      </c>
      <c r="Q87" s="1163"/>
      <c r="R87" s="1269">
        <v>80500000</v>
      </c>
      <c r="S87" s="1357">
        <v>80500000</v>
      </c>
      <c r="T87" s="1357">
        <f>+Tabla16[[#This Row],[CDPS A 31 JULIO 2022]]-Tabla16[[#This Row],[CDP]]</f>
        <v>0</v>
      </c>
      <c r="U87" s="1357">
        <v>80500000</v>
      </c>
      <c r="V87" s="1357">
        <v>21233333</v>
      </c>
      <c r="W87" s="135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07"/>
      <c r="BF87" s="1207"/>
      <c r="BG87" s="1207"/>
      <c r="BH87" s="1207"/>
      <c r="BI87" s="1207"/>
      <c r="BJ87" s="1207"/>
      <c r="BK87" s="1207"/>
      <c r="BL87" s="1207"/>
      <c r="BM87" s="1207"/>
      <c r="BN87" s="1207"/>
      <c r="BO87" s="1207"/>
      <c r="BP87" s="1207"/>
      <c r="BQ87" s="1207"/>
      <c r="BR87" s="1207"/>
      <c r="BS87" s="1207"/>
      <c r="BT87" s="1207"/>
      <c r="BU87" s="1207"/>
      <c r="BV87" s="1207"/>
      <c r="BW87" s="1207"/>
      <c r="BX87" s="1207"/>
      <c r="BY87" s="1207"/>
      <c r="BZ87" s="1207"/>
      <c r="CA87" s="1207"/>
      <c r="CB87" s="1207"/>
      <c r="CC87" s="1207"/>
      <c r="CD87" s="1207"/>
      <c r="CE87" s="1207"/>
      <c r="CF87" s="1207"/>
    </row>
    <row r="88" spans="1:84" ht="105" x14ac:dyDescent="0.25">
      <c r="A88" s="1355">
        <v>2022092</v>
      </c>
      <c r="B88" s="1172">
        <v>7655</v>
      </c>
      <c r="C88" s="1356" t="s">
        <v>668</v>
      </c>
      <c r="D88" s="1190" t="s">
        <v>689</v>
      </c>
      <c r="E88" s="1174" t="s">
        <v>778</v>
      </c>
      <c r="F88" s="1380" t="s">
        <v>820</v>
      </c>
      <c r="G88" s="1381">
        <v>44575</v>
      </c>
      <c r="H88" s="1381">
        <v>44575</v>
      </c>
      <c r="I88" s="1176">
        <v>11.5</v>
      </c>
      <c r="J88" s="1176" t="s">
        <v>673</v>
      </c>
      <c r="K88" s="1177" t="s">
        <v>674</v>
      </c>
      <c r="L88" s="1178" t="s">
        <v>675</v>
      </c>
      <c r="M88" s="1179">
        <v>28175000</v>
      </c>
      <c r="N88" s="1382" t="s">
        <v>781</v>
      </c>
      <c r="O88" s="1174" t="s">
        <v>771</v>
      </c>
      <c r="P88" s="1207" t="s">
        <v>678</v>
      </c>
      <c r="Q88" s="1163"/>
      <c r="R88" s="1269">
        <v>28175000</v>
      </c>
      <c r="S88" s="1357">
        <v>28175000</v>
      </c>
      <c r="T88" s="1357">
        <f>+Tabla16[[#This Row],[CDPS A 31 JULIO 2022]]-Tabla16[[#This Row],[CDP]]</f>
        <v>0</v>
      </c>
      <c r="U88" s="1357">
        <v>28175000</v>
      </c>
      <c r="V88" s="1357">
        <v>10698333</v>
      </c>
      <c r="W88" s="135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07"/>
      <c r="BF88" s="1207"/>
      <c r="BG88" s="1207"/>
      <c r="BH88" s="1207"/>
      <c r="BI88" s="1207"/>
      <c r="BJ88" s="1207"/>
      <c r="BK88" s="1207"/>
      <c r="BL88" s="1207"/>
      <c r="BM88" s="1207"/>
      <c r="BN88" s="1207"/>
      <c r="BO88" s="1207"/>
      <c r="BP88" s="1207"/>
      <c r="BQ88" s="1207"/>
      <c r="BR88" s="1207"/>
      <c r="BS88" s="1207"/>
      <c r="BT88" s="1207"/>
      <c r="BU88" s="1207"/>
      <c r="BV88" s="1207"/>
      <c r="BW88" s="1207"/>
      <c r="BX88" s="1207"/>
      <c r="BY88" s="1207"/>
      <c r="BZ88" s="1207"/>
      <c r="CA88" s="1207"/>
      <c r="CB88" s="1207"/>
      <c r="CC88" s="1207"/>
      <c r="CD88" s="1207"/>
      <c r="CE88" s="1207"/>
      <c r="CF88" s="1207"/>
    </row>
    <row r="89" spans="1:84" ht="105" x14ac:dyDescent="0.25">
      <c r="A89" s="1355">
        <v>2022093</v>
      </c>
      <c r="B89" s="1172">
        <v>7655</v>
      </c>
      <c r="C89" s="1356" t="s">
        <v>668</v>
      </c>
      <c r="D89" s="1190" t="s">
        <v>689</v>
      </c>
      <c r="E89" s="1174" t="s">
        <v>778</v>
      </c>
      <c r="F89" s="1380" t="s">
        <v>821</v>
      </c>
      <c r="G89" s="1381">
        <v>44575</v>
      </c>
      <c r="H89" s="1381">
        <v>44575</v>
      </c>
      <c r="I89" s="1176">
        <v>11.5</v>
      </c>
      <c r="J89" s="1176" t="s">
        <v>673</v>
      </c>
      <c r="K89" s="1177" t="s">
        <v>674</v>
      </c>
      <c r="L89" s="1178" t="s">
        <v>675</v>
      </c>
      <c r="M89" s="1179">
        <v>48300000</v>
      </c>
      <c r="N89" s="1382" t="s">
        <v>781</v>
      </c>
      <c r="O89" s="1174" t="s">
        <v>771</v>
      </c>
      <c r="P89" s="1207" t="s">
        <v>678</v>
      </c>
      <c r="Q89" s="1163"/>
      <c r="R89" s="1269">
        <v>48300000</v>
      </c>
      <c r="S89" s="1357">
        <v>48300000</v>
      </c>
      <c r="T89" s="1357">
        <f>+Tabla16[[#This Row],[CDPS A 31 JULIO 2022]]-Tabla16[[#This Row],[CDP]]</f>
        <v>0</v>
      </c>
      <c r="U89" s="1357">
        <v>48300000</v>
      </c>
      <c r="V89" s="1357">
        <v>18620000</v>
      </c>
      <c r="W89" s="135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07"/>
      <c r="BF89" s="1207"/>
      <c r="BG89" s="1207"/>
      <c r="BH89" s="1207"/>
      <c r="BI89" s="1207"/>
      <c r="BJ89" s="1207"/>
      <c r="BK89" s="1207"/>
      <c r="BL89" s="1207"/>
      <c r="BM89" s="1207"/>
      <c r="BN89" s="1207"/>
      <c r="BO89" s="1207"/>
      <c r="BP89" s="1207"/>
      <c r="BQ89" s="1207"/>
      <c r="BR89" s="1207"/>
      <c r="BS89" s="1207"/>
      <c r="BT89" s="1207"/>
      <c r="BU89" s="1207"/>
      <c r="BV89" s="1207"/>
      <c r="BW89" s="1207"/>
      <c r="BX89" s="1207"/>
      <c r="BY89" s="1207"/>
      <c r="BZ89" s="1207"/>
      <c r="CA89" s="1207"/>
      <c r="CB89" s="1207"/>
      <c r="CC89" s="1207"/>
      <c r="CD89" s="1207"/>
      <c r="CE89" s="1207"/>
      <c r="CF89" s="1207"/>
    </row>
    <row r="90" spans="1:84" ht="105" x14ac:dyDescent="0.25">
      <c r="A90" s="1355">
        <v>2022094</v>
      </c>
      <c r="B90" s="1172">
        <v>7655</v>
      </c>
      <c r="C90" s="1356" t="s">
        <v>668</v>
      </c>
      <c r="D90" s="1190" t="s">
        <v>689</v>
      </c>
      <c r="E90" s="1174" t="s">
        <v>778</v>
      </c>
      <c r="F90" s="1380" t="s">
        <v>820</v>
      </c>
      <c r="G90" s="1381">
        <v>44575</v>
      </c>
      <c r="H90" s="1381">
        <v>44575</v>
      </c>
      <c r="I90" s="1176">
        <v>11.5</v>
      </c>
      <c r="J90" s="1176" t="s">
        <v>673</v>
      </c>
      <c r="K90" s="1177" t="s">
        <v>674</v>
      </c>
      <c r="L90" s="1178" t="s">
        <v>675</v>
      </c>
      <c r="M90" s="1179">
        <v>28175000</v>
      </c>
      <c r="N90" s="1382" t="s">
        <v>781</v>
      </c>
      <c r="O90" s="1174" t="s">
        <v>771</v>
      </c>
      <c r="P90" s="1207" t="s">
        <v>678</v>
      </c>
      <c r="Q90" s="1163"/>
      <c r="R90" s="1269">
        <v>28175000</v>
      </c>
      <c r="S90" s="1357">
        <v>28175000</v>
      </c>
      <c r="T90" s="1357">
        <f>+Tabla16[[#This Row],[CDPS A 31 JULIO 2022]]-Tabla16[[#This Row],[CDP]]</f>
        <v>0</v>
      </c>
      <c r="U90" s="1357">
        <v>28175000</v>
      </c>
      <c r="V90" s="1357">
        <v>10943333</v>
      </c>
      <c r="W90" s="135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07"/>
      <c r="BF90" s="1207"/>
      <c r="BG90" s="1207"/>
      <c r="BH90" s="1207"/>
      <c r="BI90" s="1207"/>
      <c r="BJ90" s="1207"/>
      <c r="BK90" s="1207"/>
      <c r="BL90" s="1207"/>
      <c r="BM90" s="1207"/>
      <c r="BN90" s="1207"/>
      <c r="BO90" s="1207"/>
      <c r="BP90" s="1207"/>
      <c r="BQ90" s="1207"/>
      <c r="BR90" s="1207"/>
      <c r="BS90" s="1207"/>
      <c r="BT90" s="1207"/>
      <c r="BU90" s="1207"/>
      <c r="BV90" s="1207"/>
      <c r="BW90" s="1207"/>
      <c r="BX90" s="1207"/>
      <c r="BY90" s="1207"/>
      <c r="BZ90" s="1207"/>
      <c r="CA90" s="1207"/>
      <c r="CB90" s="1207"/>
      <c r="CC90" s="1207"/>
      <c r="CD90" s="1207"/>
      <c r="CE90" s="1207"/>
      <c r="CF90" s="1207"/>
    </row>
    <row r="91" spans="1:84" ht="105" x14ac:dyDescent="0.25">
      <c r="A91" s="1355">
        <v>2022095</v>
      </c>
      <c r="B91" s="1172">
        <v>7655</v>
      </c>
      <c r="C91" s="1356" t="s">
        <v>668</v>
      </c>
      <c r="D91" s="1190" t="s">
        <v>689</v>
      </c>
      <c r="E91" s="1174" t="s">
        <v>778</v>
      </c>
      <c r="F91" s="1380" t="s">
        <v>822</v>
      </c>
      <c r="G91" s="1381">
        <v>44575</v>
      </c>
      <c r="H91" s="1381">
        <v>44575</v>
      </c>
      <c r="I91" s="1176">
        <v>11.5</v>
      </c>
      <c r="J91" s="1176" t="s">
        <v>673</v>
      </c>
      <c r="K91" s="1177" t="s">
        <v>674</v>
      </c>
      <c r="L91" s="1178" t="s">
        <v>675</v>
      </c>
      <c r="M91" s="1179">
        <v>31625000</v>
      </c>
      <c r="N91" s="1382" t="s">
        <v>781</v>
      </c>
      <c r="O91" s="1174" t="s">
        <v>771</v>
      </c>
      <c r="P91" s="1207" t="s">
        <v>678</v>
      </c>
      <c r="Q91" s="1163"/>
      <c r="R91" s="1269">
        <v>31625000</v>
      </c>
      <c r="S91" s="1357">
        <v>31625000</v>
      </c>
      <c r="T91" s="1357">
        <f>+Tabla16[[#This Row],[CDPS A 31 JULIO 2022]]-Tabla16[[#This Row],[CDP]]</f>
        <v>0</v>
      </c>
      <c r="U91" s="1357">
        <v>31625000</v>
      </c>
      <c r="V91" s="1357">
        <v>11458333</v>
      </c>
      <c r="W91" s="135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07"/>
      <c r="BF91" s="1207"/>
      <c r="BG91" s="1207"/>
      <c r="BH91" s="1207"/>
      <c r="BI91" s="1207"/>
      <c r="BJ91" s="1207"/>
      <c r="BK91" s="1207"/>
      <c r="BL91" s="1207"/>
      <c r="BM91" s="1207"/>
      <c r="BN91" s="1207"/>
      <c r="BO91" s="1207"/>
      <c r="BP91" s="1207"/>
      <c r="BQ91" s="1207"/>
      <c r="BR91" s="1207"/>
      <c r="BS91" s="1207"/>
      <c r="BT91" s="1207"/>
      <c r="BU91" s="1207"/>
      <c r="BV91" s="1207"/>
      <c r="BW91" s="1207"/>
      <c r="BX91" s="1207"/>
      <c r="BY91" s="1207"/>
      <c r="BZ91" s="1207"/>
      <c r="CA91" s="1207"/>
      <c r="CB91" s="1207"/>
      <c r="CC91" s="1207"/>
      <c r="CD91" s="1207"/>
      <c r="CE91" s="1207"/>
      <c r="CF91" s="1207"/>
    </row>
    <row r="92" spans="1:84" ht="105" x14ac:dyDescent="0.25">
      <c r="A92" s="1355">
        <v>2022096</v>
      </c>
      <c r="B92" s="1172">
        <v>7655</v>
      </c>
      <c r="C92" s="1356" t="s">
        <v>668</v>
      </c>
      <c r="D92" s="1190" t="s">
        <v>689</v>
      </c>
      <c r="E92" s="1174" t="s">
        <v>778</v>
      </c>
      <c r="F92" s="1380" t="s">
        <v>823</v>
      </c>
      <c r="G92" s="1381">
        <v>44575</v>
      </c>
      <c r="H92" s="1381">
        <v>44575</v>
      </c>
      <c r="I92" s="1176">
        <v>11.5</v>
      </c>
      <c r="J92" s="1176" t="s">
        <v>673</v>
      </c>
      <c r="K92" s="1177" t="s">
        <v>674</v>
      </c>
      <c r="L92" s="1178" t="s">
        <v>675</v>
      </c>
      <c r="M92" s="1179">
        <v>69000000</v>
      </c>
      <c r="N92" s="1382" t="s">
        <v>781</v>
      </c>
      <c r="O92" s="1174" t="s">
        <v>771</v>
      </c>
      <c r="P92" s="1207" t="s">
        <v>678</v>
      </c>
      <c r="Q92" s="1163"/>
      <c r="R92" s="1269">
        <v>69000000</v>
      </c>
      <c r="S92" s="1357">
        <v>69000000</v>
      </c>
      <c r="T92" s="1357">
        <f>+Tabla16[[#This Row],[CDPS A 31 JULIO 2022]]-Tabla16[[#This Row],[CDP]]</f>
        <v>0</v>
      </c>
      <c r="U92" s="1357">
        <v>69000000</v>
      </c>
      <c r="V92" s="1357">
        <v>26600000</v>
      </c>
      <c r="W92" s="1357"/>
      <c r="X92" s="1207"/>
      <c r="Y92" s="1207"/>
      <c r="Z92" s="1207"/>
      <c r="AA92" s="1207"/>
      <c r="AB92" s="1207"/>
      <c r="AC92" s="1207"/>
      <c r="AD92" s="1207"/>
      <c r="AE92" s="1207"/>
      <c r="AF92" s="1207"/>
      <c r="AG92" s="1207"/>
      <c r="AH92" s="1207"/>
      <c r="AI92" s="1207"/>
      <c r="AJ92" s="1207"/>
      <c r="AK92" s="1207"/>
      <c r="AL92" s="1207"/>
      <c r="AM92" s="1207"/>
      <c r="AN92" s="1207"/>
      <c r="AO92" s="1207"/>
      <c r="AP92" s="1207"/>
      <c r="AQ92" s="1207"/>
      <c r="AR92" s="1207"/>
      <c r="AS92" s="1207"/>
      <c r="AT92" s="1207"/>
      <c r="AU92" s="1207"/>
      <c r="AV92" s="1207"/>
      <c r="AW92" s="1207"/>
      <c r="AX92" s="1207"/>
      <c r="AY92" s="1207"/>
      <c r="AZ92" s="1207"/>
      <c r="BA92" s="1207"/>
      <c r="BB92" s="1207"/>
      <c r="BC92" s="1207"/>
      <c r="BD92" s="1207"/>
      <c r="BE92" s="1207"/>
      <c r="BF92" s="1207"/>
      <c r="BG92" s="1207"/>
      <c r="BH92" s="1207"/>
      <c r="BI92" s="1207"/>
      <c r="BJ92" s="1207"/>
      <c r="BK92" s="1207"/>
      <c r="BL92" s="1207"/>
      <c r="BM92" s="1207"/>
      <c r="BN92" s="1207"/>
      <c r="BO92" s="1207"/>
      <c r="BP92" s="1207"/>
      <c r="BQ92" s="1207"/>
      <c r="BR92" s="1207"/>
      <c r="BS92" s="1207"/>
      <c r="BT92" s="1207"/>
      <c r="BU92" s="1207"/>
      <c r="BV92" s="1207"/>
      <c r="BW92" s="1207"/>
      <c r="BX92" s="1207"/>
      <c r="BY92" s="1207"/>
      <c r="BZ92" s="1207"/>
      <c r="CA92" s="1207"/>
      <c r="CB92" s="1207"/>
      <c r="CC92" s="1207"/>
      <c r="CD92" s="1207"/>
      <c r="CE92" s="1207"/>
      <c r="CF92" s="1207"/>
    </row>
    <row r="93" spans="1:84" ht="105" x14ac:dyDescent="0.25">
      <c r="A93" s="1355">
        <v>2022097</v>
      </c>
      <c r="B93" s="1172">
        <v>7655</v>
      </c>
      <c r="C93" s="1356" t="s">
        <v>668</v>
      </c>
      <c r="D93" s="1190" t="s">
        <v>689</v>
      </c>
      <c r="E93" s="1174" t="s">
        <v>778</v>
      </c>
      <c r="F93" s="1380" t="s">
        <v>820</v>
      </c>
      <c r="G93" s="1381">
        <v>44575</v>
      </c>
      <c r="H93" s="1381">
        <v>44575</v>
      </c>
      <c r="I93" s="1176">
        <v>11.5</v>
      </c>
      <c r="J93" s="1176" t="s">
        <v>673</v>
      </c>
      <c r="K93" s="1177" t="s">
        <v>674</v>
      </c>
      <c r="L93" s="1178" t="s">
        <v>675</v>
      </c>
      <c r="M93" s="1179">
        <v>24150000</v>
      </c>
      <c r="N93" s="1382" t="s">
        <v>781</v>
      </c>
      <c r="O93" s="1174" t="s">
        <v>771</v>
      </c>
      <c r="P93" s="1207" t="s">
        <v>678</v>
      </c>
      <c r="Q93" s="1163"/>
      <c r="R93" s="1269">
        <v>24150000</v>
      </c>
      <c r="S93" s="1357">
        <v>24150000</v>
      </c>
      <c r="T93" s="1357">
        <f>+Tabla16[[#This Row],[CDPS A 31 JULIO 2022]]-Tabla16[[#This Row],[CDP]]</f>
        <v>0</v>
      </c>
      <c r="U93" s="1357">
        <v>24150000</v>
      </c>
      <c r="V93" s="1357">
        <v>9170000</v>
      </c>
      <c r="W93" s="1357"/>
      <c r="X93" s="1207"/>
      <c r="Y93" s="1207"/>
      <c r="Z93" s="1207"/>
      <c r="AA93" s="1207"/>
      <c r="AB93" s="1207"/>
      <c r="AC93" s="1207"/>
      <c r="AD93" s="1207"/>
      <c r="AE93" s="1207"/>
      <c r="AF93" s="1207"/>
      <c r="AG93" s="1207"/>
      <c r="AH93" s="1207"/>
      <c r="AI93" s="1207"/>
      <c r="AJ93" s="1207"/>
      <c r="AK93" s="1207"/>
      <c r="AL93" s="1207"/>
      <c r="AM93" s="1207"/>
      <c r="AN93" s="1207"/>
      <c r="AO93" s="1207"/>
      <c r="AP93" s="1207"/>
      <c r="AQ93" s="1207"/>
      <c r="AR93" s="1207"/>
      <c r="AS93" s="1207"/>
      <c r="AT93" s="1207"/>
      <c r="AU93" s="1207"/>
      <c r="AV93" s="1207"/>
      <c r="AW93" s="1207"/>
      <c r="AX93" s="1207"/>
      <c r="AY93" s="1207"/>
      <c r="AZ93" s="1207"/>
      <c r="BA93" s="1207"/>
      <c r="BB93" s="1207"/>
      <c r="BC93" s="1207"/>
      <c r="BD93" s="1207"/>
      <c r="BE93" s="1207"/>
      <c r="BF93" s="1207"/>
      <c r="BG93" s="1207"/>
      <c r="BH93" s="1207"/>
      <c r="BI93" s="1207"/>
      <c r="BJ93" s="1207"/>
      <c r="BK93" s="1207"/>
      <c r="BL93" s="1207"/>
      <c r="BM93" s="1207"/>
      <c r="BN93" s="1207"/>
      <c r="BO93" s="1207"/>
      <c r="BP93" s="1207"/>
      <c r="BQ93" s="1207"/>
      <c r="BR93" s="1207"/>
      <c r="BS93" s="1207"/>
      <c r="BT93" s="1207"/>
      <c r="BU93" s="1207"/>
      <c r="BV93" s="1207"/>
      <c r="BW93" s="1207"/>
      <c r="BX93" s="1207"/>
      <c r="BY93" s="1207"/>
      <c r="BZ93" s="1207"/>
      <c r="CA93" s="1207"/>
      <c r="CB93" s="1207"/>
      <c r="CC93" s="1207"/>
      <c r="CD93" s="1207"/>
      <c r="CE93" s="1207"/>
      <c r="CF93" s="1207"/>
    </row>
    <row r="94" spans="1:84" ht="105" x14ac:dyDescent="0.25">
      <c r="A94" s="1355">
        <v>2022098</v>
      </c>
      <c r="B94" s="1172">
        <v>7655</v>
      </c>
      <c r="C94" s="1356" t="s">
        <v>668</v>
      </c>
      <c r="D94" s="1190" t="s">
        <v>689</v>
      </c>
      <c r="E94" s="1174" t="s">
        <v>778</v>
      </c>
      <c r="F94" s="1380" t="s">
        <v>820</v>
      </c>
      <c r="G94" s="1381">
        <v>44575</v>
      </c>
      <c r="H94" s="1381">
        <v>44575</v>
      </c>
      <c r="I94" s="1176">
        <v>11.5</v>
      </c>
      <c r="J94" s="1176" t="s">
        <v>673</v>
      </c>
      <c r="K94" s="1177" t="s">
        <v>674</v>
      </c>
      <c r="L94" s="1178" t="s">
        <v>675</v>
      </c>
      <c r="M94" s="1179">
        <v>28175000</v>
      </c>
      <c r="N94" s="1382" t="s">
        <v>781</v>
      </c>
      <c r="O94" s="1174" t="s">
        <v>771</v>
      </c>
      <c r="P94" s="1207" t="s">
        <v>678</v>
      </c>
      <c r="Q94" s="1163"/>
      <c r="R94" s="1269">
        <v>28175000</v>
      </c>
      <c r="S94" s="1357">
        <v>28175000</v>
      </c>
      <c r="T94" s="1357">
        <f>+Tabla16[[#This Row],[CDPS A 31 JULIO 2022]]-Tabla16[[#This Row],[CDP]]</f>
        <v>0</v>
      </c>
      <c r="U94" s="1357">
        <v>28175000</v>
      </c>
      <c r="V94" s="1357">
        <v>10780000</v>
      </c>
      <c r="W94" s="135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07"/>
      <c r="BF94" s="1207"/>
      <c r="BG94" s="1207"/>
      <c r="BH94" s="1207"/>
      <c r="BI94" s="1207"/>
      <c r="BJ94" s="1207"/>
      <c r="BK94" s="1207"/>
      <c r="BL94" s="1207"/>
      <c r="BM94" s="1207"/>
      <c r="BN94" s="1207"/>
      <c r="BO94" s="1207"/>
      <c r="BP94" s="1207"/>
      <c r="BQ94" s="1207"/>
      <c r="BR94" s="1207"/>
      <c r="BS94" s="1207"/>
      <c r="BT94" s="1207"/>
      <c r="BU94" s="1207"/>
      <c r="BV94" s="1207"/>
      <c r="BW94" s="1207"/>
      <c r="BX94" s="1207"/>
      <c r="BY94" s="1207"/>
      <c r="BZ94" s="1207"/>
      <c r="CA94" s="1207"/>
      <c r="CB94" s="1207"/>
      <c r="CC94" s="1207"/>
      <c r="CD94" s="1207"/>
      <c r="CE94" s="1207"/>
      <c r="CF94" s="1207"/>
    </row>
    <row r="95" spans="1:84" ht="105" x14ac:dyDescent="0.25">
      <c r="A95" s="1355">
        <v>2022099</v>
      </c>
      <c r="B95" s="1172">
        <v>7655</v>
      </c>
      <c r="C95" s="1356" t="s">
        <v>668</v>
      </c>
      <c r="D95" s="1190" t="s">
        <v>689</v>
      </c>
      <c r="E95" s="1174" t="s">
        <v>778</v>
      </c>
      <c r="F95" s="1380" t="s">
        <v>820</v>
      </c>
      <c r="G95" s="1381">
        <v>44575</v>
      </c>
      <c r="H95" s="1381">
        <v>44575</v>
      </c>
      <c r="I95" s="1176">
        <v>11.5</v>
      </c>
      <c r="J95" s="1176" t="s">
        <v>673</v>
      </c>
      <c r="K95" s="1177" t="s">
        <v>674</v>
      </c>
      <c r="L95" s="1178" t="s">
        <v>675</v>
      </c>
      <c r="M95" s="1179">
        <v>28175000</v>
      </c>
      <c r="N95" s="1382" t="s">
        <v>781</v>
      </c>
      <c r="O95" s="1174" t="s">
        <v>771</v>
      </c>
      <c r="P95" s="1207" t="s">
        <v>678</v>
      </c>
      <c r="Q95" s="1163"/>
      <c r="R95" s="1269">
        <v>28175000</v>
      </c>
      <c r="S95" s="1357">
        <v>28175000</v>
      </c>
      <c r="T95" s="1357">
        <f>+Tabla16[[#This Row],[CDPS A 31 JULIO 2022]]-Tabla16[[#This Row],[CDP]]</f>
        <v>0</v>
      </c>
      <c r="U95" s="1357">
        <v>28175000</v>
      </c>
      <c r="V95" s="1357">
        <v>10943333</v>
      </c>
      <c r="W95" s="135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07"/>
      <c r="BF95" s="1207"/>
      <c r="BG95" s="1207"/>
      <c r="BH95" s="1207"/>
      <c r="BI95" s="1207"/>
      <c r="BJ95" s="1207"/>
      <c r="BK95" s="1207"/>
      <c r="BL95" s="1207"/>
      <c r="BM95" s="1207"/>
      <c r="BN95" s="1207"/>
      <c r="BO95" s="1207"/>
      <c r="BP95" s="1207"/>
      <c r="BQ95" s="1207"/>
      <c r="BR95" s="1207"/>
      <c r="BS95" s="1207"/>
      <c r="BT95" s="1207"/>
      <c r="BU95" s="1207"/>
      <c r="BV95" s="1207"/>
      <c r="BW95" s="1207"/>
      <c r="BX95" s="1207"/>
      <c r="BY95" s="1207"/>
      <c r="BZ95" s="1207"/>
      <c r="CA95" s="1207"/>
      <c r="CB95" s="1207"/>
      <c r="CC95" s="1207"/>
      <c r="CD95" s="1207"/>
      <c r="CE95" s="1207"/>
      <c r="CF95" s="1207"/>
    </row>
    <row r="96" spans="1:84" ht="105" x14ac:dyDescent="0.25">
      <c r="A96" s="1355">
        <v>2022100</v>
      </c>
      <c r="B96" s="1172">
        <v>7655</v>
      </c>
      <c r="C96" s="1356" t="s">
        <v>668</v>
      </c>
      <c r="D96" s="1190" t="s">
        <v>689</v>
      </c>
      <c r="E96" s="1174" t="s">
        <v>778</v>
      </c>
      <c r="F96" s="1380" t="s">
        <v>824</v>
      </c>
      <c r="G96" s="1381">
        <v>44575</v>
      </c>
      <c r="H96" s="1381">
        <v>44575</v>
      </c>
      <c r="I96" s="1176">
        <v>11.5</v>
      </c>
      <c r="J96" s="1176" t="s">
        <v>673</v>
      </c>
      <c r="K96" s="1177" t="s">
        <v>674</v>
      </c>
      <c r="L96" s="1178" t="s">
        <v>780</v>
      </c>
      <c r="M96" s="1179">
        <v>63250000</v>
      </c>
      <c r="N96" s="1382" t="s">
        <v>781</v>
      </c>
      <c r="O96" s="1174" t="s">
        <v>771</v>
      </c>
      <c r="P96" s="1207" t="s">
        <v>678</v>
      </c>
      <c r="Q96" s="1163"/>
      <c r="R96" s="1269">
        <v>63250000</v>
      </c>
      <c r="S96" s="1357">
        <v>63250000</v>
      </c>
      <c r="T96" s="1357">
        <f>+Tabla16[[#This Row],[CDPS A 31 JULIO 2022]]-Tabla16[[#This Row],[CDP]]</f>
        <v>0</v>
      </c>
      <c r="U96" s="1357">
        <v>63250000</v>
      </c>
      <c r="V96" s="1357">
        <v>23833333</v>
      </c>
      <c r="W96" s="1357"/>
      <c r="X96" s="1207"/>
      <c r="Y96" s="1207"/>
      <c r="Z96" s="1207"/>
      <c r="AA96" s="1207"/>
      <c r="AB96" s="1207"/>
      <c r="AC96" s="1207"/>
      <c r="AD96" s="1207"/>
      <c r="AE96" s="1207"/>
      <c r="AF96" s="1207"/>
      <c r="AG96" s="1207"/>
      <c r="AH96" s="1207"/>
      <c r="AI96" s="1207"/>
      <c r="AJ96" s="1207"/>
      <c r="AK96" s="1207"/>
      <c r="AL96" s="1207"/>
      <c r="AM96" s="1207"/>
      <c r="AN96" s="1207"/>
      <c r="AO96" s="1207"/>
      <c r="AP96" s="1207"/>
      <c r="AQ96" s="1207"/>
      <c r="AR96" s="1207"/>
      <c r="AS96" s="1207"/>
      <c r="AT96" s="1207"/>
      <c r="AU96" s="1207"/>
      <c r="AV96" s="1207"/>
      <c r="AW96" s="1207"/>
      <c r="AX96" s="1207"/>
      <c r="AY96" s="1207"/>
      <c r="AZ96" s="1207"/>
      <c r="BA96" s="1207"/>
      <c r="BB96" s="1207"/>
      <c r="BC96" s="1207"/>
      <c r="BD96" s="1207"/>
      <c r="BE96" s="1207"/>
      <c r="BF96" s="1207"/>
      <c r="BG96" s="1207"/>
      <c r="BH96" s="1207"/>
      <c r="BI96" s="1207"/>
      <c r="BJ96" s="1207"/>
      <c r="BK96" s="1207"/>
      <c r="BL96" s="1207"/>
      <c r="BM96" s="1207"/>
      <c r="BN96" s="1207"/>
      <c r="BO96" s="1207"/>
      <c r="BP96" s="1207"/>
      <c r="BQ96" s="1207"/>
      <c r="BR96" s="1207"/>
      <c r="BS96" s="1207"/>
      <c r="BT96" s="1207"/>
      <c r="BU96" s="1207"/>
      <c r="BV96" s="1207"/>
      <c r="BW96" s="1207"/>
      <c r="BX96" s="1207"/>
      <c r="BY96" s="1207"/>
      <c r="BZ96" s="1207"/>
      <c r="CA96" s="1207"/>
      <c r="CB96" s="1207"/>
      <c r="CC96" s="1207"/>
      <c r="CD96" s="1207"/>
      <c r="CE96" s="1207"/>
      <c r="CF96" s="1207"/>
    </row>
    <row r="97" spans="1:84" ht="105" x14ac:dyDescent="0.25">
      <c r="A97" s="1355">
        <v>2022101</v>
      </c>
      <c r="B97" s="1172">
        <v>7655</v>
      </c>
      <c r="C97" s="1356" t="s">
        <v>668</v>
      </c>
      <c r="D97" s="1190" t="s">
        <v>689</v>
      </c>
      <c r="E97" s="1174" t="s">
        <v>778</v>
      </c>
      <c r="F97" s="1380" t="s">
        <v>825</v>
      </c>
      <c r="G97" s="1381">
        <v>44575</v>
      </c>
      <c r="H97" s="1381">
        <v>44575</v>
      </c>
      <c r="I97" s="1176">
        <v>11.5</v>
      </c>
      <c r="J97" s="1176" t="s">
        <v>673</v>
      </c>
      <c r="K97" s="1177" t="s">
        <v>674</v>
      </c>
      <c r="L97" s="1178" t="s">
        <v>780</v>
      </c>
      <c r="M97" s="1179">
        <v>63250000</v>
      </c>
      <c r="N97" s="1382" t="s">
        <v>781</v>
      </c>
      <c r="O97" s="1174" t="s">
        <v>771</v>
      </c>
      <c r="P97" s="1207" t="s">
        <v>678</v>
      </c>
      <c r="Q97" s="1163"/>
      <c r="R97" s="1269">
        <v>63250000</v>
      </c>
      <c r="S97" s="1357">
        <v>63250000</v>
      </c>
      <c r="T97" s="1357">
        <f>+Tabla16[[#This Row],[CDPS A 31 JULIO 2022]]-Tabla16[[#This Row],[CDP]]</f>
        <v>0</v>
      </c>
      <c r="U97" s="1357">
        <v>63250000</v>
      </c>
      <c r="V97" s="1357">
        <v>22000000</v>
      </c>
      <c r="W97" s="1357"/>
      <c r="X97" s="1207"/>
      <c r="Y97" s="1207"/>
      <c r="Z97" s="1207"/>
      <c r="AA97" s="1207"/>
      <c r="AB97" s="1207"/>
      <c r="AC97" s="1207"/>
      <c r="AD97" s="1207"/>
      <c r="AE97" s="1207"/>
      <c r="AF97" s="1207"/>
      <c r="AG97" s="1207"/>
      <c r="AH97" s="1207"/>
      <c r="AI97" s="1207"/>
      <c r="AJ97" s="1207"/>
      <c r="AK97" s="1207"/>
      <c r="AL97" s="1207"/>
      <c r="AM97" s="1207"/>
      <c r="AN97" s="1207"/>
      <c r="AO97" s="1207"/>
      <c r="AP97" s="1207"/>
      <c r="AQ97" s="1207"/>
      <c r="AR97" s="1207"/>
      <c r="AS97" s="1207"/>
      <c r="AT97" s="1207"/>
      <c r="AU97" s="1207"/>
      <c r="AV97" s="1207"/>
      <c r="AW97" s="1207"/>
      <c r="AX97" s="1207"/>
      <c r="AY97" s="1207"/>
      <c r="AZ97" s="1207"/>
      <c r="BA97" s="1207"/>
      <c r="BB97" s="1207"/>
      <c r="BC97" s="1207"/>
      <c r="BD97" s="1207"/>
      <c r="BE97" s="1207"/>
      <c r="BF97" s="1207"/>
      <c r="BG97" s="1207"/>
      <c r="BH97" s="1207"/>
      <c r="BI97" s="1207"/>
      <c r="BJ97" s="1207"/>
      <c r="BK97" s="1207"/>
      <c r="BL97" s="1207"/>
      <c r="BM97" s="1207"/>
      <c r="BN97" s="1207"/>
      <c r="BO97" s="1207"/>
      <c r="BP97" s="1207"/>
      <c r="BQ97" s="1207"/>
      <c r="BR97" s="1207"/>
      <c r="BS97" s="1207"/>
      <c r="BT97" s="1207"/>
      <c r="BU97" s="1207"/>
      <c r="BV97" s="1207"/>
      <c r="BW97" s="1207"/>
      <c r="BX97" s="1207"/>
      <c r="BY97" s="1207"/>
      <c r="BZ97" s="1207"/>
      <c r="CA97" s="1207"/>
      <c r="CB97" s="1207"/>
      <c r="CC97" s="1207"/>
      <c r="CD97" s="1207"/>
      <c r="CE97" s="1207"/>
      <c r="CF97" s="1207"/>
    </row>
    <row r="98" spans="1:84" ht="105" x14ac:dyDescent="0.25">
      <c r="A98" s="1355">
        <v>2022103</v>
      </c>
      <c r="B98" s="1172">
        <v>7655</v>
      </c>
      <c r="C98" s="1356" t="s">
        <v>668</v>
      </c>
      <c r="D98" s="1190" t="s">
        <v>689</v>
      </c>
      <c r="E98" s="1174" t="s">
        <v>778</v>
      </c>
      <c r="F98" s="1380" t="s">
        <v>826</v>
      </c>
      <c r="G98" s="1381">
        <v>44575</v>
      </c>
      <c r="H98" s="1381">
        <v>44575</v>
      </c>
      <c r="I98" s="1176">
        <v>7</v>
      </c>
      <c r="J98" s="1176" t="s">
        <v>673</v>
      </c>
      <c r="K98" s="1177" t="s">
        <v>674</v>
      </c>
      <c r="L98" s="1178" t="s">
        <v>675</v>
      </c>
      <c r="M98" s="1179">
        <v>31500000</v>
      </c>
      <c r="N98" s="1382" t="s">
        <v>781</v>
      </c>
      <c r="O98" s="1174" t="s">
        <v>771</v>
      </c>
      <c r="P98" s="1207" t="s">
        <v>678</v>
      </c>
      <c r="Q98" s="1163"/>
      <c r="R98" s="1269">
        <v>31500000</v>
      </c>
      <c r="S98" s="1357">
        <v>31500000</v>
      </c>
      <c r="T98" s="1357">
        <f>+Tabla16[[#This Row],[CDPS A 31 JULIO 2022]]-Tabla16[[#This Row],[CDP]]</f>
        <v>0</v>
      </c>
      <c r="U98" s="1357">
        <v>31500000</v>
      </c>
      <c r="V98" s="1357">
        <v>19050000</v>
      </c>
      <c r="W98" s="135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07"/>
      <c r="BF98" s="1207"/>
      <c r="BG98" s="1207"/>
      <c r="BH98" s="1207"/>
      <c r="BI98" s="1207"/>
      <c r="BJ98" s="1207"/>
      <c r="BK98" s="1207"/>
      <c r="BL98" s="1207"/>
      <c r="BM98" s="1207"/>
      <c r="BN98" s="1207"/>
      <c r="BO98" s="1207"/>
      <c r="BP98" s="1207"/>
      <c r="BQ98" s="1207"/>
      <c r="BR98" s="1207"/>
      <c r="BS98" s="1207"/>
      <c r="BT98" s="1207"/>
      <c r="BU98" s="1207"/>
      <c r="BV98" s="1207"/>
      <c r="BW98" s="1207"/>
      <c r="BX98" s="1207"/>
      <c r="BY98" s="1207"/>
      <c r="BZ98" s="1207"/>
      <c r="CA98" s="1207"/>
      <c r="CB98" s="1207"/>
      <c r="CC98" s="1207"/>
      <c r="CD98" s="1207"/>
      <c r="CE98" s="1207"/>
      <c r="CF98" s="1207"/>
    </row>
    <row r="99" spans="1:84" ht="105" x14ac:dyDescent="0.25">
      <c r="A99" s="1355">
        <v>2022104</v>
      </c>
      <c r="B99" s="1172">
        <v>7655</v>
      </c>
      <c r="C99" s="1356" t="s">
        <v>668</v>
      </c>
      <c r="D99" s="1190" t="s">
        <v>689</v>
      </c>
      <c r="E99" s="1174" t="s">
        <v>778</v>
      </c>
      <c r="F99" s="1380" t="s">
        <v>827</v>
      </c>
      <c r="G99" s="1381">
        <v>44575</v>
      </c>
      <c r="H99" s="1381">
        <v>44575</v>
      </c>
      <c r="I99" s="1176">
        <v>11.5</v>
      </c>
      <c r="J99" s="1176" t="s">
        <v>673</v>
      </c>
      <c r="K99" s="1177" t="s">
        <v>674</v>
      </c>
      <c r="L99" s="1178" t="s">
        <v>675</v>
      </c>
      <c r="M99" s="1179">
        <v>38525000</v>
      </c>
      <c r="N99" s="1382" t="s">
        <v>781</v>
      </c>
      <c r="O99" s="1174" t="s">
        <v>771</v>
      </c>
      <c r="P99" s="1207" t="s">
        <v>678</v>
      </c>
      <c r="Q99" s="1163"/>
      <c r="R99" s="1269">
        <v>38525000</v>
      </c>
      <c r="S99" s="1357">
        <v>38525000</v>
      </c>
      <c r="T99" s="1357">
        <f>+Tabla16[[#This Row],[CDPS A 31 JULIO 2022]]-Tabla16[[#This Row],[CDP]]</f>
        <v>0</v>
      </c>
      <c r="U99" s="1357">
        <v>38525000</v>
      </c>
      <c r="V99" s="1357">
        <v>14740000</v>
      </c>
      <c r="W99" s="135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07"/>
      <c r="BF99" s="1207"/>
      <c r="BG99" s="1207"/>
      <c r="BH99" s="1207"/>
      <c r="BI99" s="1207"/>
      <c r="BJ99" s="1207"/>
      <c r="BK99" s="1207"/>
      <c r="BL99" s="1207"/>
      <c r="BM99" s="1207"/>
      <c r="BN99" s="1207"/>
      <c r="BO99" s="1207"/>
      <c r="BP99" s="1207"/>
      <c r="BQ99" s="1207"/>
      <c r="BR99" s="1207"/>
      <c r="BS99" s="1207"/>
      <c r="BT99" s="1207"/>
      <c r="BU99" s="1207"/>
      <c r="BV99" s="1207"/>
      <c r="BW99" s="1207"/>
      <c r="BX99" s="1207"/>
      <c r="BY99" s="1207"/>
      <c r="BZ99" s="1207"/>
      <c r="CA99" s="1207"/>
      <c r="CB99" s="1207"/>
      <c r="CC99" s="1207"/>
      <c r="CD99" s="1207"/>
      <c r="CE99" s="1207"/>
      <c r="CF99" s="1207"/>
    </row>
    <row r="100" spans="1:84" ht="105" x14ac:dyDescent="0.25">
      <c r="A100" s="1355">
        <v>2022105</v>
      </c>
      <c r="B100" s="1172">
        <v>7655</v>
      </c>
      <c r="C100" s="1356" t="s">
        <v>668</v>
      </c>
      <c r="D100" s="1190" t="s">
        <v>689</v>
      </c>
      <c r="E100" s="1174" t="s">
        <v>778</v>
      </c>
      <c r="F100" s="1380" t="s">
        <v>827</v>
      </c>
      <c r="G100" s="1381">
        <v>44575</v>
      </c>
      <c r="H100" s="1381">
        <v>44575</v>
      </c>
      <c r="I100" s="1176">
        <v>11.5</v>
      </c>
      <c r="J100" s="1176" t="s">
        <v>673</v>
      </c>
      <c r="K100" s="1177" t="s">
        <v>674</v>
      </c>
      <c r="L100" s="1178" t="s">
        <v>675</v>
      </c>
      <c r="M100" s="1179">
        <v>28175000</v>
      </c>
      <c r="N100" s="1382" t="s">
        <v>781</v>
      </c>
      <c r="O100" s="1174" t="s">
        <v>771</v>
      </c>
      <c r="P100" s="1207" t="s">
        <v>678</v>
      </c>
      <c r="Q100" s="1163"/>
      <c r="R100" s="1269">
        <v>28175000</v>
      </c>
      <c r="S100" s="1357">
        <v>28175000</v>
      </c>
      <c r="T100" s="1357">
        <f>+Tabla16[[#This Row],[CDPS A 31 JULIO 2022]]-Tabla16[[#This Row],[CDP]]</f>
        <v>0</v>
      </c>
      <c r="U100" s="1357">
        <v>28175000</v>
      </c>
      <c r="V100" s="1357">
        <v>10616667</v>
      </c>
      <c r="W100" s="135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07"/>
      <c r="BF100" s="1207"/>
      <c r="BG100" s="1207"/>
      <c r="BH100" s="1207"/>
      <c r="BI100" s="1207"/>
      <c r="BJ100" s="1207"/>
      <c r="BK100" s="1207"/>
      <c r="BL100" s="1207"/>
      <c r="BM100" s="1207"/>
      <c r="BN100" s="1207"/>
      <c r="BO100" s="1207"/>
      <c r="BP100" s="1207"/>
      <c r="BQ100" s="1207"/>
      <c r="BR100" s="1207"/>
      <c r="BS100" s="1207"/>
      <c r="BT100" s="1207"/>
      <c r="BU100" s="1207"/>
      <c r="BV100" s="1207"/>
      <c r="BW100" s="1207"/>
      <c r="BX100" s="1207"/>
      <c r="BY100" s="1207"/>
      <c r="BZ100" s="1207"/>
      <c r="CA100" s="1207"/>
      <c r="CB100" s="1207"/>
      <c r="CC100" s="1207"/>
      <c r="CD100" s="1207"/>
      <c r="CE100" s="1207"/>
      <c r="CF100" s="1207"/>
    </row>
    <row r="101" spans="1:84" ht="105" x14ac:dyDescent="0.25">
      <c r="A101" s="1355">
        <v>2022106</v>
      </c>
      <c r="B101" s="1172">
        <v>7655</v>
      </c>
      <c r="C101" s="1356" t="s">
        <v>668</v>
      </c>
      <c r="D101" s="1190" t="s">
        <v>689</v>
      </c>
      <c r="E101" s="1174" t="s">
        <v>778</v>
      </c>
      <c r="F101" s="1380" t="s">
        <v>828</v>
      </c>
      <c r="G101" s="1381">
        <v>44575</v>
      </c>
      <c r="H101" s="1381">
        <v>44575</v>
      </c>
      <c r="I101" s="1176">
        <v>11.5</v>
      </c>
      <c r="J101" s="1176" t="s">
        <v>673</v>
      </c>
      <c r="K101" s="1177" t="s">
        <v>674</v>
      </c>
      <c r="L101" s="1178" t="s">
        <v>675</v>
      </c>
      <c r="M101" s="1179">
        <v>44275000</v>
      </c>
      <c r="N101" s="1382" t="s">
        <v>781</v>
      </c>
      <c r="O101" s="1174" t="s">
        <v>771</v>
      </c>
      <c r="P101" s="1207" t="s">
        <v>678</v>
      </c>
      <c r="Q101" s="1163"/>
      <c r="R101" s="1269">
        <v>44275000</v>
      </c>
      <c r="S101" s="1357">
        <v>44275000</v>
      </c>
      <c r="T101" s="1357">
        <f>+Tabla16[[#This Row],[CDPS A 31 JULIO 2022]]-Tabla16[[#This Row],[CDP]]</f>
        <v>0</v>
      </c>
      <c r="U101" s="1357">
        <v>44275000</v>
      </c>
      <c r="V101" s="1357">
        <v>15528333</v>
      </c>
      <c r="W101" s="135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07"/>
      <c r="BF101" s="1207"/>
      <c r="BG101" s="1207"/>
      <c r="BH101" s="1207"/>
      <c r="BI101" s="1207"/>
      <c r="BJ101" s="1207"/>
      <c r="BK101" s="1207"/>
      <c r="BL101" s="1207"/>
      <c r="BM101" s="1207"/>
      <c r="BN101" s="1207"/>
      <c r="BO101" s="1207"/>
      <c r="BP101" s="1207"/>
      <c r="BQ101" s="1207"/>
      <c r="BR101" s="1207"/>
      <c r="BS101" s="1207"/>
      <c r="BT101" s="1207"/>
      <c r="BU101" s="1207"/>
      <c r="BV101" s="1207"/>
      <c r="BW101" s="1207"/>
      <c r="BX101" s="1207"/>
      <c r="BY101" s="1207"/>
      <c r="BZ101" s="1207"/>
      <c r="CA101" s="1207"/>
      <c r="CB101" s="1207"/>
      <c r="CC101" s="1207"/>
      <c r="CD101" s="1207"/>
      <c r="CE101" s="1207"/>
      <c r="CF101" s="1207"/>
    </row>
    <row r="102" spans="1:84" ht="105" x14ac:dyDescent="0.25">
      <c r="A102" s="1355">
        <v>2022107</v>
      </c>
      <c r="B102" s="1172">
        <v>7655</v>
      </c>
      <c r="C102" s="1356" t="s">
        <v>668</v>
      </c>
      <c r="D102" s="1190" t="s">
        <v>689</v>
      </c>
      <c r="E102" s="1174" t="s">
        <v>778</v>
      </c>
      <c r="F102" s="1380" t="s">
        <v>829</v>
      </c>
      <c r="G102" s="1381">
        <v>44575</v>
      </c>
      <c r="H102" s="1381">
        <v>44575</v>
      </c>
      <c r="I102" s="1176">
        <v>7</v>
      </c>
      <c r="J102" s="1176" t="s">
        <v>673</v>
      </c>
      <c r="K102" s="1177" t="s">
        <v>674</v>
      </c>
      <c r="L102" s="1178" t="s">
        <v>675</v>
      </c>
      <c r="M102" s="1179">
        <v>31500000</v>
      </c>
      <c r="N102" s="1382" t="s">
        <v>781</v>
      </c>
      <c r="O102" s="1174" t="s">
        <v>771</v>
      </c>
      <c r="P102" s="1207" t="s">
        <v>678</v>
      </c>
      <c r="Q102" s="1163"/>
      <c r="R102" s="1269">
        <v>31500000</v>
      </c>
      <c r="S102" s="1357">
        <v>31500000</v>
      </c>
      <c r="T102" s="1357">
        <f>+Tabla16[[#This Row],[CDPS A 31 JULIO 2022]]-Tabla16[[#This Row],[CDP]]</f>
        <v>0</v>
      </c>
      <c r="U102" s="1357">
        <v>31500000</v>
      </c>
      <c r="V102" s="1357">
        <v>3450000</v>
      </c>
      <c r="W102" s="1357"/>
      <c r="X102" s="1207"/>
      <c r="Y102" s="1207"/>
      <c r="Z102" s="1207"/>
      <c r="AA102" s="1207"/>
      <c r="AB102" s="1207"/>
      <c r="AC102" s="1207"/>
      <c r="AD102" s="1207"/>
      <c r="AE102" s="1207"/>
      <c r="AF102" s="1207"/>
      <c r="AG102" s="1207"/>
      <c r="AH102" s="1207"/>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07"/>
      <c r="BF102" s="1207"/>
      <c r="BG102" s="1207"/>
      <c r="BH102" s="1207"/>
      <c r="BI102" s="1207"/>
      <c r="BJ102" s="1207"/>
      <c r="BK102" s="1207"/>
      <c r="BL102" s="1207"/>
      <c r="BM102" s="1207"/>
      <c r="BN102" s="1207"/>
      <c r="BO102" s="1207"/>
      <c r="BP102" s="1207"/>
      <c r="BQ102" s="1207"/>
      <c r="BR102" s="1207"/>
      <c r="BS102" s="1207"/>
      <c r="BT102" s="1207"/>
      <c r="BU102" s="1207"/>
      <c r="BV102" s="1207"/>
      <c r="BW102" s="1207"/>
      <c r="BX102" s="1207"/>
      <c r="BY102" s="1207"/>
      <c r="BZ102" s="1207"/>
      <c r="CA102" s="1207"/>
      <c r="CB102" s="1207"/>
      <c r="CC102" s="1207"/>
      <c r="CD102" s="1207"/>
      <c r="CE102" s="1207"/>
      <c r="CF102" s="1207"/>
    </row>
    <row r="103" spans="1:84" ht="105" x14ac:dyDescent="0.25">
      <c r="A103" s="1355">
        <v>2022108</v>
      </c>
      <c r="B103" s="1172">
        <v>7655</v>
      </c>
      <c r="C103" s="1356" t="s">
        <v>668</v>
      </c>
      <c r="D103" s="1190" t="s">
        <v>689</v>
      </c>
      <c r="E103" s="1174" t="s">
        <v>778</v>
      </c>
      <c r="F103" s="1380" t="s">
        <v>830</v>
      </c>
      <c r="G103" s="1381">
        <v>44575</v>
      </c>
      <c r="H103" s="1381">
        <v>44575</v>
      </c>
      <c r="I103" s="1176">
        <v>12</v>
      </c>
      <c r="J103" s="1176" t="s">
        <v>673</v>
      </c>
      <c r="K103" s="1177" t="s">
        <v>674</v>
      </c>
      <c r="L103" s="1178" t="s">
        <v>675</v>
      </c>
      <c r="M103" s="1179">
        <v>29400000</v>
      </c>
      <c r="N103" s="1382" t="s">
        <v>781</v>
      </c>
      <c r="O103" s="1174" t="s">
        <v>771</v>
      </c>
      <c r="P103" s="1207" t="s">
        <v>678</v>
      </c>
      <c r="Q103" s="1163"/>
      <c r="R103" s="1269">
        <v>29400000</v>
      </c>
      <c r="S103" s="1357">
        <v>29400000</v>
      </c>
      <c r="T103" s="1357">
        <f>+Tabla16[[#This Row],[CDPS A 31 JULIO 2022]]-Tabla16[[#This Row],[CDP]]</f>
        <v>0</v>
      </c>
      <c r="U103" s="1357">
        <v>29400000</v>
      </c>
      <c r="V103" s="1357">
        <v>10371667</v>
      </c>
      <c r="W103" s="1357"/>
      <c r="X103" s="1207"/>
      <c r="Y103" s="1207"/>
      <c r="Z103" s="1207"/>
      <c r="AA103" s="1207"/>
      <c r="AB103" s="1207"/>
      <c r="AC103" s="1207"/>
      <c r="AD103" s="1207"/>
      <c r="AE103" s="1207"/>
      <c r="AF103" s="1207"/>
      <c r="AG103" s="1207"/>
      <c r="AH103" s="1207"/>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07"/>
      <c r="BF103" s="1207"/>
      <c r="BG103" s="1207"/>
      <c r="BH103" s="1207"/>
      <c r="BI103" s="1207"/>
      <c r="BJ103" s="1207"/>
      <c r="BK103" s="1207"/>
      <c r="BL103" s="1207"/>
      <c r="BM103" s="1207"/>
      <c r="BN103" s="1207"/>
      <c r="BO103" s="1207"/>
      <c r="BP103" s="1207"/>
      <c r="BQ103" s="1207"/>
      <c r="BR103" s="1207"/>
      <c r="BS103" s="1207"/>
      <c r="BT103" s="1207"/>
      <c r="BU103" s="1207"/>
      <c r="BV103" s="1207"/>
      <c r="BW103" s="1207"/>
      <c r="BX103" s="1207"/>
      <c r="BY103" s="1207"/>
      <c r="BZ103" s="1207"/>
      <c r="CA103" s="1207"/>
      <c r="CB103" s="1207"/>
      <c r="CC103" s="1207"/>
      <c r="CD103" s="1207"/>
      <c r="CE103" s="1207"/>
      <c r="CF103" s="1207"/>
    </row>
    <row r="104" spans="1:84" ht="105" x14ac:dyDescent="0.25">
      <c r="A104" s="1355">
        <v>2022109</v>
      </c>
      <c r="B104" s="1172">
        <v>7655</v>
      </c>
      <c r="C104" s="1356" t="s">
        <v>668</v>
      </c>
      <c r="D104" s="1190" t="s">
        <v>689</v>
      </c>
      <c r="E104" s="1174" t="s">
        <v>778</v>
      </c>
      <c r="F104" s="1380" t="s">
        <v>831</v>
      </c>
      <c r="G104" s="1381">
        <v>44575</v>
      </c>
      <c r="H104" s="1381">
        <v>44575</v>
      </c>
      <c r="I104" s="1176">
        <v>12</v>
      </c>
      <c r="J104" s="1176" t="s">
        <v>673</v>
      </c>
      <c r="K104" s="1177" t="s">
        <v>674</v>
      </c>
      <c r="L104" s="1178" t="s">
        <v>675</v>
      </c>
      <c r="M104" s="1179">
        <v>84000000</v>
      </c>
      <c r="N104" s="1382" t="s">
        <v>781</v>
      </c>
      <c r="O104" s="1174" t="s">
        <v>771</v>
      </c>
      <c r="P104" s="1207" t="s">
        <v>678</v>
      </c>
      <c r="Q104" s="1163"/>
      <c r="R104" s="1269">
        <v>84000000</v>
      </c>
      <c r="S104" s="1357">
        <v>84000000</v>
      </c>
      <c r="T104" s="1357">
        <f>+Tabla16[[#This Row],[CDPS A 31 JULIO 2022]]-Tabla16[[#This Row],[CDP]]</f>
        <v>0</v>
      </c>
      <c r="U104" s="1357">
        <v>84000000</v>
      </c>
      <c r="V104" s="1357">
        <v>30566667</v>
      </c>
      <c r="W104" s="1357"/>
      <c r="X104" s="1207"/>
      <c r="Y104" s="1207"/>
      <c r="Z104" s="1207"/>
      <c r="AA104" s="1207"/>
      <c r="AB104" s="1207"/>
      <c r="AC104" s="1207"/>
      <c r="AD104" s="1207"/>
      <c r="AE104" s="1207"/>
      <c r="AF104" s="1207"/>
      <c r="AG104" s="1207"/>
      <c r="AH104" s="1207"/>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07"/>
      <c r="BF104" s="1207"/>
      <c r="BG104" s="1207"/>
      <c r="BH104" s="1207"/>
      <c r="BI104" s="1207"/>
      <c r="BJ104" s="1207"/>
      <c r="BK104" s="1207"/>
      <c r="BL104" s="1207"/>
      <c r="BM104" s="1207"/>
      <c r="BN104" s="1207"/>
      <c r="BO104" s="1207"/>
      <c r="BP104" s="1207"/>
      <c r="BQ104" s="1207"/>
      <c r="BR104" s="1207"/>
      <c r="BS104" s="1207"/>
      <c r="BT104" s="1207"/>
      <c r="BU104" s="1207"/>
      <c r="BV104" s="1207"/>
      <c r="BW104" s="1207"/>
      <c r="BX104" s="1207"/>
      <c r="BY104" s="1207"/>
      <c r="BZ104" s="1207"/>
      <c r="CA104" s="1207"/>
      <c r="CB104" s="1207"/>
      <c r="CC104" s="1207"/>
      <c r="CD104" s="1207"/>
      <c r="CE104" s="1207"/>
      <c r="CF104" s="1207"/>
    </row>
    <row r="105" spans="1:84" ht="105" x14ac:dyDescent="0.25">
      <c r="A105" s="1355">
        <v>2022110</v>
      </c>
      <c r="B105" s="1172">
        <v>7655</v>
      </c>
      <c r="C105" s="1356" t="s">
        <v>668</v>
      </c>
      <c r="D105" s="1190" t="s">
        <v>689</v>
      </c>
      <c r="E105" s="1174" t="s">
        <v>778</v>
      </c>
      <c r="F105" s="1380" t="s">
        <v>832</v>
      </c>
      <c r="G105" s="1381">
        <v>44575</v>
      </c>
      <c r="H105" s="1381">
        <v>44575</v>
      </c>
      <c r="I105" s="1176">
        <v>12</v>
      </c>
      <c r="J105" s="1176" t="s">
        <v>673</v>
      </c>
      <c r="K105" s="1177" t="s">
        <v>674</v>
      </c>
      <c r="L105" s="1178" t="s">
        <v>675</v>
      </c>
      <c r="M105" s="1179">
        <v>40200000</v>
      </c>
      <c r="N105" s="1382" t="s">
        <v>781</v>
      </c>
      <c r="O105" s="1174" t="s">
        <v>771</v>
      </c>
      <c r="P105" s="1207" t="s">
        <v>678</v>
      </c>
      <c r="Q105" s="1163"/>
      <c r="R105" s="1269">
        <v>29400000</v>
      </c>
      <c r="S105" s="1357">
        <v>29400000</v>
      </c>
      <c r="T105" s="1357">
        <f>+Tabla16[[#This Row],[CDPS A 31 JULIO 2022]]-Tabla16[[#This Row],[CDP]]</f>
        <v>0</v>
      </c>
      <c r="U105" s="1357">
        <v>29400000</v>
      </c>
      <c r="V105" s="1357">
        <v>9800000</v>
      </c>
      <c r="W105" s="1357"/>
      <c r="X105" s="1207"/>
      <c r="Y105" s="1207"/>
      <c r="Z105" s="1207"/>
      <c r="AA105" s="1207"/>
      <c r="AB105" s="1207"/>
      <c r="AC105" s="1207"/>
      <c r="AD105" s="1207"/>
      <c r="AE105" s="1207"/>
      <c r="AF105" s="1207"/>
      <c r="AG105" s="1207"/>
      <c r="AH105" s="1207"/>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07"/>
      <c r="BF105" s="1207"/>
      <c r="BG105" s="1207"/>
      <c r="BH105" s="1207"/>
      <c r="BI105" s="1207"/>
      <c r="BJ105" s="1207"/>
      <c r="BK105" s="1207"/>
      <c r="BL105" s="1207"/>
      <c r="BM105" s="1207"/>
      <c r="BN105" s="1207"/>
      <c r="BO105" s="1207"/>
      <c r="BP105" s="1207"/>
      <c r="BQ105" s="1207"/>
      <c r="BR105" s="1207"/>
      <c r="BS105" s="1207"/>
      <c r="BT105" s="1207"/>
      <c r="BU105" s="1207"/>
      <c r="BV105" s="1207"/>
      <c r="BW105" s="1207"/>
      <c r="BX105" s="1207"/>
      <c r="BY105" s="1207"/>
      <c r="BZ105" s="1207"/>
      <c r="CA105" s="1207"/>
      <c r="CB105" s="1207"/>
      <c r="CC105" s="1207"/>
      <c r="CD105" s="1207"/>
      <c r="CE105" s="1207"/>
      <c r="CF105" s="1207"/>
    </row>
    <row r="106" spans="1:84" ht="105" x14ac:dyDescent="0.25">
      <c r="A106" s="1355">
        <v>2022111</v>
      </c>
      <c r="B106" s="1172">
        <v>7655</v>
      </c>
      <c r="C106" s="1356" t="s">
        <v>668</v>
      </c>
      <c r="D106" s="1190" t="s">
        <v>689</v>
      </c>
      <c r="E106" s="1174" t="s">
        <v>778</v>
      </c>
      <c r="F106" s="1380" t="s">
        <v>830</v>
      </c>
      <c r="G106" s="1381">
        <v>44575</v>
      </c>
      <c r="H106" s="1381">
        <v>44575</v>
      </c>
      <c r="I106" s="1176">
        <v>12</v>
      </c>
      <c r="J106" s="1176" t="s">
        <v>673</v>
      </c>
      <c r="K106" s="1177" t="s">
        <v>674</v>
      </c>
      <c r="L106" s="1178" t="s">
        <v>675</v>
      </c>
      <c r="M106" s="1179">
        <v>29400000</v>
      </c>
      <c r="N106" s="1382" t="s">
        <v>781</v>
      </c>
      <c r="O106" s="1174" t="s">
        <v>771</v>
      </c>
      <c r="P106" s="1207" t="s">
        <v>678</v>
      </c>
      <c r="Q106" s="1163"/>
      <c r="R106" s="1269">
        <v>29400000</v>
      </c>
      <c r="S106" s="1357">
        <v>29400000</v>
      </c>
      <c r="T106" s="1357">
        <f>+Tabla16[[#This Row],[CDPS A 31 JULIO 2022]]-Tabla16[[#This Row],[CDP]]</f>
        <v>0</v>
      </c>
      <c r="U106" s="1357">
        <v>29400000</v>
      </c>
      <c r="V106" s="1357">
        <v>10371667</v>
      </c>
      <c r="W106" s="1357"/>
      <c r="X106" s="1207"/>
      <c r="Y106" s="1207"/>
      <c r="Z106" s="1207"/>
      <c r="AA106" s="1207"/>
      <c r="AB106" s="1207"/>
      <c r="AC106" s="1207"/>
      <c r="AD106" s="1207"/>
      <c r="AE106" s="1207"/>
      <c r="AF106" s="1207"/>
      <c r="AG106" s="1207"/>
      <c r="AH106" s="1207"/>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07"/>
      <c r="BF106" s="1207"/>
      <c r="BG106" s="1207"/>
      <c r="BH106" s="1207"/>
      <c r="BI106" s="1207"/>
      <c r="BJ106" s="1207"/>
      <c r="BK106" s="1207"/>
      <c r="BL106" s="1207"/>
      <c r="BM106" s="1207"/>
      <c r="BN106" s="1207"/>
      <c r="BO106" s="1207"/>
      <c r="BP106" s="1207"/>
      <c r="BQ106" s="1207"/>
      <c r="BR106" s="1207"/>
      <c r="BS106" s="1207"/>
      <c r="BT106" s="1207"/>
      <c r="BU106" s="1207"/>
      <c r="BV106" s="1207"/>
      <c r="BW106" s="1207"/>
      <c r="BX106" s="1207"/>
      <c r="BY106" s="1207"/>
      <c r="BZ106" s="1207"/>
      <c r="CA106" s="1207"/>
      <c r="CB106" s="1207"/>
      <c r="CC106" s="1207"/>
      <c r="CD106" s="1207"/>
      <c r="CE106" s="1207"/>
      <c r="CF106" s="1207"/>
    </row>
    <row r="107" spans="1:84" ht="105" x14ac:dyDescent="0.25">
      <c r="A107" s="1355">
        <v>2022112</v>
      </c>
      <c r="B107" s="1172">
        <v>7655</v>
      </c>
      <c r="C107" s="1356" t="s">
        <v>668</v>
      </c>
      <c r="D107" s="1190" t="s">
        <v>689</v>
      </c>
      <c r="E107" s="1174" t="s">
        <v>778</v>
      </c>
      <c r="F107" s="1380" t="s">
        <v>833</v>
      </c>
      <c r="G107" s="1381">
        <v>44575</v>
      </c>
      <c r="H107" s="1381">
        <v>44575</v>
      </c>
      <c r="I107" s="1176">
        <v>12</v>
      </c>
      <c r="J107" s="1176" t="s">
        <v>673</v>
      </c>
      <c r="K107" s="1177" t="s">
        <v>674</v>
      </c>
      <c r="L107" s="1178" t="s">
        <v>675</v>
      </c>
      <c r="M107" s="1179">
        <v>29400000</v>
      </c>
      <c r="N107" s="1382" t="s">
        <v>781</v>
      </c>
      <c r="O107" s="1174" t="s">
        <v>771</v>
      </c>
      <c r="P107" s="1207" t="s">
        <v>678</v>
      </c>
      <c r="Q107" s="1163"/>
      <c r="R107" s="1269">
        <v>29400000</v>
      </c>
      <c r="S107" s="1357">
        <v>29400000</v>
      </c>
      <c r="T107" s="1357">
        <f>+Tabla16[[#This Row],[CDPS A 31 JULIO 2022]]-Tabla16[[#This Row],[CDP]]</f>
        <v>0</v>
      </c>
      <c r="U107" s="1357">
        <v>29400000</v>
      </c>
      <c r="V107" s="1357">
        <v>10698333</v>
      </c>
      <c r="W107" s="1357"/>
      <c r="X107" s="1207"/>
      <c r="Y107" s="1207"/>
      <c r="Z107" s="1207"/>
      <c r="AA107" s="1207"/>
      <c r="AB107" s="1207"/>
      <c r="AC107" s="1207"/>
      <c r="AD107" s="1207"/>
      <c r="AE107" s="1207"/>
      <c r="AF107" s="1207"/>
      <c r="AG107" s="1207"/>
      <c r="AH107" s="1207"/>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07"/>
      <c r="BF107" s="1207"/>
      <c r="BG107" s="1207"/>
      <c r="BH107" s="1207"/>
      <c r="BI107" s="1207"/>
      <c r="BJ107" s="1207"/>
      <c r="BK107" s="1207"/>
      <c r="BL107" s="1207"/>
      <c r="BM107" s="1207"/>
      <c r="BN107" s="1207"/>
      <c r="BO107" s="1207"/>
      <c r="BP107" s="1207"/>
      <c r="BQ107" s="1207"/>
      <c r="BR107" s="1207"/>
      <c r="BS107" s="1207"/>
      <c r="BT107" s="1207"/>
      <c r="BU107" s="1207"/>
      <c r="BV107" s="1207"/>
      <c r="BW107" s="1207"/>
      <c r="BX107" s="1207"/>
      <c r="BY107" s="1207"/>
      <c r="BZ107" s="1207"/>
      <c r="CA107" s="1207"/>
      <c r="CB107" s="1207"/>
      <c r="CC107" s="1207"/>
      <c r="CD107" s="1207"/>
      <c r="CE107" s="1207"/>
      <c r="CF107" s="1207"/>
    </row>
    <row r="108" spans="1:84" ht="105" x14ac:dyDescent="0.25">
      <c r="A108" s="1355">
        <v>2022113</v>
      </c>
      <c r="B108" s="1172">
        <v>7655</v>
      </c>
      <c r="C108" s="1356" t="s">
        <v>668</v>
      </c>
      <c r="D108" s="1190" t="s">
        <v>689</v>
      </c>
      <c r="E108" s="1174" t="s">
        <v>778</v>
      </c>
      <c r="F108" s="1380" t="s">
        <v>833</v>
      </c>
      <c r="G108" s="1381">
        <v>44575</v>
      </c>
      <c r="H108" s="1381">
        <v>44575</v>
      </c>
      <c r="I108" s="1176">
        <v>12</v>
      </c>
      <c r="J108" s="1176" t="s">
        <v>673</v>
      </c>
      <c r="K108" s="1177" t="s">
        <v>674</v>
      </c>
      <c r="L108" s="1178" t="s">
        <v>675</v>
      </c>
      <c r="M108" s="1179">
        <v>29400000</v>
      </c>
      <c r="N108" s="1382" t="s">
        <v>781</v>
      </c>
      <c r="O108" s="1174" t="s">
        <v>771</v>
      </c>
      <c r="P108" s="1207" t="s">
        <v>678</v>
      </c>
      <c r="Q108" s="1163"/>
      <c r="R108" s="1269">
        <v>29400000</v>
      </c>
      <c r="S108" s="1357">
        <v>29400000</v>
      </c>
      <c r="T108" s="1357">
        <f>+Tabla16[[#This Row],[CDPS A 31 JULIO 2022]]-Tabla16[[#This Row],[CDP]]</f>
        <v>0</v>
      </c>
      <c r="U108" s="1357">
        <v>29400000</v>
      </c>
      <c r="V108" s="1357">
        <v>8738333</v>
      </c>
      <c r="W108" s="135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07"/>
      <c r="BF108" s="1207"/>
      <c r="BG108" s="1207"/>
      <c r="BH108" s="1207"/>
      <c r="BI108" s="1207"/>
      <c r="BJ108" s="1207"/>
      <c r="BK108" s="1207"/>
      <c r="BL108" s="1207"/>
      <c r="BM108" s="1207"/>
      <c r="BN108" s="1207"/>
      <c r="BO108" s="1207"/>
      <c r="BP108" s="1207"/>
      <c r="BQ108" s="1207"/>
      <c r="BR108" s="1207"/>
      <c r="BS108" s="1207"/>
      <c r="BT108" s="1207"/>
      <c r="BU108" s="1207"/>
      <c r="BV108" s="1207"/>
      <c r="BW108" s="1207"/>
      <c r="BX108" s="1207"/>
      <c r="BY108" s="1207"/>
      <c r="BZ108" s="1207"/>
      <c r="CA108" s="1207"/>
      <c r="CB108" s="1207"/>
      <c r="CC108" s="1207"/>
      <c r="CD108" s="1207"/>
      <c r="CE108" s="1207"/>
      <c r="CF108" s="1207"/>
    </row>
    <row r="109" spans="1:84" ht="105" x14ac:dyDescent="0.25">
      <c r="A109" s="1355">
        <v>2022114</v>
      </c>
      <c r="B109" s="1172">
        <v>7655</v>
      </c>
      <c r="C109" s="1356" t="s">
        <v>668</v>
      </c>
      <c r="D109" s="1190" t="s">
        <v>689</v>
      </c>
      <c r="E109" s="1174" t="s">
        <v>778</v>
      </c>
      <c r="F109" s="1380" t="s">
        <v>834</v>
      </c>
      <c r="G109" s="1381">
        <v>44575</v>
      </c>
      <c r="H109" s="1381">
        <v>44575</v>
      </c>
      <c r="I109" s="1176">
        <v>12</v>
      </c>
      <c r="J109" s="1176" t="s">
        <v>673</v>
      </c>
      <c r="K109" s="1177" t="s">
        <v>674</v>
      </c>
      <c r="L109" s="1178" t="s">
        <v>675</v>
      </c>
      <c r="M109" s="1179">
        <v>29400000</v>
      </c>
      <c r="N109" s="1382" t="s">
        <v>781</v>
      </c>
      <c r="O109" s="1174" t="s">
        <v>771</v>
      </c>
      <c r="P109" s="1207" t="s">
        <v>678</v>
      </c>
      <c r="Q109" s="1163"/>
      <c r="R109" s="1269">
        <v>29400000</v>
      </c>
      <c r="S109" s="1357">
        <v>29400000</v>
      </c>
      <c r="T109" s="1357">
        <f>+Tabla16[[#This Row],[CDPS A 31 JULIO 2022]]-Tabla16[[#This Row],[CDP]]</f>
        <v>0</v>
      </c>
      <c r="U109" s="1357">
        <v>29400000</v>
      </c>
      <c r="V109" s="1357">
        <v>10371667</v>
      </c>
      <c r="W109" s="135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row>
    <row r="110" spans="1:84" ht="105" x14ac:dyDescent="0.25">
      <c r="A110" s="1355">
        <v>2022115</v>
      </c>
      <c r="B110" s="1172">
        <v>7655</v>
      </c>
      <c r="C110" s="1356" t="s">
        <v>668</v>
      </c>
      <c r="D110" s="1190" t="s">
        <v>689</v>
      </c>
      <c r="E110" s="1174" t="s">
        <v>778</v>
      </c>
      <c r="F110" s="1380" t="s">
        <v>833</v>
      </c>
      <c r="G110" s="1381">
        <v>44575</v>
      </c>
      <c r="H110" s="1381">
        <v>44575</v>
      </c>
      <c r="I110" s="1176">
        <v>12</v>
      </c>
      <c r="J110" s="1176" t="s">
        <v>673</v>
      </c>
      <c r="K110" s="1177" t="s">
        <v>674</v>
      </c>
      <c r="L110" s="1178" t="s">
        <v>675</v>
      </c>
      <c r="M110" s="1179">
        <v>29400000</v>
      </c>
      <c r="N110" s="1382" t="s">
        <v>781</v>
      </c>
      <c r="O110" s="1174" t="s">
        <v>771</v>
      </c>
      <c r="P110" s="1207" t="s">
        <v>678</v>
      </c>
      <c r="Q110" s="1163"/>
      <c r="R110" s="1269">
        <v>29400000</v>
      </c>
      <c r="S110" s="1357">
        <v>29400000</v>
      </c>
      <c r="T110" s="1357">
        <f>+Tabla16[[#This Row],[CDPS A 31 JULIO 2022]]-Tabla16[[#This Row],[CDP]]</f>
        <v>0</v>
      </c>
      <c r="U110" s="1357">
        <v>29400000</v>
      </c>
      <c r="V110" s="1357">
        <v>9636667</v>
      </c>
      <c r="W110" s="135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07"/>
      <c r="BF110" s="1207"/>
      <c r="BG110" s="1207"/>
      <c r="BH110" s="1207"/>
      <c r="BI110" s="1207"/>
      <c r="BJ110" s="1207"/>
      <c r="BK110" s="1207"/>
      <c r="BL110" s="1207"/>
      <c r="BM110" s="1207"/>
      <c r="BN110" s="1207"/>
      <c r="BO110" s="1207"/>
      <c r="BP110" s="1207"/>
      <c r="BQ110" s="1207"/>
      <c r="BR110" s="1207"/>
      <c r="BS110" s="1207"/>
      <c r="BT110" s="1207"/>
      <c r="BU110" s="1207"/>
      <c r="BV110" s="1207"/>
      <c r="BW110" s="1207"/>
      <c r="BX110" s="1207"/>
      <c r="BY110" s="1207"/>
      <c r="BZ110" s="1207"/>
      <c r="CA110" s="1207"/>
      <c r="CB110" s="1207"/>
      <c r="CC110" s="1207"/>
      <c r="CD110" s="1207"/>
      <c r="CE110" s="1207"/>
      <c r="CF110" s="1207"/>
    </row>
    <row r="111" spans="1:84" ht="105" x14ac:dyDescent="0.25">
      <c r="A111" s="1355">
        <v>2022116</v>
      </c>
      <c r="B111" s="1172">
        <v>7655</v>
      </c>
      <c r="C111" s="1356" t="s">
        <v>668</v>
      </c>
      <c r="D111" s="1190" t="s">
        <v>689</v>
      </c>
      <c r="E111" s="1174" t="s">
        <v>778</v>
      </c>
      <c r="F111" s="1380" t="s">
        <v>833</v>
      </c>
      <c r="G111" s="1381">
        <v>44575</v>
      </c>
      <c r="H111" s="1381">
        <v>44575</v>
      </c>
      <c r="I111" s="1176">
        <v>12</v>
      </c>
      <c r="J111" s="1176" t="s">
        <v>673</v>
      </c>
      <c r="K111" s="1177" t="s">
        <v>674</v>
      </c>
      <c r="L111" s="1178" t="s">
        <v>675</v>
      </c>
      <c r="M111" s="1179">
        <v>29400000</v>
      </c>
      <c r="N111" s="1382" t="s">
        <v>781</v>
      </c>
      <c r="O111" s="1174" t="s">
        <v>771</v>
      </c>
      <c r="P111" s="1207" t="s">
        <v>678</v>
      </c>
      <c r="Q111" s="1163"/>
      <c r="R111" s="1269">
        <v>29400000</v>
      </c>
      <c r="S111" s="1357">
        <v>29400000</v>
      </c>
      <c r="T111" s="1357">
        <f>+Tabla16[[#This Row],[CDPS A 31 JULIO 2022]]-Tabla16[[#This Row],[CDP]]</f>
        <v>0</v>
      </c>
      <c r="U111" s="1357">
        <v>29400000</v>
      </c>
      <c r="V111" s="1357">
        <v>10780000</v>
      </c>
      <c r="W111" s="135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07"/>
      <c r="BF111" s="1207"/>
      <c r="BG111" s="1207"/>
      <c r="BH111" s="1207"/>
      <c r="BI111" s="1207"/>
      <c r="BJ111" s="1207"/>
      <c r="BK111" s="1207"/>
      <c r="BL111" s="1207"/>
      <c r="BM111" s="1207"/>
      <c r="BN111" s="1207"/>
      <c r="BO111" s="1207"/>
      <c r="BP111" s="1207"/>
      <c r="BQ111" s="1207"/>
      <c r="BR111" s="1207"/>
      <c r="BS111" s="1207"/>
      <c r="BT111" s="1207"/>
      <c r="BU111" s="1207"/>
      <c r="BV111" s="1207"/>
      <c r="BW111" s="1207"/>
      <c r="BX111" s="1207"/>
      <c r="BY111" s="1207"/>
      <c r="BZ111" s="1207"/>
      <c r="CA111" s="1207"/>
      <c r="CB111" s="1207"/>
      <c r="CC111" s="1207"/>
      <c r="CD111" s="1207"/>
      <c r="CE111" s="1207"/>
      <c r="CF111" s="1207"/>
    </row>
    <row r="112" spans="1:84" ht="105" x14ac:dyDescent="0.25">
      <c r="A112" s="1355">
        <v>2022117</v>
      </c>
      <c r="B112" s="1172">
        <v>7655</v>
      </c>
      <c r="C112" s="1356" t="s">
        <v>668</v>
      </c>
      <c r="D112" s="1190" t="s">
        <v>689</v>
      </c>
      <c r="E112" s="1174" t="s">
        <v>778</v>
      </c>
      <c r="F112" s="1380" t="s">
        <v>833</v>
      </c>
      <c r="G112" s="1381">
        <v>44575</v>
      </c>
      <c r="H112" s="1381">
        <v>44575</v>
      </c>
      <c r="I112" s="1176">
        <v>12</v>
      </c>
      <c r="J112" s="1176" t="s">
        <v>673</v>
      </c>
      <c r="K112" s="1177" t="s">
        <v>674</v>
      </c>
      <c r="L112" s="1178" t="s">
        <v>675</v>
      </c>
      <c r="M112" s="1179">
        <v>29400000</v>
      </c>
      <c r="N112" s="1382" t="s">
        <v>781</v>
      </c>
      <c r="O112" s="1174" t="s">
        <v>771</v>
      </c>
      <c r="P112" s="1207" t="s">
        <v>678</v>
      </c>
      <c r="Q112" s="1163"/>
      <c r="R112" s="1269">
        <v>29400000</v>
      </c>
      <c r="S112" s="1357">
        <v>29400000</v>
      </c>
      <c r="T112" s="1357">
        <f>+Tabla16[[#This Row],[CDPS A 31 JULIO 2022]]-Tabla16[[#This Row],[CDP]]</f>
        <v>0</v>
      </c>
      <c r="U112" s="1357">
        <v>29400000</v>
      </c>
      <c r="V112" s="1357">
        <v>10371667</v>
      </c>
      <c r="W112" s="1357"/>
      <c r="X112" s="1207"/>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07"/>
      <c r="BF112" s="1207"/>
      <c r="BG112" s="1207"/>
      <c r="BH112" s="1207"/>
      <c r="BI112" s="1207"/>
      <c r="BJ112" s="1207"/>
      <c r="BK112" s="1207"/>
      <c r="BL112" s="1207"/>
      <c r="BM112" s="1207"/>
      <c r="BN112" s="1207"/>
      <c r="BO112" s="1207"/>
      <c r="BP112" s="1207"/>
      <c r="BQ112" s="1207"/>
      <c r="BR112" s="1207"/>
      <c r="BS112" s="1207"/>
      <c r="BT112" s="1207"/>
      <c r="BU112" s="1207"/>
      <c r="BV112" s="1207"/>
      <c r="BW112" s="1207"/>
      <c r="BX112" s="1207"/>
      <c r="BY112" s="1207"/>
      <c r="BZ112" s="1207"/>
      <c r="CA112" s="1207"/>
      <c r="CB112" s="1207"/>
      <c r="CC112" s="1207"/>
      <c r="CD112" s="1207"/>
      <c r="CE112" s="1207"/>
      <c r="CF112" s="1207"/>
    </row>
    <row r="113" spans="1:84" ht="105" x14ac:dyDescent="0.25">
      <c r="A113" s="1355">
        <v>2022118</v>
      </c>
      <c r="B113" s="1172">
        <v>7655</v>
      </c>
      <c r="C113" s="1356" t="s">
        <v>668</v>
      </c>
      <c r="D113" s="1190" t="s">
        <v>689</v>
      </c>
      <c r="E113" s="1174" t="s">
        <v>778</v>
      </c>
      <c r="F113" s="1380" t="s">
        <v>833</v>
      </c>
      <c r="G113" s="1381">
        <v>44575</v>
      </c>
      <c r="H113" s="1381">
        <v>44575</v>
      </c>
      <c r="I113" s="1176">
        <v>12</v>
      </c>
      <c r="J113" s="1176" t="s">
        <v>673</v>
      </c>
      <c r="K113" s="1177" t="s">
        <v>674</v>
      </c>
      <c r="L113" s="1178" t="s">
        <v>675</v>
      </c>
      <c r="M113" s="1179">
        <v>29400000</v>
      </c>
      <c r="N113" s="1382" t="s">
        <v>781</v>
      </c>
      <c r="O113" s="1174" t="s">
        <v>771</v>
      </c>
      <c r="P113" s="1207" t="s">
        <v>678</v>
      </c>
      <c r="Q113" s="1163"/>
      <c r="R113" s="1269">
        <v>29400000</v>
      </c>
      <c r="S113" s="1357">
        <v>29400000</v>
      </c>
      <c r="T113" s="1357">
        <f>+Tabla16[[#This Row],[CDPS A 31 JULIO 2022]]-Tabla16[[#This Row],[CDP]]</f>
        <v>0</v>
      </c>
      <c r="U113" s="1357">
        <v>29400000</v>
      </c>
      <c r="V113" s="1357">
        <v>10208333</v>
      </c>
      <c r="W113" s="1357"/>
      <c r="X113" s="1207"/>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07"/>
      <c r="BF113" s="1207"/>
      <c r="BG113" s="1207"/>
      <c r="BH113" s="1207"/>
      <c r="BI113" s="1207"/>
      <c r="BJ113" s="1207"/>
      <c r="BK113" s="1207"/>
      <c r="BL113" s="1207"/>
      <c r="BM113" s="1207"/>
      <c r="BN113" s="1207"/>
      <c r="BO113" s="1207"/>
      <c r="BP113" s="1207"/>
      <c r="BQ113" s="1207"/>
      <c r="BR113" s="1207"/>
      <c r="BS113" s="1207"/>
      <c r="BT113" s="1207"/>
      <c r="BU113" s="1207"/>
      <c r="BV113" s="1207"/>
      <c r="BW113" s="1207"/>
      <c r="BX113" s="1207"/>
      <c r="BY113" s="1207"/>
      <c r="BZ113" s="1207"/>
      <c r="CA113" s="1207"/>
      <c r="CB113" s="1207"/>
      <c r="CC113" s="1207"/>
      <c r="CD113" s="1207"/>
      <c r="CE113" s="1207"/>
      <c r="CF113" s="1207"/>
    </row>
    <row r="114" spans="1:84" ht="105" x14ac:dyDescent="0.25">
      <c r="A114" s="1355">
        <v>2022119</v>
      </c>
      <c r="B114" s="1172">
        <v>7655</v>
      </c>
      <c r="C114" s="1356" t="s">
        <v>668</v>
      </c>
      <c r="D114" s="1190" t="s">
        <v>689</v>
      </c>
      <c r="E114" s="1174" t="s">
        <v>778</v>
      </c>
      <c r="F114" s="1380" t="s">
        <v>833</v>
      </c>
      <c r="G114" s="1381">
        <v>44575</v>
      </c>
      <c r="H114" s="1381">
        <v>44575</v>
      </c>
      <c r="I114" s="1176">
        <v>12</v>
      </c>
      <c r="J114" s="1176" t="s">
        <v>673</v>
      </c>
      <c r="K114" s="1177" t="s">
        <v>674</v>
      </c>
      <c r="L114" s="1178" t="s">
        <v>675</v>
      </c>
      <c r="M114" s="1179">
        <v>29400000</v>
      </c>
      <c r="N114" s="1382" t="s">
        <v>781</v>
      </c>
      <c r="O114" s="1174" t="s">
        <v>771</v>
      </c>
      <c r="P114" s="1207" t="s">
        <v>678</v>
      </c>
      <c r="Q114" s="1163"/>
      <c r="R114" s="1269">
        <v>29400000</v>
      </c>
      <c r="S114" s="1357">
        <v>29400000</v>
      </c>
      <c r="T114" s="1357">
        <f>+Tabla16[[#This Row],[CDPS A 31 JULIO 2022]]-Tabla16[[#This Row],[CDP]]</f>
        <v>0</v>
      </c>
      <c r="U114" s="1357">
        <v>29400000</v>
      </c>
      <c r="V114" s="1357">
        <v>10371667</v>
      </c>
      <c r="W114" s="1357"/>
      <c r="X114" s="1207"/>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07"/>
      <c r="BF114" s="1207"/>
      <c r="BG114" s="1207"/>
      <c r="BH114" s="1207"/>
      <c r="BI114" s="1207"/>
      <c r="BJ114" s="1207"/>
      <c r="BK114" s="1207"/>
      <c r="BL114" s="1207"/>
      <c r="BM114" s="1207"/>
      <c r="BN114" s="1207"/>
      <c r="BO114" s="1207"/>
      <c r="BP114" s="1207"/>
      <c r="BQ114" s="1207"/>
      <c r="BR114" s="1207"/>
      <c r="BS114" s="1207"/>
      <c r="BT114" s="1207"/>
      <c r="BU114" s="1207"/>
      <c r="BV114" s="1207"/>
      <c r="BW114" s="1207"/>
      <c r="BX114" s="1207"/>
      <c r="BY114" s="1207"/>
      <c r="BZ114" s="1207"/>
      <c r="CA114" s="1207"/>
      <c r="CB114" s="1207"/>
      <c r="CC114" s="1207"/>
      <c r="CD114" s="1207"/>
      <c r="CE114" s="1207"/>
      <c r="CF114" s="1207"/>
    </row>
    <row r="115" spans="1:84" ht="105" x14ac:dyDescent="0.25">
      <c r="A115" s="1355">
        <v>2022120</v>
      </c>
      <c r="B115" s="1172">
        <v>7655</v>
      </c>
      <c r="C115" s="1356" t="s">
        <v>668</v>
      </c>
      <c r="D115" s="1190" t="s">
        <v>689</v>
      </c>
      <c r="E115" s="1174" t="s">
        <v>778</v>
      </c>
      <c r="F115" s="1380" t="s">
        <v>830</v>
      </c>
      <c r="G115" s="1381">
        <v>44575</v>
      </c>
      <c r="H115" s="1381">
        <v>44575</v>
      </c>
      <c r="I115" s="1176">
        <v>12</v>
      </c>
      <c r="J115" s="1176" t="s">
        <v>673</v>
      </c>
      <c r="K115" s="1177" t="s">
        <v>674</v>
      </c>
      <c r="L115" s="1178" t="s">
        <v>675</v>
      </c>
      <c r="M115" s="1179">
        <v>29400000</v>
      </c>
      <c r="N115" s="1382" t="s">
        <v>781</v>
      </c>
      <c r="O115" s="1174" t="s">
        <v>771</v>
      </c>
      <c r="P115" s="1207" t="s">
        <v>678</v>
      </c>
      <c r="Q115" s="1163"/>
      <c r="R115" s="1269">
        <v>29400000</v>
      </c>
      <c r="S115" s="1357">
        <v>29400000</v>
      </c>
      <c r="T115" s="1357">
        <f>+Tabla16[[#This Row],[CDPS A 31 JULIO 2022]]-Tabla16[[#This Row],[CDP]]</f>
        <v>0</v>
      </c>
      <c r="U115" s="1357">
        <v>29400000</v>
      </c>
      <c r="V115" s="1357">
        <v>10371667</v>
      </c>
      <c r="W115" s="1357"/>
      <c r="X115" s="1207"/>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07"/>
      <c r="BF115" s="1207"/>
      <c r="BG115" s="1207"/>
      <c r="BH115" s="1207"/>
      <c r="BI115" s="1207"/>
      <c r="BJ115" s="1207"/>
      <c r="BK115" s="1207"/>
      <c r="BL115" s="1207"/>
      <c r="BM115" s="1207"/>
      <c r="BN115" s="1207"/>
      <c r="BO115" s="1207"/>
      <c r="BP115" s="1207"/>
      <c r="BQ115" s="1207"/>
      <c r="BR115" s="1207"/>
      <c r="BS115" s="1207"/>
      <c r="BT115" s="1207"/>
      <c r="BU115" s="1207"/>
      <c r="BV115" s="1207"/>
      <c r="BW115" s="1207"/>
      <c r="BX115" s="1207"/>
      <c r="BY115" s="1207"/>
      <c r="BZ115" s="1207"/>
      <c r="CA115" s="1207"/>
      <c r="CB115" s="1207"/>
      <c r="CC115" s="1207"/>
      <c r="CD115" s="1207"/>
      <c r="CE115" s="1207"/>
      <c r="CF115" s="1207"/>
    </row>
    <row r="116" spans="1:84" ht="105" x14ac:dyDescent="0.25">
      <c r="A116" s="1355">
        <v>2022121</v>
      </c>
      <c r="B116" s="1172">
        <v>7655</v>
      </c>
      <c r="C116" s="1356" t="s">
        <v>668</v>
      </c>
      <c r="D116" s="1190" t="s">
        <v>689</v>
      </c>
      <c r="E116" s="1174" t="s">
        <v>778</v>
      </c>
      <c r="F116" s="1380" t="s">
        <v>830</v>
      </c>
      <c r="G116" s="1381">
        <v>44575</v>
      </c>
      <c r="H116" s="1381">
        <v>44575</v>
      </c>
      <c r="I116" s="1176">
        <v>12</v>
      </c>
      <c r="J116" s="1176" t="s">
        <v>673</v>
      </c>
      <c r="K116" s="1177" t="s">
        <v>674</v>
      </c>
      <c r="L116" s="1178" t="s">
        <v>675</v>
      </c>
      <c r="M116" s="1179">
        <v>29400000</v>
      </c>
      <c r="N116" s="1382" t="s">
        <v>781</v>
      </c>
      <c r="O116" s="1174" t="s">
        <v>771</v>
      </c>
      <c r="P116" s="1207" t="s">
        <v>678</v>
      </c>
      <c r="Q116" s="1163"/>
      <c r="R116" s="1269">
        <v>29400000</v>
      </c>
      <c r="S116" s="1357">
        <v>29400000</v>
      </c>
      <c r="T116" s="1357">
        <f>+Tabla16[[#This Row],[CDPS A 31 JULIO 2022]]-Tabla16[[#This Row],[CDP]]</f>
        <v>0</v>
      </c>
      <c r="U116" s="1357">
        <v>29400000</v>
      </c>
      <c r="V116" s="1357">
        <v>10780000</v>
      </c>
      <c r="W116" s="1357"/>
      <c r="X116" s="1207"/>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07"/>
      <c r="BF116" s="1207"/>
      <c r="BG116" s="1207"/>
      <c r="BH116" s="1207"/>
      <c r="BI116" s="1207"/>
      <c r="BJ116" s="1207"/>
      <c r="BK116" s="1207"/>
      <c r="BL116" s="1207"/>
      <c r="BM116" s="1207"/>
      <c r="BN116" s="1207"/>
      <c r="BO116" s="1207"/>
      <c r="BP116" s="1207"/>
      <c r="BQ116" s="1207"/>
      <c r="BR116" s="1207"/>
      <c r="BS116" s="1207"/>
      <c r="BT116" s="1207"/>
      <c r="BU116" s="1207"/>
      <c r="BV116" s="1207"/>
      <c r="BW116" s="1207"/>
      <c r="BX116" s="1207"/>
      <c r="BY116" s="1207"/>
      <c r="BZ116" s="1207"/>
      <c r="CA116" s="1207"/>
      <c r="CB116" s="1207"/>
      <c r="CC116" s="1207"/>
      <c r="CD116" s="1207"/>
      <c r="CE116" s="1207"/>
      <c r="CF116" s="1207"/>
    </row>
    <row r="117" spans="1:84" ht="105" x14ac:dyDescent="0.25">
      <c r="A117" s="1355">
        <v>2022122</v>
      </c>
      <c r="B117" s="1172">
        <v>7655</v>
      </c>
      <c r="C117" s="1356" t="s">
        <v>668</v>
      </c>
      <c r="D117" s="1190" t="s">
        <v>689</v>
      </c>
      <c r="E117" s="1174" t="s">
        <v>778</v>
      </c>
      <c r="F117" s="1380" t="s">
        <v>830</v>
      </c>
      <c r="G117" s="1381">
        <v>44575</v>
      </c>
      <c r="H117" s="1381">
        <v>44575</v>
      </c>
      <c r="I117" s="1176">
        <v>12</v>
      </c>
      <c r="J117" s="1176" t="s">
        <v>673</v>
      </c>
      <c r="K117" s="1177" t="s">
        <v>674</v>
      </c>
      <c r="L117" s="1178" t="s">
        <v>675</v>
      </c>
      <c r="M117" s="1179">
        <v>29400000</v>
      </c>
      <c r="N117" s="1382" t="s">
        <v>781</v>
      </c>
      <c r="O117" s="1174" t="s">
        <v>771</v>
      </c>
      <c r="P117" s="1207" t="s">
        <v>678</v>
      </c>
      <c r="Q117" s="1163"/>
      <c r="R117" s="1269">
        <v>29400000</v>
      </c>
      <c r="S117" s="1357">
        <v>29400000</v>
      </c>
      <c r="T117" s="1357">
        <f>+Tabla16[[#This Row],[CDPS A 31 JULIO 2022]]-Tabla16[[#This Row],[CDP]]</f>
        <v>0</v>
      </c>
      <c r="U117" s="1357">
        <v>29400000</v>
      </c>
      <c r="V117" s="1357">
        <v>10780000</v>
      </c>
      <c r="W117" s="1357"/>
      <c r="X117" s="1207"/>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07"/>
      <c r="BF117" s="1207"/>
      <c r="BG117" s="1207"/>
      <c r="BH117" s="1207"/>
      <c r="BI117" s="1207"/>
      <c r="BJ117" s="1207"/>
      <c r="BK117" s="1207"/>
      <c r="BL117" s="1207"/>
      <c r="BM117" s="1207"/>
      <c r="BN117" s="1207"/>
      <c r="BO117" s="1207"/>
      <c r="BP117" s="1207"/>
      <c r="BQ117" s="1207"/>
      <c r="BR117" s="1207"/>
      <c r="BS117" s="1207"/>
      <c r="BT117" s="1207"/>
      <c r="BU117" s="1207"/>
      <c r="BV117" s="1207"/>
      <c r="BW117" s="1207"/>
      <c r="BX117" s="1207"/>
      <c r="BY117" s="1207"/>
      <c r="BZ117" s="1207"/>
      <c r="CA117" s="1207"/>
      <c r="CB117" s="1207"/>
      <c r="CC117" s="1207"/>
      <c r="CD117" s="1207"/>
      <c r="CE117" s="1207"/>
      <c r="CF117" s="1207"/>
    </row>
    <row r="118" spans="1:84" ht="105" x14ac:dyDescent="0.25">
      <c r="A118" s="1355">
        <v>2022123</v>
      </c>
      <c r="B118" s="1172">
        <v>7655</v>
      </c>
      <c r="C118" s="1356" t="s">
        <v>668</v>
      </c>
      <c r="D118" s="1190" t="s">
        <v>689</v>
      </c>
      <c r="E118" s="1174" t="s">
        <v>778</v>
      </c>
      <c r="F118" s="1380" t="s">
        <v>830</v>
      </c>
      <c r="G118" s="1381">
        <v>44575</v>
      </c>
      <c r="H118" s="1381">
        <v>44575</v>
      </c>
      <c r="I118" s="1176">
        <v>12</v>
      </c>
      <c r="J118" s="1176" t="s">
        <v>673</v>
      </c>
      <c r="K118" s="1177" t="s">
        <v>674</v>
      </c>
      <c r="L118" s="1178" t="s">
        <v>675</v>
      </c>
      <c r="M118" s="1179">
        <v>29400000</v>
      </c>
      <c r="N118" s="1382" t="s">
        <v>781</v>
      </c>
      <c r="O118" s="1174" t="s">
        <v>771</v>
      </c>
      <c r="P118" s="1207" t="s">
        <v>678</v>
      </c>
      <c r="Q118" s="1163"/>
      <c r="R118" s="1269">
        <v>29400000</v>
      </c>
      <c r="S118" s="1357">
        <v>29400000</v>
      </c>
      <c r="T118" s="1357">
        <f>+Tabla16[[#This Row],[CDPS A 31 JULIO 2022]]-Tabla16[[#This Row],[CDP]]</f>
        <v>0</v>
      </c>
      <c r="U118" s="1357">
        <v>29400000</v>
      </c>
      <c r="V118" s="1357">
        <v>10780000</v>
      </c>
      <c r="W118" s="135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07"/>
      <c r="BF118" s="1207"/>
      <c r="BG118" s="1207"/>
      <c r="BH118" s="1207"/>
      <c r="BI118" s="1207"/>
      <c r="BJ118" s="1207"/>
      <c r="BK118" s="1207"/>
      <c r="BL118" s="1207"/>
      <c r="BM118" s="1207"/>
      <c r="BN118" s="1207"/>
      <c r="BO118" s="1207"/>
      <c r="BP118" s="1207"/>
      <c r="BQ118" s="1207"/>
      <c r="BR118" s="1207"/>
      <c r="BS118" s="1207"/>
      <c r="BT118" s="1207"/>
      <c r="BU118" s="1207"/>
      <c r="BV118" s="1207"/>
      <c r="BW118" s="1207"/>
      <c r="BX118" s="1207"/>
      <c r="BY118" s="1207"/>
      <c r="BZ118" s="1207"/>
      <c r="CA118" s="1207"/>
      <c r="CB118" s="1207"/>
      <c r="CC118" s="1207"/>
      <c r="CD118" s="1207"/>
      <c r="CE118" s="1207"/>
      <c r="CF118" s="1207"/>
    </row>
    <row r="119" spans="1:84" ht="105" x14ac:dyDescent="0.25">
      <c r="A119" s="1355">
        <v>2022124</v>
      </c>
      <c r="B119" s="1172">
        <v>7655</v>
      </c>
      <c r="C119" s="1356" t="s">
        <v>668</v>
      </c>
      <c r="D119" s="1190" t="s">
        <v>689</v>
      </c>
      <c r="E119" s="1174" t="s">
        <v>778</v>
      </c>
      <c r="F119" s="1380" t="s">
        <v>833</v>
      </c>
      <c r="G119" s="1381">
        <v>44575</v>
      </c>
      <c r="H119" s="1381">
        <v>44575</v>
      </c>
      <c r="I119" s="1176">
        <v>12</v>
      </c>
      <c r="J119" s="1176" t="s">
        <v>673</v>
      </c>
      <c r="K119" s="1177" t="s">
        <v>674</v>
      </c>
      <c r="L119" s="1178" t="s">
        <v>675</v>
      </c>
      <c r="M119" s="1179">
        <v>29400000</v>
      </c>
      <c r="N119" s="1382" t="s">
        <v>781</v>
      </c>
      <c r="O119" s="1174" t="s">
        <v>771</v>
      </c>
      <c r="P119" s="1207" t="s">
        <v>678</v>
      </c>
      <c r="Q119" s="1163"/>
      <c r="R119" s="1269">
        <v>29400000</v>
      </c>
      <c r="S119" s="1357">
        <v>29400000</v>
      </c>
      <c r="T119" s="1357">
        <f>+Tabla16[[#This Row],[CDPS A 31 JULIO 2022]]-Tabla16[[#This Row],[CDP]]</f>
        <v>0</v>
      </c>
      <c r="U119" s="1357">
        <v>29400000</v>
      </c>
      <c r="V119" s="1357">
        <v>10371667</v>
      </c>
      <c r="W119" s="135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07"/>
      <c r="BF119" s="1207"/>
      <c r="BG119" s="1207"/>
      <c r="BH119" s="1207"/>
      <c r="BI119" s="1207"/>
      <c r="BJ119" s="1207"/>
      <c r="BK119" s="1207"/>
      <c r="BL119" s="1207"/>
      <c r="BM119" s="1207"/>
      <c r="BN119" s="1207"/>
      <c r="BO119" s="1207"/>
      <c r="BP119" s="1207"/>
      <c r="BQ119" s="1207"/>
      <c r="BR119" s="1207"/>
      <c r="BS119" s="1207"/>
      <c r="BT119" s="1207"/>
      <c r="BU119" s="1207"/>
      <c r="BV119" s="1207"/>
      <c r="BW119" s="1207"/>
      <c r="BX119" s="1207"/>
      <c r="BY119" s="1207"/>
      <c r="BZ119" s="1207"/>
      <c r="CA119" s="1207"/>
      <c r="CB119" s="1207"/>
      <c r="CC119" s="1207"/>
      <c r="CD119" s="1207"/>
      <c r="CE119" s="1207"/>
      <c r="CF119" s="1207"/>
    </row>
    <row r="120" spans="1:84" ht="105" x14ac:dyDescent="0.25">
      <c r="A120" s="1355">
        <v>2022125</v>
      </c>
      <c r="B120" s="1172">
        <v>7655</v>
      </c>
      <c r="C120" s="1356" t="s">
        <v>668</v>
      </c>
      <c r="D120" s="1190" t="s">
        <v>689</v>
      </c>
      <c r="E120" s="1174" t="s">
        <v>778</v>
      </c>
      <c r="F120" s="1380" t="s">
        <v>830</v>
      </c>
      <c r="G120" s="1381">
        <v>44575</v>
      </c>
      <c r="H120" s="1381">
        <v>44575</v>
      </c>
      <c r="I120" s="1176">
        <v>12</v>
      </c>
      <c r="J120" s="1176" t="s">
        <v>673</v>
      </c>
      <c r="K120" s="1177" t="s">
        <v>674</v>
      </c>
      <c r="L120" s="1178" t="s">
        <v>675</v>
      </c>
      <c r="M120" s="1179">
        <v>29400000</v>
      </c>
      <c r="N120" s="1382" t="s">
        <v>781</v>
      </c>
      <c r="O120" s="1174" t="s">
        <v>771</v>
      </c>
      <c r="P120" s="1207" t="s">
        <v>678</v>
      </c>
      <c r="Q120" s="1163"/>
      <c r="R120" s="1269">
        <v>29400000</v>
      </c>
      <c r="S120" s="1357">
        <v>29400000</v>
      </c>
      <c r="T120" s="1357">
        <f>+Tabla16[[#This Row],[CDPS A 31 JULIO 2022]]-Tabla16[[#This Row],[CDP]]</f>
        <v>0</v>
      </c>
      <c r="U120" s="1357">
        <v>29400000</v>
      </c>
      <c r="V120" s="1357">
        <v>10126667</v>
      </c>
      <c r="W120" s="1357"/>
      <c r="X120" s="1207"/>
      <c r="Y120" s="1207"/>
      <c r="Z120" s="1207"/>
      <c r="AA120" s="1207"/>
      <c r="AB120" s="1207"/>
      <c r="AC120" s="1207"/>
      <c r="AD120" s="1207"/>
      <c r="AE120" s="1207"/>
      <c r="AF120" s="1207"/>
      <c r="AG120" s="1207"/>
      <c r="AH120" s="1207"/>
      <c r="AI120" s="1207"/>
      <c r="AJ120" s="1207"/>
      <c r="AK120" s="1207"/>
      <c r="AL120" s="1207"/>
      <c r="AM120" s="1207"/>
      <c r="AN120" s="1207"/>
      <c r="AO120" s="1207"/>
      <c r="AP120" s="1207"/>
      <c r="AQ120" s="1207"/>
      <c r="AR120" s="1207"/>
      <c r="AS120" s="1207"/>
      <c r="AT120" s="1207"/>
      <c r="AU120" s="1207"/>
      <c r="AV120" s="1207"/>
      <c r="AW120" s="1207"/>
      <c r="AX120" s="1207"/>
      <c r="AY120" s="1207"/>
      <c r="AZ120" s="1207"/>
      <c r="BA120" s="1207"/>
      <c r="BB120" s="1207"/>
      <c r="BC120" s="1207"/>
      <c r="BD120" s="1207"/>
      <c r="BE120" s="1207"/>
      <c r="BF120" s="1207"/>
      <c r="BG120" s="1207"/>
      <c r="BH120" s="1207"/>
      <c r="BI120" s="1207"/>
      <c r="BJ120" s="1207"/>
      <c r="BK120" s="1207"/>
      <c r="BL120" s="1207"/>
      <c r="BM120" s="1207"/>
      <c r="BN120" s="1207"/>
      <c r="BO120" s="1207"/>
      <c r="BP120" s="1207"/>
      <c r="BQ120" s="1207"/>
      <c r="BR120" s="1207"/>
      <c r="BS120" s="1207"/>
      <c r="BT120" s="1207"/>
      <c r="BU120" s="1207"/>
      <c r="BV120" s="1207"/>
      <c r="BW120" s="1207"/>
      <c r="BX120" s="1207"/>
      <c r="BY120" s="1207"/>
      <c r="BZ120" s="1207"/>
      <c r="CA120" s="1207"/>
      <c r="CB120" s="1207"/>
      <c r="CC120" s="1207"/>
      <c r="CD120" s="1207"/>
      <c r="CE120" s="1207"/>
      <c r="CF120" s="1207"/>
    </row>
    <row r="121" spans="1:84" ht="105" x14ac:dyDescent="0.25">
      <c r="A121" s="1355">
        <v>2022126</v>
      </c>
      <c r="B121" s="1172">
        <v>7655</v>
      </c>
      <c r="C121" s="1356" t="s">
        <v>668</v>
      </c>
      <c r="D121" s="1190" t="s">
        <v>689</v>
      </c>
      <c r="E121" s="1174" t="s">
        <v>778</v>
      </c>
      <c r="F121" s="1380" t="s">
        <v>833</v>
      </c>
      <c r="G121" s="1381">
        <v>44575</v>
      </c>
      <c r="H121" s="1381">
        <v>44575</v>
      </c>
      <c r="I121" s="1176">
        <v>12</v>
      </c>
      <c r="J121" s="1176" t="s">
        <v>673</v>
      </c>
      <c r="K121" s="1177" t="s">
        <v>674</v>
      </c>
      <c r="L121" s="1178" t="s">
        <v>675</v>
      </c>
      <c r="M121" s="1179">
        <v>29400000</v>
      </c>
      <c r="N121" s="1382" t="s">
        <v>781</v>
      </c>
      <c r="O121" s="1174" t="s">
        <v>771</v>
      </c>
      <c r="P121" s="1207" t="s">
        <v>678</v>
      </c>
      <c r="Q121" s="1163"/>
      <c r="R121" s="1269">
        <v>29400000</v>
      </c>
      <c r="S121" s="1357">
        <v>29400000</v>
      </c>
      <c r="T121" s="1357">
        <f>+Tabla16[[#This Row],[CDPS A 31 JULIO 2022]]-Tabla16[[#This Row],[CDP]]</f>
        <v>0</v>
      </c>
      <c r="U121" s="1357">
        <v>29400000</v>
      </c>
      <c r="V121" s="1357">
        <v>9800000</v>
      </c>
      <c r="W121" s="1357"/>
      <c r="X121" s="1207"/>
      <c r="Y121" s="1207"/>
      <c r="Z121" s="1207"/>
      <c r="AA121" s="1207"/>
      <c r="AB121" s="1207"/>
      <c r="AC121" s="1207"/>
      <c r="AD121" s="1207"/>
      <c r="AE121" s="1207"/>
      <c r="AF121" s="1207"/>
      <c r="AG121" s="1207"/>
      <c r="AH121" s="1207"/>
      <c r="AI121" s="1207"/>
      <c r="AJ121" s="1207"/>
      <c r="AK121" s="1207"/>
      <c r="AL121" s="1207"/>
      <c r="AM121" s="1207"/>
      <c r="AN121" s="1207"/>
      <c r="AO121" s="1207"/>
      <c r="AP121" s="1207"/>
      <c r="AQ121" s="1207"/>
      <c r="AR121" s="1207"/>
      <c r="AS121" s="1207"/>
      <c r="AT121" s="1207"/>
      <c r="AU121" s="1207"/>
      <c r="AV121" s="1207"/>
      <c r="AW121" s="1207"/>
      <c r="AX121" s="1207"/>
      <c r="AY121" s="1207"/>
      <c r="AZ121" s="1207"/>
      <c r="BA121" s="1207"/>
      <c r="BB121" s="1207"/>
      <c r="BC121" s="1207"/>
      <c r="BD121" s="1207"/>
      <c r="BE121" s="1207"/>
      <c r="BF121" s="1207"/>
      <c r="BG121" s="1207"/>
      <c r="BH121" s="1207"/>
      <c r="BI121" s="1207"/>
      <c r="BJ121" s="1207"/>
      <c r="BK121" s="1207"/>
      <c r="BL121" s="1207"/>
      <c r="BM121" s="1207"/>
      <c r="BN121" s="1207"/>
      <c r="BO121" s="1207"/>
      <c r="BP121" s="1207"/>
      <c r="BQ121" s="1207"/>
      <c r="BR121" s="1207"/>
      <c r="BS121" s="1207"/>
      <c r="BT121" s="1207"/>
      <c r="BU121" s="1207"/>
      <c r="BV121" s="1207"/>
      <c r="BW121" s="1207"/>
      <c r="BX121" s="1207"/>
      <c r="BY121" s="1207"/>
      <c r="BZ121" s="1207"/>
      <c r="CA121" s="1207"/>
      <c r="CB121" s="1207"/>
      <c r="CC121" s="1207"/>
      <c r="CD121" s="1207"/>
      <c r="CE121" s="1207"/>
      <c r="CF121" s="1207"/>
    </row>
    <row r="122" spans="1:84" ht="105" x14ac:dyDescent="0.25">
      <c r="A122" s="1355">
        <v>2022127</v>
      </c>
      <c r="B122" s="1172">
        <v>7655</v>
      </c>
      <c r="C122" s="1356" t="s">
        <v>668</v>
      </c>
      <c r="D122" s="1190" t="s">
        <v>689</v>
      </c>
      <c r="E122" s="1174" t="s">
        <v>778</v>
      </c>
      <c r="F122" s="1380" t="s">
        <v>830</v>
      </c>
      <c r="G122" s="1381">
        <v>44575</v>
      </c>
      <c r="H122" s="1381">
        <v>44575</v>
      </c>
      <c r="I122" s="1176">
        <v>12</v>
      </c>
      <c r="J122" s="1176" t="s">
        <v>673</v>
      </c>
      <c r="K122" s="1177" t="s">
        <v>674</v>
      </c>
      <c r="L122" s="1178" t="s">
        <v>675</v>
      </c>
      <c r="M122" s="1179">
        <v>29400000</v>
      </c>
      <c r="N122" s="1382" t="s">
        <v>781</v>
      </c>
      <c r="O122" s="1174" t="s">
        <v>771</v>
      </c>
      <c r="P122" s="1207" t="s">
        <v>678</v>
      </c>
      <c r="Q122" s="1163"/>
      <c r="R122" s="1269">
        <v>29400000</v>
      </c>
      <c r="S122" s="1357">
        <v>29400000</v>
      </c>
      <c r="T122" s="1357">
        <f>+Tabla16[[#This Row],[CDPS A 31 JULIO 2022]]-Tabla16[[#This Row],[CDP]]</f>
        <v>0</v>
      </c>
      <c r="U122" s="1357">
        <v>29400000</v>
      </c>
      <c r="V122" s="1357">
        <v>10371667</v>
      </c>
      <c r="W122" s="135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07"/>
      <c r="BF122" s="1207"/>
      <c r="BG122" s="1207"/>
      <c r="BH122" s="1207"/>
      <c r="BI122" s="1207"/>
      <c r="BJ122" s="1207"/>
      <c r="BK122" s="1207"/>
      <c r="BL122" s="1207"/>
      <c r="BM122" s="1207"/>
      <c r="BN122" s="1207"/>
      <c r="BO122" s="1207"/>
      <c r="BP122" s="1207"/>
      <c r="BQ122" s="1207"/>
      <c r="BR122" s="1207"/>
      <c r="BS122" s="1207"/>
      <c r="BT122" s="1207"/>
      <c r="BU122" s="1207"/>
      <c r="BV122" s="1207"/>
      <c r="BW122" s="1207"/>
      <c r="BX122" s="1207"/>
      <c r="BY122" s="1207"/>
      <c r="BZ122" s="1207"/>
      <c r="CA122" s="1207"/>
      <c r="CB122" s="1207"/>
      <c r="CC122" s="1207"/>
      <c r="CD122" s="1207"/>
      <c r="CE122" s="1207"/>
      <c r="CF122" s="1207"/>
    </row>
    <row r="123" spans="1:84" ht="105" x14ac:dyDescent="0.25">
      <c r="A123" s="1355">
        <v>2022128</v>
      </c>
      <c r="B123" s="1172">
        <v>7655</v>
      </c>
      <c r="C123" s="1356" t="s">
        <v>668</v>
      </c>
      <c r="D123" s="1190" t="s">
        <v>689</v>
      </c>
      <c r="E123" s="1174" t="s">
        <v>778</v>
      </c>
      <c r="F123" s="1380" t="s">
        <v>830</v>
      </c>
      <c r="G123" s="1381">
        <v>44575</v>
      </c>
      <c r="H123" s="1381">
        <v>44575</v>
      </c>
      <c r="I123" s="1176">
        <v>12</v>
      </c>
      <c r="J123" s="1176" t="s">
        <v>673</v>
      </c>
      <c r="K123" s="1177" t="s">
        <v>674</v>
      </c>
      <c r="L123" s="1178" t="s">
        <v>675</v>
      </c>
      <c r="M123" s="1179">
        <v>29400000</v>
      </c>
      <c r="N123" s="1382" t="s">
        <v>781</v>
      </c>
      <c r="O123" s="1174" t="s">
        <v>771</v>
      </c>
      <c r="P123" s="1207" t="s">
        <v>678</v>
      </c>
      <c r="Q123" s="1163"/>
      <c r="R123" s="1269">
        <v>29400000</v>
      </c>
      <c r="S123" s="1357">
        <v>29400000</v>
      </c>
      <c r="T123" s="1357">
        <f>+Tabla16[[#This Row],[CDPS A 31 JULIO 2022]]-Tabla16[[#This Row],[CDP]]</f>
        <v>0</v>
      </c>
      <c r="U123" s="1357">
        <v>29400000</v>
      </c>
      <c r="V123" s="1357">
        <v>9310000</v>
      </c>
      <c r="W123" s="1357"/>
      <c r="X123" s="1207"/>
      <c r="Y123" s="1207"/>
      <c r="Z123" s="1207"/>
      <c r="AA123" s="1207"/>
      <c r="AB123" s="1207"/>
      <c r="AC123" s="1207"/>
      <c r="AD123" s="1207"/>
      <c r="AE123" s="1207"/>
      <c r="AF123" s="1207"/>
      <c r="AG123" s="1207"/>
      <c r="AH123" s="1207"/>
      <c r="AI123" s="1207"/>
      <c r="AJ123" s="1207"/>
      <c r="AK123" s="1207"/>
      <c r="AL123" s="1207"/>
      <c r="AM123" s="1207"/>
      <c r="AN123" s="1207"/>
      <c r="AO123" s="1207"/>
      <c r="AP123" s="1207"/>
      <c r="AQ123" s="1207"/>
      <c r="AR123" s="1207"/>
      <c r="AS123" s="1207"/>
      <c r="AT123" s="1207"/>
      <c r="AU123" s="1207"/>
      <c r="AV123" s="1207"/>
      <c r="AW123" s="1207"/>
      <c r="AX123" s="1207"/>
      <c r="AY123" s="1207"/>
      <c r="AZ123" s="1207"/>
      <c r="BA123" s="1207"/>
      <c r="BB123" s="1207"/>
      <c r="BC123" s="1207"/>
      <c r="BD123" s="1207"/>
      <c r="BE123" s="1207"/>
      <c r="BF123" s="1207"/>
      <c r="BG123" s="1207"/>
      <c r="BH123" s="1207"/>
      <c r="BI123" s="1207"/>
      <c r="BJ123" s="1207"/>
      <c r="BK123" s="1207"/>
      <c r="BL123" s="1207"/>
      <c r="BM123" s="1207"/>
      <c r="BN123" s="1207"/>
      <c r="BO123" s="1207"/>
      <c r="BP123" s="1207"/>
      <c r="BQ123" s="1207"/>
      <c r="BR123" s="1207"/>
      <c r="BS123" s="1207"/>
      <c r="BT123" s="1207"/>
      <c r="BU123" s="1207"/>
      <c r="BV123" s="1207"/>
      <c r="BW123" s="1207"/>
      <c r="BX123" s="1207"/>
      <c r="BY123" s="1207"/>
      <c r="BZ123" s="1207"/>
      <c r="CA123" s="1207"/>
      <c r="CB123" s="1207"/>
      <c r="CC123" s="1207"/>
      <c r="CD123" s="1207"/>
      <c r="CE123" s="1207"/>
      <c r="CF123" s="1207"/>
    </row>
    <row r="124" spans="1:84" ht="105" x14ac:dyDescent="0.25">
      <c r="A124" s="1355">
        <v>2022129</v>
      </c>
      <c r="B124" s="1172">
        <v>7655</v>
      </c>
      <c r="C124" s="1356" t="s">
        <v>668</v>
      </c>
      <c r="D124" s="1190" t="s">
        <v>689</v>
      </c>
      <c r="E124" s="1174" t="s">
        <v>778</v>
      </c>
      <c r="F124" s="1380" t="s">
        <v>830</v>
      </c>
      <c r="G124" s="1381">
        <v>44575</v>
      </c>
      <c r="H124" s="1381">
        <v>44575</v>
      </c>
      <c r="I124" s="1176">
        <v>12</v>
      </c>
      <c r="J124" s="1176" t="s">
        <v>673</v>
      </c>
      <c r="K124" s="1177" t="s">
        <v>674</v>
      </c>
      <c r="L124" s="1178" t="s">
        <v>675</v>
      </c>
      <c r="M124" s="1179">
        <v>29400000</v>
      </c>
      <c r="N124" s="1382" t="s">
        <v>781</v>
      </c>
      <c r="O124" s="1174" t="s">
        <v>771</v>
      </c>
      <c r="P124" s="1207" t="s">
        <v>678</v>
      </c>
      <c r="Q124" s="1163"/>
      <c r="R124" s="1269">
        <v>29400000</v>
      </c>
      <c r="S124" s="1357">
        <v>29400000</v>
      </c>
      <c r="T124" s="1357">
        <f>+Tabla16[[#This Row],[CDPS A 31 JULIO 2022]]-Tabla16[[#This Row],[CDP]]</f>
        <v>0</v>
      </c>
      <c r="U124" s="1357">
        <v>29400000</v>
      </c>
      <c r="V124" s="1357">
        <v>9800000</v>
      </c>
      <c r="W124" s="135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07"/>
      <c r="BF124" s="1207"/>
      <c r="BG124" s="1207"/>
      <c r="BH124" s="1207"/>
      <c r="BI124" s="1207"/>
      <c r="BJ124" s="1207"/>
      <c r="BK124" s="1207"/>
      <c r="BL124" s="1207"/>
      <c r="BM124" s="1207"/>
      <c r="BN124" s="1207"/>
      <c r="BO124" s="1207"/>
      <c r="BP124" s="1207"/>
      <c r="BQ124" s="1207"/>
      <c r="BR124" s="1207"/>
      <c r="BS124" s="1207"/>
      <c r="BT124" s="1207"/>
      <c r="BU124" s="1207"/>
      <c r="BV124" s="1207"/>
      <c r="BW124" s="1207"/>
      <c r="BX124" s="1207"/>
      <c r="BY124" s="1207"/>
      <c r="BZ124" s="1207"/>
      <c r="CA124" s="1207"/>
      <c r="CB124" s="1207"/>
      <c r="CC124" s="1207"/>
      <c r="CD124" s="1207"/>
      <c r="CE124" s="1207"/>
      <c r="CF124" s="1207"/>
    </row>
    <row r="125" spans="1:84" ht="105" x14ac:dyDescent="0.25">
      <c r="A125" s="1355">
        <v>2022130</v>
      </c>
      <c r="B125" s="1172">
        <v>7655</v>
      </c>
      <c r="C125" s="1356" t="s">
        <v>668</v>
      </c>
      <c r="D125" s="1190" t="s">
        <v>689</v>
      </c>
      <c r="E125" s="1174" t="s">
        <v>778</v>
      </c>
      <c r="F125" s="1380" t="s">
        <v>830</v>
      </c>
      <c r="G125" s="1381">
        <v>44575</v>
      </c>
      <c r="H125" s="1381">
        <v>44575</v>
      </c>
      <c r="I125" s="1176">
        <v>12</v>
      </c>
      <c r="J125" s="1176" t="s">
        <v>673</v>
      </c>
      <c r="K125" s="1177" t="s">
        <v>674</v>
      </c>
      <c r="L125" s="1178" t="s">
        <v>675</v>
      </c>
      <c r="M125" s="1179">
        <v>29400000</v>
      </c>
      <c r="N125" s="1382" t="s">
        <v>781</v>
      </c>
      <c r="O125" s="1174" t="s">
        <v>771</v>
      </c>
      <c r="P125" s="1207" t="s">
        <v>678</v>
      </c>
      <c r="Q125" s="1163"/>
      <c r="R125" s="1269">
        <v>29400000</v>
      </c>
      <c r="S125" s="1357">
        <v>29400000</v>
      </c>
      <c r="T125" s="1357">
        <f>+Tabla16[[#This Row],[CDPS A 31 JULIO 2022]]-Tabla16[[#This Row],[CDP]]</f>
        <v>0</v>
      </c>
      <c r="U125" s="1357">
        <v>29400000</v>
      </c>
      <c r="V125" s="1357">
        <v>9800000</v>
      </c>
      <c r="W125" s="1357"/>
      <c r="X125" s="1207"/>
      <c r="Y125" s="1207"/>
      <c r="Z125" s="1207"/>
      <c r="AA125" s="1207"/>
      <c r="AB125" s="1207"/>
      <c r="AC125" s="1207"/>
      <c r="AD125" s="1207"/>
      <c r="AE125" s="1207"/>
      <c r="AF125" s="1207"/>
      <c r="AG125" s="1207"/>
      <c r="AH125" s="1207"/>
      <c r="AI125" s="1207"/>
      <c r="AJ125" s="1207"/>
      <c r="AK125" s="1207"/>
      <c r="AL125" s="1207"/>
      <c r="AM125" s="1207"/>
      <c r="AN125" s="1207"/>
      <c r="AO125" s="1207"/>
      <c r="AP125" s="1207"/>
      <c r="AQ125" s="1207"/>
      <c r="AR125" s="1207"/>
      <c r="AS125" s="1207"/>
      <c r="AT125" s="1207"/>
      <c r="AU125" s="1207"/>
      <c r="AV125" s="1207"/>
      <c r="AW125" s="1207"/>
      <c r="AX125" s="1207"/>
      <c r="AY125" s="1207"/>
      <c r="AZ125" s="1207"/>
      <c r="BA125" s="1207"/>
      <c r="BB125" s="1207"/>
      <c r="BC125" s="1207"/>
      <c r="BD125" s="1207"/>
      <c r="BE125" s="1207"/>
      <c r="BF125" s="1207"/>
      <c r="BG125" s="1207"/>
      <c r="BH125" s="1207"/>
      <c r="BI125" s="1207"/>
      <c r="BJ125" s="1207"/>
      <c r="BK125" s="1207"/>
      <c r="BL125" s="1207"/>
      <c r="BM125" s="1207"/>
      <c r="BN125" s="1207"/>
      <c r="BO125" s="1207"/>
      <c r="BP125" s="1207"/>
      <c r="BQ125" s="1207"/>
      <c r="BR125" s="1207"/>
      <c r="BS125" s="1207"/>
      <c r="BT125" s="1207"/>
      <c r="BU125" s="1207"/>
      <c r="BV125" s="1207"/>
      <c r="BW125" s="1207"/>
      <c r="BX125" s="1207"/>
      <c r="BY125" s="1207"/>
      <c r="BZ125" s="1207"/>
      <c r="CA125" s="1207"/>
      <c r="CB125" s="1207"/>
      <c r="CC125" s="1207"/>
      <c r="CD125" s="1207"/>
      <c r="CE125" s="1207"/>
      <c r="CF125" s="1207"/>
    </row>
    <row r="126" spans="1:84" ht="105" x14ac:dyDescent="0.25">
      <c r="A126" s="1355">
        <v>2022131</v>
      </c>
      <c r="B126" s="1172">
        <v>7655</v>
      </c>
      <c r="C126" s="1356" t="s">
        <v>668</v>
      </c>
      <c r="D126" s="1190" t="s">
        <v>689</v>
      </c>
      <c r="E126" s="1174" t="s">
        <v>778</v>
      </c>
      <c r="F126" s="1380" t="s">
        <v>830</v>
      </c>
      <c r="G126" s="1381">
        <v>44575</v>
      </c>
      <c r="H126" s="1381">
        <v>44575</v>
      </c>
      <c r="I126" s="1176">
        <v>12</v>
      </c>
      <c r="J126" s="1176" t="s">
        <v>673</v>
      </c>
      <c r="K126" s="1177" t="s">
        <v>674</v>
      </c>
      <c r="L126" s="1178" t="s">
        <v>675</v>
      </c>
      <c r="M126" s="1179">
        <v>29400000</v>
      </c>
      <c r="N126" s="1382" t="s">
        <v>781</v>
      </c>
      <c r="O126" s="1174" t="s">
        <v>771</v>
      </c>
      <c r="P126" s="1207" t="s">
        <v>678</v>
      </c>
      <c r="Q126" s="1163"/>
      <c r="R126" s="1269">
        <v>29400000</v>
      </c>
      <c r="S126" s="1357">
        <v>29400000</v>
      </c>
      <c r="T126" s="1357">
        <f>+Tabla16[[#This Row],[CDPS A 31 JULIO 2022]]-Tabla16[[#This Row],[CDP]]</f>
        <v>0</v>
      </c>
      <c r="U126" s="1357">
        <v>29400000</v>
      </c>
      <c r="V126" s="1357">
        <v>9800000</v>
      </c>
      <c r="W126" s="1357"/>
      <c r="X126" s="1207"/>
      <c r="Y126" s="1207"/>
      <c r="Z126" s="1207"/>
      <c r="AA126" s="1207"/>
      <c r="AB126" s="1207"/>
      <c r="AC126" s="1207"/>
      <c r="AD126" s="1207"/>
      <c r="AE126" s="1207"/>
      <c r="AF126" s="1207"/>
      <c r="AG126" s="1207"/>
      <c r="AH126" s="1207"/>
      <c r="AI126" s="1207"/>
      <c r="AJ126" s="1207"/>
      <c r="AK126" s="1207"/>
      <c r="AL126" s="1207"/>
      <c r="AM126" s="1207"/>
      <c r="AN126" s="1207"/>
      <c r="AO126" s="1207"/>
      <c r="AP126" s="1207"/>
      <c r="AQ126" s="1207"/>
      <c r="AR126" s="1207"/>
      <c r="AS126" s="1207"/>
      <c r="AT126" s="1207"/>
      <c r="AU126" s="1207"/>
      <c r="AV126" s="1207"/>
      <c r="AW126" s="1207"/>
      <c r="AX126" s="1207"/>
      <c r="AY126" s="1207"/>
      <c r="AZ126" s="1207"/>
      <c r="BA126" s="1207"/>
      <c r="BB126" s="1207"/>
      <c r="BC126" s="1207"/>
      <c r="BD126" s="1207"/>
      <c r="BE126" s="1207"/>
      <c r="BF126" s="1207"/>
      <c r="BG126" s="1207"/>
      <c r="BH126" s="1207"/>
      <c r="BI126" s="1207"/>
      <c r="BJ126" s="1207"/>
      <c r="BK126" s="1207"/>
      <c r="BL126" s="1207"/>
      <c r="BM126" s="1207"/>
      <c r="BN126" s="1207"/>
      <c r="BO126" s="1207"/>
      <c r="BP126" s="1207"/>
      <c r="BQ126" s="1207"/>
      <c r="BR126" s="1207"/>
      <c r="BS126" s="1207"/>
      <c r="BT126" s="1207"/>
      <c r="BU126" s="1207"/>
      <c r="BV126" s="1207"/>
      <c r="BW126" s="1207"/>
      <c r="BX126" s="1207"/>
      <c r="BY126" s="1207"/>
      <c r="BZ126" s="1207"/>
      <c r="CA126" s="1207"/>
      <c r="CB126" s="1207"/>
      <c r="CC126" s="1207"/>
      <c r="CD126" s="1207"/>
      <c r="CE126" s="1207"/>
      <c r="CF126" s="1207"/>
    </row>
    <row r="127" spans="1:84" ht="105" x14ac:dyDescent="0.25">
      <c r="A127" s="1355">
        <v>2022132</v>
      </c>
      <c r="B127" s="1172">
        <v>7655</v>
      </c>
      <c r="C127" s="1356" t="s">
        <v>668</v>
      </c>
      <c r="D127" s="1190" t="s">
        <v>689</v>
      </c>
      <c r="E127" s="1174" t="s">
        <v>778</v>
      </c>
      <c r="F127" s="1380" t="s">
        <v>835</v>
      </c>
      <c r="G127" s="1381">
        <v>44575</v>
      </c>
      <c r="H127" s="1381">
        <v>44575</v>
      </c>
      <c r="I127" s="1176">
        <v>12</v>
      </c>
      <c r="J127" s="1176" t="s">
        <v>673</v>
      </c>
      <c r="K127" s="1177" t="s">
        <v>674</v>
      </c>
      <c r="L127" s="1178" t="s">
        <v>675</v>
      </c>
      <c r="M127" s="1179">
        <v>87600000</v>
      </c>
      <c r="N127" s="1382" t="s">
        <v>781</v>
      </c>
      <c r="O127" s="1174" t="s">
        <v>771</v>
      </c>
      <c r="P127" s="1207" t="s">
        <v>678</v>
      </c>
      <c r="Q127" s="1163"/>
      <c r="R127" s="1269">
        <v>87600000</v>
      </c>
      <c r="S127" s="1357">
        <v>87600000</v>
      </c>
      <c r="T127" s="1357">
        <f>+Tabla16[[#This Row],[CDPS A 31 JULIO 2022]]-Tabla16[[#This Row],[CDP]]</f>
        <v>0</v>
      </c>
      <c r="U127" s="1357">
        <v>87600000</v>
      </c>
      <c r="V127" s="1357">
        <v>31876667</v>
      </c>
      <c r="W127" s="1357"/>
      <c r="X127" s="1207"/>
      <c r="Y127" s="1207"/>
      <c r="Z127" s="1207"/>
      <c r="AA127" s="1207"/>
      <c r="AB127" s="1207"/>
      <c r="AC127" s="1207"/>
      <c r="AD127" s="1207"/>
      <c r="AE127" s="1207"/>
      <c r="AF127" s="1207"/>
      <c r="AG127" s="1207"/>
      <c r="AH127" s="1207"/>
      <c r="AI127" s="1207"/>
      <c r="AJ127" s="1207"/>
      <c r="AK127" s="1207"/>
      <c r="AL127" s="1207"/>
      <c r="AM127" s="1207"/>
      <c r="AN127" s="1207"/>
      <c r="AO127" s="1207"/>
      <c r="AP127" s="1207"/>
      <c r="AQ127" s="1207"/>
      <c r="AR127" s="1207"/>
      <c r="AS127" s="1207"/>
      <c r="AT127" s="1207"/>
      <c r="AU127" s="1207"/>
      <c r="AV127" s="1207"/>
      <c r="AW127" s="1207"/>
      <c r="AX127" s="1207"/>
      <c r="AY127" s="1207"/>
      <c r="AZ127" s="1207"/>
      <c r="BA127" s="1207"/>
      <c r="BB127" s="1207"/>
      <c r="BC127" s="1207"/>
      <c r="BD127" s="1207"/>
      <c r="BE127" s="1207"/>
      <c r="BF127" s="1207"/>
      <c r="BG127" s="1207"/>
      <c r="BH127" s="1207"/>
      <c r="BI127" s="1207"/>
      <c r="BJ127" s="1207"/>
      <c r="BK127" s="1207"/>
      <c r="BL127" s="1207"/>
      <c r="BM127" s="1207"/>
      <c r="BN127" s="1207"/>
      <c r="BO127" s="1207"/>
      <c r="BP127" s="1207"/>
      <c r="BQ127" s="1207"/>
      <c r="BR127" s="1207"/>
      <c r="BS127" s="1207"/>
      <c r="BT127" s="1207"/>
      <c r="BU127" s="1207"/>
      <c r="BV127" s="1207"/>
      <c r="BW127" s="1207"/>
      <c r="BX127" s="1207"/>
      <c r="BY127" s="1207"/>
      <c r="BZ127" s="1207"/>
      <c r="CA127" s="1207"/>
      <c r="CB127" s="1207"/>
      <c r="CC127" s="1207"/>
      <c r="CD127" s="1207"/>
      <c r="CE127" s="1207"/>
      <c r="CF127" s="1207"/>
    </row>
    <row r="128" spans="1:84" ht="105" x14ac:dyDescent="0.25">
      <c r="A128" s="1355">
        <v>2022133</v>
      </c>
      <c r="B128" s="1172">
        <v>7655</v>
      </c>
      <c r="C128" s="1356" t="s">
        <v>668</v>
      </c>
      <c r="D128" s="1190" t="s">
        <v>689</v>
      </c>
      <c r="E128" s="1174" t="s">
        <v>778</v>
      </c>
      <c r="F128" s="1380" t="s">
        <v>836</v>
      </c>
      <c r="G128" s="1381">
        <v>44575</v>
      </c>
      <c r="H128" s="1381">
        <v>44575</v>
      </c>
      <c r="I128" s="1176">
        <v>7</v>
      </c>
      <c r="J128" s="1176" t="s">
        <v>673</v>
      </c>
      <c r="K128" s="1177" t="s">
        <v>674</v>
      </c>
      <c r="L128" s="1178" t="s">
        <v>675</v>
      </c>
      <c r="M128" s="1179">
        <v>42000000</v>
      </c>
      <c r="N128" s="1382" t="s">
        <v>781</v>
      </c>
      <c r="O128" s="1174" t="s">
        <v>771</v>
      </c>
      <c r="P128" s="1207" t="s">
        <v>678</v>
      </c>
      <c r="Q128" s="1163"/>
      <c r="R128" s="1269">
        <v>42000000</v>
      </c>
      <c r="S128" s="1357">
        <v>42000000</v>
      </c>
      <c r="T128" s="1357">
        <f>+Tabla16[[#This Row],[CDPS A 31 JULIO 2022]]-Tabla16[[#This Row],[CDP]]</f>
        <v>0</v>
      </c>
      <c r="U128" s="1357">
        <v>42000000</v>
      </c>
      <c r="V128" s="1357">
        <v>24000000</v>
      </c>
      <c r="W128" s="1357"/>
      <c r="X128" s="1207"/>
      <c r="Y128" s="1207"/>
      <c r="Z128" s="1207"/>
      <c r="AA128" s="1207"/>
      <c r="AB128" s="1207"/>
      <c r="AC128" s="1207"/>
      <c r="AD128" s="1207"/>
      <c r="AE128" s="1207"/>
      <c r="AF128" s="1207"/>
      <c r="AG128" s="1207"/>
      <c r="AH128" s="1207"/>
      <c r="AI128" s="1207"/>
      <c r="AJ128" s="1207"/>
      <c r="AK128" s="1207"/>
      <c r="AL128" s="1207"/>
      <c r="AM128" s="1207"/>
      <c r="AN128" s="1207"/>
      <c r="AO128" s="1207"/>
      <c r="AP128" s="1207"/>
      <c r="AQ128" s="1207"/>
      <c r="AR128" s="1207"/>
      <c r="AS128" s="1207"/>
      <c r="AT128" s="1207"/>
      <c r="AU128" s="1207"/>
      <c r="AV128" s="1207"/>
      <c r="AW128" s="1207"/>
      <c r="AX128" s="1207"/>
      <c r="AY128" s="1207"/>
      <c r="AZ128" s="1207"/>
      <c r="BA128" s="1207"/>
      <c r="BB128" s="1207"/>
      <c r="BC128" s="1207"/>
      <c r="BD128" s="1207"/>
      <c r="BE128" s="1207"/>
      <c r="BF128" s="1207"/>
      <c r="BG128" s="1207"/>
      <c r="BH128" s="1207"/>
      <c r="BI128" s="1207"/>
      <c r="BJ128" s="1207"/>
      <c r="BK128" s="1207"/>
      <c r="BL128" s="1207"/>
      <c r="BM128" s="1207"/>
      <c r="BN128" s="1207"/>
      <c r="BO128" s="1207"/>
      <c r="BP128" s="1207"/>
      <c r="BQ128" s="1207"/>
      <c r="BR128" s="1207"/>
      <c r="BS128" s="1207"/>
      <c r="BT128" s="1207"/>
      <c r="BU128" s="1207"/>
      <c r="BV128" s="1207"/>
      <c r="BW128" s="1207"/>
      <c r="BX128" s="1207"/>
      <c r="BY128" s="1207"/>
      <c r="BZ128" s="1207"/>
      <c r="CA128" s="1207"/>
      <c r="CB128" s="1207"/>
      <c r="CC128" s="1207"/>
      <c r="CD128" s="1207"/>
      <c r="CE128" s="1207"/>
      <c r="CF128" s="1207"/>
    </row>
    <row r="129" spans="1:84" ht="105" x14ac:dyDescent="0.25">
      <c r="A129" s="1355">
        <v>2022134</v>
      </c>
      <c r="B129" s="1172">
        <v>7655</v>
      </c>
      <c r="C129" s="1356" t="s">
        <v>668</v>
      </c>
      <c r="D129" s="1190" t="s">
        <v>689</v>
      </c>
      <c r="E129" s="1174" t="s">
        <v>778</v>
      </c>
      <c r="F129" s="1380" t="s">
        <v>837</v>
      </c>
      <c r="G129" s="1381">
        <v>44575</v>
      </c>
      <c r="H129" s="1381">
        <v>44575</v>
      </c>
      <c r="I129" s="1176">
        <v>11.5</v>
      </c>
      <c r="J129" s="1176" t="s">
        <v>673</v>
      </c>
      <c r="K129" s="1177" t="s">
        <v>674</v>
      </c>
      <c r="L129" s="1178" t="s">
        <v>675</v>
      </c>
      <c r="M129" s="1179">
        <v>64802500</v>
      </c>
      <c r="N129" s="1382" t="s">
        <v>781</v>
      </c>
      <c r="O129" s="1174" t="s">
        <v>771</v>
      </c>
      <c r="P129" s="1207" t="s">
        <v>678</v>
      </c>
      <c r="Q129" s="1163"/>
      <c r="R129" s="1269">
        <v>64802500</v>
      </c>
      <c r="S129" s="1357">
        <v>64802500</v>
      </c>
      <c r="T129" s="1357">
        <f>+Tabla16[[#This Row],[CDPS A 31 JULIO 2022]]-Tabla16[[#This Row],[CDP]]</f>
        <v>0</v>
      </c>
      <c r="U129" s="1357">
        <v>64802500</v>
      </c>
      <c r="V129" s="1357">
        <v>22540000</v>
      </c>
      <c r="W129" s="135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07"/>
      <c r="BF129" s="1207"/>
      <c r="BG129" s="1207"/>
      <c r="BH129" s="1207"/>
      <c r="BI129" s="1207"/>
      <c r="BJ129" s="1207"/>
      <c r="BK129" s="1207"/>
      <c r="BL129" s="1207"/>
      <c r="BM129" s="1207"/>
      <c r="BN129" s="1207"/>
      <c r="BO129" s="1207"/>
      <c r="BP129" s="1207"/>
      <c r="BQ129" s="1207"/>
      <c r="BR129" s="1207"/>
      <c r="BS129" s="1207"/>
      <c r="BT129" s="1207"/>
      <c r="BU129" s="1207"/>
      <c r="BV129" s="1207"/>
      <c r="BW129" s="1207"/>
      <c r="BX129" s="1207"/>
      <c r="BY129" s="1207"/>
      <c r="BZ129" s="1207"/>
      <c r="CA129" s="1207"/>
      <c r="CB129" s="1207"/>
      <c r="CC129" s="1207"/>
      <c r="CD129" s="1207"/>
      <c r="CE129" s="1207"/>
      <c r="CF129" s="1207"/>
    </row>
    <row r="130" spans="1:84" ht="105" x14ac:dyDescent="0.25">
      <c r="A130" s="1355">
        <v>2022136</v>
      </c>
      <c r="B130" s="1172">
        <v>7655</v>
      </c>
      <c r="C130" s="1356" t="s">
        <v>668</v>
      </c>
      <c r="D130" s="1190" t="s">
        <v>689</v>
      </c>
      <c r="E130" s="1174" t="s">
        <v>778</v>
      </c>
      <c r="F130" s="1380" t="s">
        <v>838</v>
      </c>
      <c r="G130" s="1381">
        <v>44575</v>
      </c>
      <c r="H130" s="1381">
        <v>44575</v>
      </c>
      <c r="I130" s="1176">
        <v>11.5</v>
      </c>
      <c r="J130" s="1176" t="s">
        <v>673</v>
      </c>
      <c r="K130" s="1177" t="s">
        <v>674</v>
      </c>
      <c r="L130" s="1178" t="s">
        <v>675</v>
      </c>
      <c r="M130" s="1179">
        <v>28175000</v>
      </c>
      <c r="N130" s="1382" t="s">
        <v>781</v>
      </c>
      <c r="O130" s="1174" t="s">
        <v>771</v>
      </c>
      <c r="P130" s="1207" t="s">
        <v>678</v>
      </c>
      <c r="Q130" s="1163"/>
      <c r="R130" s="1269">
        <v>0</v>
      </c>
      <c r="S130" s="1357"/>
      <c r="T130" s="1357">
        <f>+Tabla16[[#This Row],[CDPS A 31 JULIO 2022]]-Tabla16[[#This Row],[CDP]]</f>
        <v>0</v>
      </c>
      <c r="U130" s="1357"/>
      <c r="V130" s="1357"/>
      <c r="W130" s="135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07"/>
      <c r="BF130" s="1207"/>
      <c r="BG130" s="1207"/>
      <c r="BH130" s="1207"/>
      <c r="BI130" s="1207"/>
      <c r="BJ130" s="1207"/>
      <c r="BK130" s="1207"/>
      <c r="BL130" s="1207"/>
      <c r="BM130" s="1207"/>
      <c r="BN130" s="1207"/>
      <c r="BO130" s="1207"/>
      <c r="BP130" s="1207"/>
      <c r="BQ130" s="1207"/>
      <c r="BR130" s="1207"/>
      <c r="BS130" s="1207"/>
      <c r="BT130" s="1207"/>
      <c r="BU130" s="1207"/>
      <c r="BV130" s="1207"/>
      <c r="BW130" s="1207"/>
      <c r="BX130" s="1207"/>
      <c r="BY130" s="1207"/>
      <c r="BZ130" s="1207"/>
      <c r="CA130" s="1207"/>
      <c r="CB130" s="1207"/>
      <c r="CC130" s="1207"/>
      <c r="CD130" s="1207"/>
      <c r="CE130" s="1207"/>
      <c r="CF130" s="1207"/>
    </row>
    <row r="131" spans="1:84" ht="105" x14ac:dyDescent="0.25">
      <c r="A131" s="1355">
        <v>2022137</v>
      </c>
      <c r="B131" s="1172">
        <v>7655</v>
      </c>
      <c r="C131" s="1356" t="s">
        <v>668</v>
      </c>
      <c r="D131" s="1190" t="s">
        <v>689</v>
      </c>
      <c r="E131" s="1174" t="s">
        <v>778</v>
      </c>
      <c r="F131" s="1380" t="s">
        <v>839</v>
      </c>
      <c r="G131" s="1381">
        <v>44575</v>
      </c>
      <c r="H131" s="1381">
        <v>44575</v>
      </c>
      <c r="I131" s="1176">
        <v>11.5</v>
      </c>
      <c r="J131" s="1176" t="s">
        <v>673</v>
      </c>
      <c r="K131" s="1177" t="s">
        <v>674</v>
      </c>
      <c r="L131" s="1178" t="s">
        <v>675</v>
      </c>
      <c r="M131" s="1179">
        <v>83950000</v>
      </c>
      <c r="N131" s="1382" t="s">
        <v>781</v>
      </c>
      <c r="O131" s="1174" t="s">
        <v>771</v>
      </c>
      <c r="P131" s="1207" t="s">
        <v>678</v>
      </c>
      <c r="Q131" s="1163"/>
      <c r="R131" s="1269">
        <v>83950000</v>
      </c>
      <c r="S131" s="1357">
        <v>83950000</v>
      </c>
      <c r="T131" s="1357">
        <f>+Tabla16[[#This Row],[CDPS A 31 JULIO 2022]]-Tabla16[[#This Row],[CDP]]</f>
        <v>0</v>
      </c>
      <c r="U131" s="1357">
        <v>83950000</v>
      </c>
      <c r="V131" s="1357">
        <v>29200000</v>
      </c>
      <c r="W131" s="1357"/>
      <c r="X131" s="1207"/>
      <c r="Y131" s="1207"/>
      <c r="Z131" s="1207"/>
      <c r="AA131" s="1207"/>
      <c r="AB131" s="1207"/>
      <c r="AC131" s="1207"/>
      <c r="AD131" s="1207"/>
      <c r="AE131" s="1207"/>
      <c r="AF131" s="1207"/>
      <c r="AG131" s="120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07"/>
      <c r="BF131" s="1207"/>
      <c r="BG131" s="1207"/>
      <c r="BH131" s="1207"/>
      <c r="BI131" s="1207"/>
      <c r="BJ131" s="1207"/>
      <c r="BK131" s="1207"/>
      <c r="BL131" s="1207"/>
      <c r="BM131" s="1207"/>
      <c r="BN131" s="1207"/>
      <c r="BO131" s="1207"/>
      <c r="BP131" s="1207"/>
      <c r="BQ131" s="1207"/>
      <c r="BR131" s="1207"/>
      <c r="BS131" s="1207"/>
      <c r="BT131" s="1207"/>
      <c r="BU131" s="1207"/>
      <c r="BV131" s="1207"/>
      <c r="BW131" s="1207"/>
      <c r="BX131" s="1207"/>
      <c r="BY131" s="1207"/>
      <c r="BZ131" s="1207"/>
      <c r="CA131" s="1207"/>
      <c r="CB131" s="1207"/>
      <c r="CC131" s="1207"/>
      <c r="CD131" s="1207"/>
      <c r="CE131" s="1207"/>
      <c r="CF131" s="1207"/>
    </row>
    <row r="132" spans="1:84" ht="105" x14ac:dyDescent="0.25">
      <c r="A132" s="1355">
        <v>2022138</v>
      </c>
      <c r="B132" s="1172">
        <v>7655</v>
      </c>
      <c r="C132" s="1356" t="s">
        <v>668</v>
      </c>
      <c r="D132" s="1190" t="s">
        <v>689</v>
      </c>
      <c r="E132" s="1174" t="s">
        <v>778</v>
      </c>
      <c r="F132" s="1380" t="s">
        <v>840</v>
      </c>
      <c r="G132" s="1381">
        <v>44575</v>
      </c>
      <c r="H132" s="1381">
        <v>44575</v>
      </c>
      <c r="I132" s="1176">
        <v>11.5</v>
      </c>
      <c r="J132" s="1176" t="s">
        <v>673</v>
      </c>
      <c r="K132" s="1177" t="s">
        <v>674</v>
      </c>
      <c r="L132" s="1178" t="s">
        <v>675</v>
      </c>
      <c r="M132" s="1179">
        <v>44275000</v>
      </c>
      <c r="N132" s="1382" t="s">
        <v>781</v>
      </c>
      <c r="O132" s="1174" t="s">
        <v>771</v>
      </c>
      <c r="P132" s="1207" t="s">
        <v>678</v>
      </c>
      <c r="Q132" s="1163"/>
      <c r="R132" s="1269">
        <v>44275000</v>
      </c>
      <c r="S132" s="1357">
        <v>44275000</v>
      </c>
      <c r="T132" s="1357">
        <f>+Tabla16[[#This Row],[CDPS A 31 JULIO 2022]]-Tabla16[[#This Row],[CDP]]</f>
        <v>0</v>
      </c>
      <c r="U132" s="1357">
        <v>44275000</v>
      </c>
      <c r="V132" s="1357">
        <v>16041667</v>
      </c>
      <c r="W132" s="1357"/>
      <c r="X132" s="1207"/>
      <c r="Y132" s="1207"/>
      <c r="Z132" s="1207"/>
      <c r="AA132" s="1207"/>
      <c r="AB132" s="1207"/>
      <c r="AC132" s="1207"/>
      <c r="AD132" s="1207"/>
      <c r="AE132" s="1207"/>
      <c r="AF132" s="1207"/>
      <c r="AG132" s="120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07"/>
      <c r="BF132" s="1207"/>
      <c r="BG132" s="1207"/>
      <c r="BH132" s="1207"/>
      <c r="BI132" s="1207"/>
      <c r="BJ132" s="1207"/>
      <c r="BK132" s="1207"/>
      <c r="BL132" s="1207"/>
      <c r="BM132" s="1207"/>
      <c r="BN132" s="1207"/>
      <c r="BO132" s="1207"/>
      <c r="BP132" s="1207"/>
      <c r="BQ132" s="1207"/>
      <c r="BR132" s="1207"/>
      <c r="BS132" s="1207"/>
      <c r="BT132" s="1207"/>
      <c r="BU132" s="1207"/>
      <c r="BV132" s="1207"/>
      <c r="BW132" s="1207"/>
      <c r="BX132" s="1207"/>
      <c r="BY132" s="1207"/>
      <c r="BZ132" s="1207"/>
      <c r="CA132" s="1207"/>
      <c r="CB132" s="1207"/>
      <c r="CC132" s="1207"/>
      <c r="CD132" s="1207"/>
      <c r="CE132" s="1207"/>
      <c r="CF132" s="1207"/>
    </row>
    <row r="133" spans="1:84" ht="105" x14ac:dyDescent="0.25">
      <c r="A133" s="1355">
        <v>2022139</v>
      </c>
      <c r="B133" s="1172">
        <v>7655</v>
      </c>
      <c r="C133" s="1356" t="s">
        <v>668</v>
      </c>
      <c r="D133" s="1190" t="s">
        <v>689</v>
      </c>
      <c r="E133" s="1174" t="s">
        <v>778</v>
      </c>
      <c r="F133" s="1380" t="s">
        <v>840</v>
      </c>
      <c r="G133" s="1381">
        <v>44575</v>
      </c>
      <c r="H133" s="1381">
        <v>44575</v>
      </c>
      <c r="I133" s="1176">
        <v>11.5</v>
      </c>
      <c r="J133" s="1176" t="s">
        <v>673</v>
      </c>
      <c r="K133" s="1177" t="s">
        <v>674</v>
      </c>
      <c r="L133" s="1178" t="s">
        <v>675</v>
      </c>
      <c r="M133" s="1179">
        <v>58650000</v>
      </c>
      <c r="N133" s="1382" t="s">
        <v>781</v>
      </c>
      <c r="O133" s="1174" t="s">
        <v>771</v>
      </c>
      <c r="P133" s="1207" t="s">
        <v>678</v>
      </c>
      <c r="Q133" s="1163"/>
      <c r="R133" s="1269">
        <v>58650000</v>
      </c>
      <c r="S133" s="1357">
        <v>58650000</v>
      </c>
      <c r="T133" s="1357">
        <f>+Tabla16[[#This Row],[CDPS A 31 JULIO 2022]]-Tabla16[[#This Row],[CDP]]</f>
        <v>0</v>
      </c>
      <c r="U133" s="1357">
        <v>58650000</v>
      </c>
      <c r="V133" s="1357">
        <v>21080000</v>
      </c>
      <c r="W133" s="135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07"/>
      <c r="BF133" s="1207"/>
      <c r="BG133" s="1207"/>
      <c r="BH133" s="1207"/>
      <c r="BI133" s="1207"/>
      <c r="BJ133" s="1207"/>
      <c r="BK133" s="1207"/>
      <c r="BL133" s="1207"/>
      <c r="BM133" s="1207"/>
      <c r="BN133" s="1207"/>
      <c r="BO133" s="1207"/>
      <c r="BP133" s="1207"/>
      <c r="BQ133" s="1207"/>
      <c r="BR133" s="1207"/>
      <c r="BS133" s="1207"/>
      <c r="BT133" s="1207"/>
      <c r="BU133" s="1207"/>
      <c r="BV133" s="1207"/>
      <c r="BW133" s="1207"/>
      <c r="BX133" s="1207"/>
      <c r="BY133" s="1207"/>
      <c r="BZ133" s="1207"/>
      <c r="CA133" s="1207"/>
      <c r="CB133" s="1207"/>
      <c r="CC133" s="1207"/>
      <c r="CD133" s="1207"/>
      <c r="CE133" s="1207"/>
      <c r="CF133" s="1207"/>
    </row>
    <row r="134" spans="1:84" ht="105" x14ac:dyDescent="0.25">
      <c r="A134" s="1355">
        <v>2022140</v>
      </c>
      <c r="B134" s="1172">
        <v>7655</v>
      </c>
      <c r="C134" s="1356" t="s">
        <v>668</v>
      </c>
      <c r="D134" s="1190" t="s">
        <v>695</v>
      </c>
      <c r="E134" s="1174">
        <v>80111600</v>
      </c>
      <c r="F134" s="1380" t="s">
        <v>841</v>
      </c>
      <c r="G134" s="1381">
        <v>44562</v>
      </c>
      <c r="H134" s="1381">
        <v>44592</v>
      </c>
      <c r="I134" s="1176">
        <v>8</v>
      </c>
      <c r="J134" s="1176" t="s">
        <v>673</v>
      </c>
      <c r="K134" s="1177" t="s">
        <v>674</v>
      </c>
      <c r="L134" s="1178" t="s">
        <v>675</v>
      </c>
      <c r="M134" s="1179">
        <v>26496000</v>
      </c>
      <c r="N134" s="1382" t="s">
        <v>781</v>
      </c>
      <c r="O134" s="1174" t="s">
        <v>771</v>
      </c>
      <c r="P134" s="1207" t="s">
        <v>678</v>
      </c>
      <c r="Q134" s="1163"/>
      <c r="R134" s="1269">
        <v>26496000</v>
      </c>
      <c r="S134" s="1357">
        <v>26496000</v>
      </c>
      <c r="T134" s="1357">
        <f>+Tabla16[[#This Row],[CDPS A 31 JULIO 2022]]-Tabla16[[#This Row],[CDP]]</f>
        <v>0</v>
      </c>
      <c r="U134" s="1357">
        <v>26496000</v>
      </c>
      <c r="V134" s="1357">
        <v>14793600</v>
      </c>
      <c r="W134" s="1357"/>
      <c r="X134" s="1207"/>
      <c r="Y134" s="1207"/>
      <c r="Z134" s="1207"/>
      <c r="AA134" s="1207"/>
      <c r="AB134" s="1207"/>
      <c r="AC134" s="1207"/>
      <c r="AD134" s="1207"/>
      <c r="AE134" s="1207"/>
      <c r="AF134" s="1207"/>
      <c r="AG134" s="1207"/>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07"/>
      <c r="BF134" s="1207"/>
      <c r="BG134" s="1207"/>
      <c r="BH134" s="1207"/>
      <c r="BI134" s="1207"/>
      <c r="BJ134" s="1207"/>
      <c r="BK134" s="1207"/>
      <c r="BL134" s="1207"/>
      <c r="BM134" s="1207"/>
      <c r="BN134" s="1207"/>
      <c r="BO134" s="1207"/>
      <c r="BP134" s="1207"/>
      <c r="BQ134" s="1207"/>
      <c r="BR134" s="1207"/>
      <c r="BS134" s="1207"/>
      <c r="BT134" s="1207"/>
      <c r="BU134" s="1207"/>
      <c r="BV134" s="1207"/>
      <c r="BW134" s="1207"/>
      <c r="BX134" s="1207"/>
      <c r="BY134" s="1207"/>
      <c r="BZ134" s="1207"/>
      <c r="CA134" s="1207"/>
      <c r="CB134" s="1207"/>
      <c r="CC134" s="1207"/>
      <c r="CD134" s="1207"/>
      <c r="CE134" s="1207"/>
      <c r="CF134" s="1207"/>
    </row>
    <row r="135" spans="1:84" ht="105" x14ac:dyDescent="0.25">
      <c r="A135" s="1355">
        <v>2022141</v>
      </c>
      <c r="B135" s="1172">
        <v>7655</v>
      </c>
      <c r="C135" s="1356" t="s">
        <v>668</v>
      </c>
      <c r="D135" s="1190" t="s">
        <v>695</v>
      </c>
      <c r="E135" s="1174">
        <v>80111600</v>
      </c>
      <c r="F135" s="1380" t="s">
        <v>842</v>
      </c>
      <c r="G135" s="1381">
        <v>44562</v>
      </c>
      <c r="H135" s="1381">
        <v>44592</v>
      </c>
      <c r="I135" s="1176">
        <v>8</v>
      </c>
      <c r="J135" s="1176" t="s">
        <v>673</v>
      </c>
      <c r="K135" s="1177" t="s">
        <v>674</v>
      </c>
      <c r="L135" s="1178" t="s">
        <v>675</v>
      </c>
      <c r="M135" s="1179">
        <v>34776000</v>
      </c>
      <c r="N135" s="1382" t="s">
        <v>781</v>
      </c>
      <c r="O135" s="1174" t="s">
        <v>771</v>
      </c>
      <c r="P135" s="1207" t="s">
        <v>678</v>
      </c>
      <c r="Q135" s="1163"/>
      <c r="R135" s="1269">
        <v>34776000</v>
      </c>
      <c r="S135" s="1357">
        <v>34776000</v>
      </c>
      <c r="T135" s="1357">
        <f>+Tabla16[[#This Row],[CDPS A 31 JULIO 2022]]-Tabla16[[#This Row],[CDP]]</f>
        <v>0</v>
      </c>
      <c r="U135" s="1357">
        <v>34776000</v>
      </c>
      <c r="V135" s="1357">
        <v>19416600</v>
      </c>
      <c r="W135" s="1357"/>
      <c r="X135" s="1207"/>
      <c r="Y135" s="1207"/>
      <c r="Z135" s="1207"/>
      <c r="AA135" s="1207"/>
      <c r="AB135" s="1207"/>
      <c r="AC135" s="1207"/>
      <c r="AD135" s="1207"/>
      <c r="AE135" s="1207"/>
      <c r="AF135" s="1207"/>
      <c r="AG135" s="1207"/>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07"/>
      <c r="BF135" s="1207"/>
      <c r="BG135" s="1207"/>
      <c r="BH135" s="1207"/>
      <c r="BI135" s="1207"/>
      <c r="BJ135" s="1207"/>
      <c r="BK135" s="1207"/>
      <c r="BL135" s="1207"/>
      <c r="BM135" s="1207"/>
      <c r="BN135" s="1207"/>
      <c r="BO135" s="1207"/>
      <c r="BP135" s="1207"/>
      <c r="BQ135" s="1207"/>
      <c r="BR135" s="1207"/>
      <c r="BS135" s="1207"/>
      <c r="BT135" s="1207"/>
      <c r="BU135" s="1207"/>
      <c r="BV135" s="1207"/>
      <c r="BW135" s="1207"/>
      <c r="BX135" s="1207"/>
      <c r="BY135" s="1207"/>
      <c r="BZ135" s="1207"/>
      <c r="CA135" s="1207"/>
      <c r="CB135" s="1207"/>
      <c r="CC135" s="1207"/>
      <c r="CD135" s="1207"/>
      <c r="CE135" s="1207"/>
      <c r="CF135" s="1207"/>
    </row>
    <row r="136" spans="1:84" ht="105" x14ac:dyDescent="0.25">
      <c r="A136" s="1355">
        <v>2022142</v>
      </c>
      <c r="B136" s="1172">
        <v>7655</v>
      </c>
      <c r="C136" s="1356" t="s">
        <v>668</v>
      </c>
      <c r="D136" s="1190" t="s">
        <v>695</v>
      </c>
      <c r="E136" s="1174">
        <v>80111600</v>
      </c>
      <c r="F136" s="1380" t="s">
        <v>843</v>
      </c>
      <c r="G136" s="1381">
        <v>44562</v>
      </c>
      <c r="H136" s="1381">
        <v>44592</v>
      </c>
      <c r="I136" s="1176">
        <v>11</v>
      </c>
      <c r="J136" s="1176" t="s">
        <v>673</v>
      </c>
      <c r="K136" s="1177" t="s">
        <v>674</v>
      </c>
      <c r="L136" s="1178" t="s">
        <v>675</v>
      </c>
      <c r="M136" s="1179">
        <f>56100000-10200000</f>
        <v>45900000</v>
      </c>
      <c r="N136" s="1382" t="s">
        <v>781</v>
      </c>
      <c r="O136" s="1174" t="s">
        <v>771</v>
      </c>
      <c r="P136" s="1207" t="s">
        <v>678</v>
      </c>
      <c r="Q136" s="1163"/>
      <c r="R136" s="1269">
        <v>45900000</v>
      </c>
      <c r="S136" s="1357">
        <v>45900000</v>
      </c>
      <c r="T136" s="1357">
        <f>+Tabla16[[#This Row],[CDPS A 31 JULIO 2022]]-Tabla16[[#This Row],[CDP]]</f>
        <v>0</v>
      </c>
      <c r="U136" s="1357">
        <v>45900000</v>
      </c>
      <c r="V136" s="1357">
        <v>22780000</v>
      </c>
      <c r="W136" s="1357"/>
      <c r="X136" s="1207"/>
      <c r="Y136" s="1207"/>
      <c r="Z136" s="1207"/>
      <c r="AA136" s="1207"/>
      <c r="AB136" s="1207"/>
      <c r="AC136" s="1207"/>
      <c r="AD136" s="1207"/>
      <c r="AE136" s="1207"/>
      <c r="AF136" s="1207"/>
      <c r="AG136" s="120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07"/>
      <c r="BF136" s="1207"/>
      <c r="BG136" s="1207"/>
      <c r="BH136" s="1207"/>
      <c r="BI136" s="1207"/>
      <c r="BJ136" s="1207"/>
      <c r="BK136" s="1207"/>
      <c r="BL136" s="1207"/>
      <c r="BM136" s="1207"/>
      <c r="BN136" s="1207"/>
      <c r="BO136" s="1207"/>
      <c r="BP136" s="1207"/>
      <c r="BQ136" s="1207"/>
      <c r="BR136" s="1207"/>
      <c r="BS136" s="1207"/>
      <c r="BT136" s="1207"/>
      <c r="BU136" s="1207"/>
      <c r="BV136" s="1207"/>
      <c r="BW136" s="1207"/>
      <c r="BX136" s="1207"/>
      <c r="BY136" s="1207"/>
      <c r="BZ136" s="1207"/>
      <c r="CA136" s="1207"/>
      <c r="CB136" s="1207"/>
      <c r="CC136" s="1207"/>
      <c r="CD136" s="1207"/>
      <c r="CE136" s="1207"/>
      <c r="CF136" s="1207"/>
    </row>
    <row r="137" spans="1:84" ht="105" x14ac:dyDescent="0.25">
      <c r="A137" s="1355">
        <v>2022143</v>
      </c>
      <c r="B137" s="1172">
        <v>7655</v>
      </c>
      <c r="C137" s="1356" t="s">
        <v>668</v>
      </c>
      <c r="D137" s="1190" t="s">
        <v>695</v>
      </c>
      <c r="E137" s="1174">
        <v>80111600</v>
      </c>
      <c r="F137" s="1380" t="s">
        <v>844</v>
      </c>
      <c r="G137" s="1381">
        <v>44562</v>
      </c>
      <c r="H137" s="1381">
        <v>44592</v>
      </c>
      <c r="I137" s="1176">
        <v>11</v>
      </c>
      <c r="J137" s="1176" t="s">
        <v>673</v>
      </c>
      <c r="K137" s="1177" t="s">
        <v>674</v>
      </c>
      <c r="L137" s="1178" t="s">
        <v>675</v>
      </c>
      <c r="M137" s="1179">
        <f>47817000-13041000</f>
        <v>34776000</v>
      </c>
      <c r="N137" s="1382" t="s">
        <v>781</v>
      </c>
      <c r="O137" s="1174" t="s">
        <v>771</v>
      </c>
      <c r="P137" s="1207" t="s">
        <v>678</v>
      </c>
      <c r="Q137" s="1163"/>
      <c r="R137" s="1269">
        <v>34776000</v>
      </c>
      <c r="S137" s="1357">
        <v>34776000</v>
      </c>
      <c r="T137" s="1357">
        <f>+Tabla16[[#This Row],[CDPS A 31 JULIO 2022]]-Tabla16[[#This Row],[CDP]]</f>
        <v>0</v>
      </c>
      <c r="U137" s="1357">
        <v>34776000</v>
      </c>
      <c r="V137" s="1357">
        <v>19416600</v>
      </c>
      <c r="W137" s="1357"/>
      <c r="X137" s="1207"/>
      <c r="Y137" s="1207"/>
      <c r="Z137" s="1207"/>
      <c r="AA137" s="1207"/>
      <c r="AB137" s="1207"/>
      <c r="AC137" s="1207"/>
      <c r="AD137" s="1207"/>
      <c r="AE137" s="1207"/>
      <c r="AF137" s="1207"/>
      <c r="AG137" s="120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07"/>
      <c r="BF137" s="1207"/>
      <c r="BG137" s="1207"/>
      <c r="BH137" s="1207"/>
      <c r="BI137" s="1207"/>
      <c r="BJ137" s="1207"/>
      <c r="BK137" s="1207"/>
      <c r="BL137" s="1207"/>
      <c r="BM137" s="1207"/>
      <c r="BN137" s="1207"/>
      <c r="BO137" s="1207"/>
      <c r="BP137" s="1207"/>
      <c r="BQ137" s="1207"/>
      <c r="BR137" s="1207"/>
      <c r="BS137" s="1207"/>
      <c r="BT137" s="1207"/>
      <c r="BU137" s="1207"/>
      <c r="BV137" s="1207"/>
      <c r="BW137" s="1207"/>
      <c r="BX137" s="1207"/>
      <c r="BY137" s="1207"/>
      <c r="BZ137" s="1207"/>
      <c r="CA137" s="1207"/>
      <c r="CB137" s="1207"/>
      <c r="CC137" s="1207"/>
      <c r="CD137" s="1207"/>
      <c r="CE137" s="1207"/>
      <c r="CF137" s="1207"/>
    </row>
    <row r="138" spans="1:84" ht="105" x14ac:dyDescent="0.25">
      <c r="A138" s="1355">
        <v>2022144</v>
      </c>
      <c r="B138" s="1172">
        <v>7655</v>
      </c>
      <c r="C138" s="1356" t="s">
        <v>668</v>
      </c>
      <c r="D138" s="1190" t="s">
        <v>695</v>
      </c>
      <c r="E138" s="1174">
        <v>80111600</v>
      </c>
      <c r="F138" s="1380" t="s">
        <v>842</v>
      </c>
      <c r="G138" s="1381">
        <v>44562</v>
      </c>
      <c r="H138" s="1381">
        <v>44592</v>
      </c>
      <c r="I138" s="1176">
        <v>11</v>
      </c>
      <c r="J138" s="1176" t="s">
        <v>673</v>
      </c>
      <c r="K138" s="1177" t="s">
        <v>674</v>
      </c>
      <c r="L138" s="1178" t="s">
        <v>675</v>
      </c>
      <c r="M138" s="1179">
        <f>56100000-21324000</f>
        <v>34776000</v>
      </c>
      <c r="N138" s="1382" t="s">
        <v>781</v>
      </c>
      <c r="O138" s="1174" t="s">
        <v>771</v>
      </c>
      <c r="P138" s="1207" t="s">
        <v>678</v>
      </c>
      <c r="Q138" s="1163"/>
      <c r="R138" s="1269">
        <v>34776000</v>
      </c>
      <c r="S138" s="1357">
        <v>34776000</v>
      </c>
      <c r="T138" s="1357">
        <f>+Tabla16[[#This Row],[CDPS A 31 JULIO 2022]]-Tabla16[[#This Row],[CDP]]</f>
        <v>0</v>
      </c>
      <c r="U138" s="1357">
        <v>34776000</v>
      </c>
      <c r="V138" s="1357">
        <v>17388000</v>
      </c>
      <c r="W138" s="1357"/>
      <c r="X138" s="1207"/>
      <c r="Y138" s="1207"/>
      <c r="Z138" s="1207"/>
      <c r="AA138" s="1207"/>
      <c r="AB138" s="1207"/>
      <c r="AC138" s="1207"/>
      <c r="AD138" s="1207"/>
      <c r="AE138" s="1207"/>
      <c r="AF138" s="1207"/>
      <c r="AG138" s="1207"/>
      <c r="AH138" s="1207"/>
      <c r="AI138" s="1207"/>
      <c r="AJ138" s="1207"/>
      <c r="AK138" s="1207"/>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07"/>
      <c r="BF138" s="1207"/>
      <c r="BG138" s="1207"/>
      <c r="BH138" s="1207"/>
      <c r="BI138" s="1207"/>
      <c r="BJ138" s="1207"/>
      <c r="BK138" s="1207"/>
      <c r="BL138" s="1207"/>
      <c r="BM138" s="1207"/>
      <c r="BN138" s="1207"/>
      <c r="BO138" s="1207"/>
      <c r="BP138" s="1207"/>
      <c r="BQ138" s="1207"/>
      <c r="BR138" s="1207"/>
      <c r="BS138" s="1207"/>
      <c r="BT138" s="1207"/>
      <c r="BU138" s="1207"/>
      <c r="BV138" s="1207"/>
      <c r="BW138" s="1207"/>
      <c r="BX138" s="1207"/>
      <c r="BY138" s="1207"/>
      <c r="BZ138" s="1207"/>
      <c r="CA138" s="1207"/>
      <c r="CB138" s="1207"/>
      <c r="CC138" s="1207"/>
      <c r="CD138" s="1207"/>
      <c r="CE138" s="1207"/>
      <c r="CF138" s="1207"/>
    </row>
    <row r="139" spans="1:84" ht="105" x14ac:dyDescent="0.25">
      <c r="A139" s="1355">
        <v>2022145</v>
      </c>
      <c r="B139" s="1172">
        <v>7655</v>
      </c>
      <c r="C139" s="1356" t="s">
        <v>668</v>
      </c>
      <c r="D139" s="1190" t="s">
        <v>695</v>
      </c>
      <c r="E139" s="1174">
        <v>80111600</v>
      </c>
      <c r="F139" s="1380" t="s">
        <v>844</v>
      </c>
      <c r="G139" s="1381">
        <v>44562</v>
      </c>
      <c r="H139" s="1381">
        <v>44592</v>
      </c>
      <c r="I139" s="1176">
        <v>7</v>
      </c>
      <c r="J139" s="1176" t="s">
        <v>673</v>
      </c>
      <c r="K139" s="1177" t="s">
        <v>674</v>
      </c>
      <c r="L139" s="1178" t="s">
        <v>675</v>
      </c>
      <c r="M139" s="1179">
        <v>27895000</v>
      </c>
      <c r="N139" s="1382" t="s">
        <v>781</v>
      </c>
      <c r="O139" s="1174" t="s">
        <v>771</v>
      </c>
      <c r="P139" s="1207" t="s">
        <v>678</v>
      </c>
      <c r="Q139" s="1163"/>
      <c r="R139" s="1269">
        <v>27895000</v>
      </c>
      <c r="S139" s="1357">
        <v>27895000</v>
      </c>
      <c r="T139" s="1357">
        <f>+Tabla16[[#This Row],[CDPS A 31 JULIO 2022]]-Tabla16[[#This Row],[CDP]]</f>
        <v>0</v>
      </c>
      <c r="U139" s="1357">
        <v>27895000</v>
      </c>
      <c r="V139" s="1357">
        <v>17799667</v>
      </c>
      <c r="W139" s="1357"/>
      <c r="X139" s="1207"/>
      <c r="Y139" s="1207"/>
      <c r="Z139" s="1207"/>
      <c r="AA139" s="1207"/>
      <c r="AB139" s="1207"/>
      <c r="AC139" s="1207"/>
      <c r="AD139" s="1207"/>
      <c r="AE139" s="1207"/>
      <c r="AF139" s="1207"/>
      <c r="AG139" s="120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07"/>
      <c r="BF139" s="1207"/>
      <c r="BG139" s="1207"/>
      <c r="BH139" s="1207"/>
      <c r="BI139" s="1207"/>
      <c r="BJ139" s="1207"/>
      <c r="BK139" s="1207"/>
      <c r="BL139" s="1207"/>
      <c r="BM139" s="1207"/>
      <c r="BN139" s="1207"/>
      <c r="BO139" s="1207"/>
      <c r="BP139" s="1207"/>
      <c r="BQ139" s="1207"/>
      <c r="BR139" s="1207"/>
      <c r="BS139" s="1207"/>
      <c r="BT139" s="1207"/>
      <c r="BU139" s="1207"/>
      <c r="BV139" s="1207"/>
      <c r="BW139" s="1207"/>
      <c r="BX139" s="1207"/>
      <c r="BY139" s="1207"/>
      <c r="BZ139" s="1207"/>
      <c r="CA139" s="1207"/>
      <c r="CB139" s="1207"/>
      <c r="CC139" s="1207"/>
      <c r="CD139" s="1207"/>
      <c r="CE139" s="1207"/>
      <c r="CF139" s="1207"/>
    </row>
    <row r="140" spans="1:84" ht="105" x14ac:dyDescent="0.25">
      <c r="A140" s="1355">
        <v>2022146</v>
      </c>
      <c r="B140" s="1172">
        <v>7655</v>
      </c>
      <c r="C140" s="1356" t="s">
        <v>668</v>
      </c>
      <c r="D140" s="1190" t="s">
        <v>695</v>
      </c>
      <c r="E140" s="1174">
        <v>80111600</v>
      </c>
      <c r="F140" s="1380" t="s">
        <v>844</v>
      </c>
      <c r="G140" s="1381">
        <v>44562</v>
      </c>
      <c r="H140" s="1381">
        <v>44592</v>
      </c>
      <c r="I140" s="1176">
        <v>7</v>
      </c>
      <c r="J140" s="1176" t="s">
        <v>673</v>
      </c>
      <c r="K140" s="1177" t="s">
        <v>674</v>
      </c>
      <c r="L140" s="1178" t="s">
        <v>675</v>
      </c>
      <c r="M140" s="1179">
        <v>26950000</v>
      </c>
      <c r="N140" s="1382" t="s">
        <v>781</v>
      </c>
      <c r="O140" s="1174" t="s">
        <v>771</v>
      </c>
      <c r="P140" s="1207" t="s">
        <v>678</v>
      </c>
      <c r="Q140" s="1163"/>
      <c r="R140" s="1269">
        <v>26950000</v>
      </c>
      <c r="S140" s="1357">
        <v>26950000</v>
      </c>
      <c r="T140" s="1357">
        <f>+Tabla16[[#This Row],[CDPS A 31 JULIO 2022]]-Tabla16[[#This Row],[CDP]]</f>
        <v>0</v>
      </c>
      <c r="U140" s="1357">
        <v>26950000</v>
      </c>
      <c r="V140" s="1357">
        <v>8598333</v>
      </c>
      <c r="W140" s="135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07"/>
      <c r="BF140" s="1207"/>
      <c r="BG140" s="1207"/>
      <c r="BH140" s="1207"/>
      <c r="BI140" s="1207"/>
      <c r="BJ140" s="1207"/>
      <c r="BK140" s="1207"/>
      <c r="BL140" s="1207"/>
      <c r="BM140" s="1207"/>
      <c r="BN140" s="1207"/>
      <c r="BO140" s="1207"/>
      <c r="BP140" s="1207"/>
      <c r="BQ140" s="1207"/>
      <c r="BR140" s="1207"/>
      <c r="BS140" s="1207"/>
      <c r="BT140" s="1207"/>
      <c r="BU140" s="1207"/>
      <c r="BV140" s="1207"/>
      <c r="BW140" s="1207"/>
      <c r="BX140" s="1207"/>
      <c r="BY140" s="1207"/>
      <c r="BZ140" s="1207"/>
      <c r="CA140" s="1207"/>
      <c r="CB140" s="1207"/>
      <c r="CC140" s="1207"/>
      <c r="CD140" s="1207"/>
      <c r="CE140" s="1207"/>
      <c r="CF140" s="1207"/>
    </row>
    <row r="141" spans="1:84" ht="105" x14ac:dyDescent="0.25">
      <c r="A141" s="1355">
        <v>2022147</v>
      </c>
      <c r="B141" s="1172">
        <v>7655</v>
      </c>
      <c r="C141" s="1356" t="s">
        <v>668</v>
      </c>
      <c r="D141" s="1190" t="s">
        <v>695</v>
      </c>
      <c r="E141" s="1174">
        <v>80111600</v>
      </c>
      <c r="F141" s="1380" t="s">
        <v>845</v>
      </c>
      <c r="G141" s="1381">
        <v>44562</v>
      </c>
      <c r="H141" s="1381">
        <v>44592</v>
      </c>
      <c r="I141" s="1176">
        <v>8</v>
      </c>
      <c r="J141" s="1176" t="s">
        <v>673</v>
      </c>
      <c r="K141" s="1177" t="s">
        <v>674</v>
      </c>
      <c r="L141" s="1178" t="s">
        <v>675</v>
      </c>
      <c r="M141" s="1179">
        <f>19600000-2450000</f>
        <v>17150000</v>
      </c>
      <c r="N141" s="1382" t="s">
        <v>781</v>
      </c>
      <c r="O141" s="1174" t="s">
        <v>771</v>
      </c>
      <c r="P141" s="1207" t="s">
        <v>678</v>
      </c>
      <c r="Q141" s="1163"/>
      <c r="R141" s="1269">
        <v>17150000</v>
      </c>
      <c r="S141" s="1357">
        <v>17150000</v>
      </c>
      <c r="T141" s="1357">
        <f>+Tabla16[[#This Row],[CDPS A 31 JULIO 2022]]-Tabla16[[#This Row],[CDP]]</f>
        <v>0</v>
      </c>
      <c r="U141" s="1357">
        <v>17150000</v>
      </c>
      <c r="V141" s="1357">
        <v>10943333</v>
      </c>
      <c r="W141" s="1357"/>
      <c r="X141" s="1207"/>
      <c r="Y141" s="1207"/>
      <c r="Z141" s="1207"/>
      <c r="AA141" s="1207"/>
      <c r="AB141" s="1207"/>
      <c r="AC141" s="1207"/>
      <c r="AD141" s="1207"/>
      <c r="AE141" s="1207"/>
      <c r="AF141" s="1207"/>
      <c r="AG141" s="1207"/>
      <c r="AH141" s="1207"/>
      <c r="AI141" s="1207"/>
      <c r="AJ141" s="1207"/>
      <c r="AK141" s="1207"/>
      <c r="AL141" s="1207"/>
      <c r="AM141" s="1207"/>
      <c r="AN141" s="1207"/>
      <c r="AO141" s="1207"/>
      <c r="AP141" s="1207"/>
      <c r="AQ141" s="1207"/>
      <c r="AR141" s="1207"/>
      <c r="AS141" s="1207"/>
      <c r="AT141" s="1207"/>
      <c r="AU141" s="1207"/>
      <c r="AV141" s="1207"/>
      <c r="AW141" s="1207"/>
      <c r="AX141" s="1207"/>
      <c r="AY141" s="1207"/>
      <c r="AZ141" s="1207"/>
      <c r="BA141" s="1207"/>
      <c r="BB141" s="1207"/>
      <c r="BC141" s="1207"/>
      <c r="BD141" s="1207"/>
      <c r="BE141" s="1207"/>
      <c r="BF141" s="1207"/>
      <c r="BG141" s="1207"/>
      <c r="BH141" s="1207"/>
      <c r="BI141" s="1207"/>
      <c r="BJ141" s="1207"/>
      <c r="BK141" s="1207"/>
      <c r="BL141" s="1207"/>
      <c r="BM141" s="1207"/>
      <c r="BN141" s="1207"/>
      <c r="BO141" s="1207"/>
      <c r="BP141" s="1207"/>
      <c r="BQ141" s="1207"/>
      <c r="BR141" s="1207"/>
      <c r="BS141" s="1207"/>
      <c r="BT141" s="1207"/>
      <c r="BU141" s="1207"/>
      <c r="BV141" s="1207"/>
      <c r="BW141" s="1207"/>
      <c r="BX141" s="1207"/>
      <c r="BY141" s="1207"/>
      <c r="BZ141" s="1207"/>
      <c r="CA141" s="1207"/>
      <c r="CB141" s="1207"/>
      <c r="CC141" s="1207"/>
      <c r="CD141" s="1207"/>
      <c r="CE141" s="1207"/>
      <c r="CF141" s="1207"/>
    </row>
    <row r="142" spans="1:84" ht="105" x14ac:dyDescent="0.25">
      <c r="A142" s="1355">
        <v>2022148</v>
      </c>
      <c r="B142" s="1172">
        <v>7655</v>
      </c>
      <c r="C142" s="1356" t="s">
        <v>668</v>
      </c>
      <c r="D142" s="1190" t="s">
        <v>695</v>
      </c>
      <c r="E142" s="1174">
        <v>80111600</v>
      </c>
      <c r="F142" s="1380" t="s">
        <v>846</v>
      </c>
      <c r="G142" s="1381">
        <v>44562</v>
      </c>
      <c r="H142" s="1381">
        <v>44592</v>
      </c>
      <c r="I142" s="1176">
        <v>8</v>
      </c>
      <c r="J142" s="1176" t="s">
        <v>673</v>
      </c>
      <c r="K142" s="1177" t="s">
        <v>674</v>
      </c>
      <c r="L142" s="1178" t="s">
        <v>675</v>
      </c>
      <c r="M142" s="1179">
        <f>40800000-5100000</f>
        <v>35700000</v>
      </c>
      <c r="N142" s="1382" t="s">
        <v>781</v>
      </c>
      <c r="O142" s="1174" t="s">
        <v>771</v>
      </c>
      <c r="P142" s="1207" t="s">
        <v>678</v>
      </c>
      <c r="Q142" s="1163"/>
      <c r="R142" s="1269">
        <v>35700000</v>
      </c>
      <c r="S142" s="1357">
        <v>35700000</v>
      </c>
      <c r="T142" s="1357">
        <f>+Tabla16[[#This Row],[CDPS A 31 JULIO 2022]]-Tabla16[[#This Row],[CDP]]</f>
        <v>0</v>
      </c>
      <c r="U142" s="1357">
        <v>35700000</v>
      </c>
      <c r="V142" s="1357">
        <v>21420000</v>
      </c>
      <c r="W142" s="1357"/>
      <c r="X142" s="1207"/>
      <c r="Y142" s="1207"/>
      <c r="Z142" s="1207"/>
      <c r="AA142" s="1207"/>
      <c r="AB142" s="1207"/>
      <c r="AC142" s="1207"/>
      <c r="AD142" s="1207"/>
      <c r="AE142" s="1207"/>
      <c r="AF142" s="1207"/>
      <c r="AG142" s="1207"/>
      <c r="AH142" s="1207"/>
      <c r="AI142" s="1207"/>
      <c r="AJ142" s="1207"/>
      <c r="AK142" s="1207"/>
      <c r="AL142" s="1207"/>
      <c r="AM142" s="1207"/>
      <c r="AN142" s="1207"/>
      <c r="AO142" s="1207"/>
      <c r="AP142" s="1207"/>
      <c r="AQ142" s="1207"/>
      <c r="AR142" s="1207"/>
      <c r="AS142" s="1207"/>
      <c r="AT142" s="1207"/>
      <c r="AU142" s="1207"/>
      <c r="AV142" s="1207"/>
      <c r="AW142" s="1207"/>
      <c r="AX142" s="1207"/>
      <c r="AY142" s="1207"/>
      <c r="AZ142" s="1207"/>
      <c r="BA142" s="1207"/>
      <c r="BB142" s="1207"/>
      <c r="BC142" s="1207"/>
      <c r="BD142" s="1207"/>
      <c r="BE142" s="1207"/>
      <c r="BF142" s="1207"/>
      <c r="BG142" s="1207"/>
      <c r="BH142" s="1207"/>
      <c r="BI142" s="1207"/>
      <c r="BJ142" s="1207"/>
      <c r="BK142" s="1207"/>
      <c r="BL142" s="1207"/>
      <c r="BM142" s="1207"/>
      <c r="BN142" s="1207"/>
      <c r="BO142" s="1207"/>
      <c r="BP142" s="1207"/>
      <c r="BQ142" s="1207"/>
      <c r="BR142" s="1207"/>
      <c r="BS142" s="1207"/>
      <c r="BT142" s="1207"/>
      <c r="BU142" s="1207"/>
      <c r="BV142" s="1207"/>
      <c r="BW142" s="1207"/>
      <c r="BX142" s="1207"/>
      <c r="BY142" s="1207"/>
      <c r="BZ142" s="1207"/>
      <c r="CA142" s="1207"/>
      <c r="CB142" s="1207"/>
      <c r="CC142" s="1207"/>
      <c r="CD142" s="1207"/>
      <c r="CE142" s="1207"/>
      <c r="CF142" s="1207"/>
    </row>
    <row r="143" spans="1:84" ht="105" x14ac:dyDescent="0.25">
      <c r="A143" s="1355">
        <v>2022149</v>
      </c>
      <c r="B143" s="1172">
        <v>7655</v>
      </c>
      <c r="C143" s="1356" t="s">
        <v>668</v>
      </c>
      <c r="D143" s="1190" t="s">
        <v>695</v>
      </c>
      <c r="E143" s="1174">
        <v>80111600</v>
      </c>
      <c r="F143" s="1380" t="s">
        <v>847</v>
      </c>
      <c r="G143" s="1381">
        <v>44562</v>
      </c>
      <c r="H143" s="1381">
        <v>44592</v>
      </c>
      <c r="I143" s="1176">
        <v>11</v>
      </c>
      <c r="J143" s="1176" t="s">
        <v>673</v>
      </c>
      <c r="K143" s="1177" t="s">
        <v>674</v>
      </c>
      <c r="L143" s="1178" t="s">
        <v>675</v>
      </c>
      <c r="M143" s="1179">
        <f>56100000-10200000</f>
        <v>45900000</v>
      </c>
      <c r="N143" s="1382" t="s">
        <v>781</v>
      </c>
      <c r="O143" s="1174" t="s">
        <v>771</v>
      </c>
      <c r="P143" s="1207" t="s">
        <v>678</v>
      </c>
      <c r="Q143" s="1163"/>
      <c r="R143" s="1269">
        <v>45900000</v>
      </c>
      <c r="S143" s="1357">
        <v>45900000</v>
      </c>
      <c r="T143" s="1357">
        <f>+Tabla16[[#This Row],[CDPS A 31 JULIO 2022]]-Tabla16[[#This Row],[CDP]]</f>
        <v>0</v>
      </c>
      <c r="U143" s="1357">
        <v>45900000</v>
      </c>
      <c r="V143" s="1357">
        <v>21250000</v>
      </c>
      <c r="W143" s="1357"/>
      <c r="X143" s="1207"/>
      <c r="Y143" s="1207"/>
      <c r="Z143" s="1207"/>
      <c r="AA143" s="1207"/>
      <c r="AB143" s="1207"/>
      <c r="AC143" s="1207"/>
      <c r="AD143" s="1207"/>
      <c r="AE143" s="1207"/>
      <c r="AF143" s="1207"/>
      <c r="AG143" s="1207"/>
      <c r="AH143" s="1207"/>
      <c r="AI143" s="1207"/>
      <c r="AJ143" s="1207"/>
      <c r="AK143" s="1207"/>
      <c r="AL143" s="1207"/>
      <c r="AM143" s="1207"/>
      <c r="AN143" s="1207"/>
      <c r="AO143" s="1207"/>
      <c r="AP143" s="1207"/>
      <c r="AQ143" s="1207"/>
      <c r="AR143" s="1207"/>
      <c r="AS143" s="1207"/>
      <c r="AT143" s="1207"/>
      <c r="AU143" s="1207"/>
      <c r="AV143" s="1207"/>
      <c r="AW143" s="1207"/>
      <c r="AX143" s="1207"/>
      <c r="AY143" s="1207"/>
      <c r="AZ143" s="1207"/>
      <c r="BA143" s="1207"/>
      <c r="BB143" s="1207"/>
      <c r="BC143" s="1207"/>
      <c r="BD143" s="1207"/>
      <c r="BE143" s="1207"/>
      <c r="BF143" s="1207"/>
      <c r="BG143" s="1207"/>
      <c r="BH143" s="1207"/>
      <c r="BI143" s="1207"/>
      <c r="BJ143" s="1207"/>
      <c r="BK143" s="1207"/>
      <c r="BL143" s="1207"/>
      <c r="BM143" s="1207"/>
      <c r="BN143" s="1207"/>
      <c r="BO143" s="1207"/>
      <c r="BP143" s="1207"/>
      <c r="BQ143" s="1207"/>
      <c r="BR143" s="1207"/>
      <c r="BS143" s="1207"/>
      <c r="BT143" s="1207"/>
      <c r="BU143" s="1207"/>
      <c r="BV143" s="1207"/>
      <c r="BW143" s="1207"/>
      <c r="BX143" s="1207"/>
      <c r="BY143" s="1207"/>
      <c r="BZ143" s="1207"/>
      <c r="CA143" s="1207"/>
      <c r="CB143" s="1207"/>
      <c r="CC143" s="1207"/>
      <c r="CD143" s="1207"/>
      <c r="CE143" s="1207"/>
      <c r="CF143" s="1207"/>
    </row>
    <row r="144" spans="1:84" ht="105" x14ac:dyDescent="0.25">
      <c r="A144" s="1355">
        <v>2022150</v>
      </c>
      <c r="B144" s="1172">
        <v>7655</v>
      </c>
      <c r="C144" s="1356" t="s">
        <v>668</v>
      </c>
      <c r="D144" s="1190" t="s">
        <v>695</v>
      </c>
      <c r="E144" s="1174">
        <v>80111600</v>
      </c>
      <c r="F144" s="1380" t="s">
        <v>846</v>
      </c>
      <c r="G144" s="1381">
        <v>44562</v>
      </c>
      <c r="H144" s="1381">
        <v>44592</v>
      </c>
      <c r="I144" s="1176">
        <v>7</v>
      </c>
      <c r="J144" s="1176" t="s">
        <v>673</v>
      </c>
      <c r="K144" s="1177" t="s">
        <v>674</v>
      </c>
      <c r="L144" s="1178" t="s">
        <v>675</v>
      </c>
      <c r="M144" s="1179">
        <v>35700000</v>
      </c>
      <c r="N144" s="1382" t="s">
        <v>781</v>
      </c>
      <c r="O144" s="1174" t="s">
        <v>771</v>
      </c>
      <c r="P144" s="1207" t="s">
        <v>678</v>
      </c>
      <c r="Q144" s="1163"/>
      <c r="R144" s="1269">
        <v>35700000</v>
      </c>
      <c r="S144" s="1357">
        <v>35700000</v>
      </c>
      <c r="T144" s="1357">
        <f>+Tabla16[[#This Row],[CDPS A 31 JULIO 2022]]-Tabla16[[#This Row],[CDP]]</f>
        <v>0</v>
      </c>
      <c r="U144" s="1357">
        <v>35700000</v>
      </c>
      <c r="V144" s="1357">
        <v>21080000</v>
      </c>
      <c r="W144" s="1357"/>
      <c r="X144" s="1207"/>
      <c r="Y144" s="1207"/>
      <c r="Z144" s="1207"/>
      <c r="AA144" s="1207"/>
      <c r="AB144" s="1207"/>
      <c r="AC144" s="1207"/>
      <c r="AD144" s="1207"/>
      <c r="AE144" s="1207"/>
      <c r="AF144" s="1207"/>
      <c r="AG144" s="1207"/>
      <c r="AH144" s="1207"/>
      <c r="AI144" s="1207"/>
      <c r="AJ144" s="1207"/>
      <c r="AK144" s="1207"/>
      <c r="AL144" s="1207"/>
      <c r="AM144" s="1207"/>
      <c r="AN144" s="1207"/>
      <c r="AO144" s="1207"/>
      <c r="AP144" s="1207"/>
      <c r="AQ144" s="1207"/>
      <c r="AR144" s="1207"/>
      <c r="AS144" s="1207"/>
      <c r="AT144" s="1207"/>
      <c r="AU144" s="1207"/>
      <c r="AV144" s="1207"/>
      <c r="AW144" s="1207"/>
      <c r="AX144" s="1207"/>
      <c r="AY144" s="1207"/>
      <c r="AZ144" s="1207"/>
      <c r="BA144" s="1207"/>
      <c r="BB144" s="1207"/>
      <c r="BC144" s="1207"/>
      <c r="BD144" s="1207"/>
      <c r="BE144" s="1207"/>
      <c r="BF144" s="1207"/>
      <c r="BG144" s="1207"/>
      <c r="BH144" s="1207"/>
      <c r="BI144" s="1207"/>
      <c r="BJ144" s="1207"/>
      <c r="BK144" s="1207"/>
      <c r="BL144" s="1207"/>
      <c r="BM144" s="1207"/>
      <c r="BN144" s="1207"/>
      <c r="BO144" s="1207"/>
      <c r="BP144" s="1207"/>
      <c r="BQ144" s="1207"/>
      <c r="BR144" s="1207"/>
      <c r="BS144" s="1207"/>
      <c r="BT144" s="1207"/>
      <c r="BU144" s="1207"/>
      <c r="BV144" s="1207"/>
      <c r="BW144" s="1207"/>
      <c r="BX144" s="1207"/>
      <c r="BY144" s="1207"/>
      <c r="BZ144" s="1207"/>
      <c r="CA144" s="1207"/>
      <c r="CB144" s="1207"/>
      <c r="CC144" s="1207"/>
      <c r="CD144" s="1207"/>
      <c r="CE144" s="1207"/>
      <c r="CF144" s="1207"/>
    </row>
    <row r="145" spans="1:84" ht="105" x14ac:dyDescent="0.25">
      <c r="A145" s="1355">
        <v>2022151</v>
      </c>
      <c r="B145" s="1172">
        <v>7655</v>
      </c>
      <c r="C145" s="1356" t="s">
        <v>668</v>
      </c>
      <c r="D145" s="1190" t="s">
        <v>695</v>
      </c>
      <c r="E145" s="1174">
        <v>80111600</v>
      </c>
      <c r="F145" s="1380" t="s">
        <v>848</v>
      </c>
      <c r="G145" s="1381">
        <v>44562</v>
      </c>
      <c r="H145" s="1381">
        <v>44592</v>
      </c>
      <c r="I145" s="1176">
        <v>8</v>
      </c>
      <c r="J145" s="1176" t="s">
        <v>673</v>
      </c>
      <c r="K145" s="1177" t="s">
        <v>674</v>
      </c>
      <c r="L145" s="1178" t="s">
        <v>675</v>
      </c>
      <c r="M145" s="1179">
        <v>41400000</v>
      </c>
      <c r="N145" s="1382" t="s">
        <v>781</v>
      </c>
      <c r="O145" s="1174" t="s">
        <v>771</v>
      </c>
      <c r="P145" s="1207" t="s">
        <v>678</v>
      </c>
      <c r="Q145" s="1163"/>
      <c r="R145" s="1269">
        <v>41400000</v>
      </c>
      <c r="S145" s="1357">
        <v>41400000</v>
      </c>
      <c r="T145" s="1357">
        <f>+Tabla16[[#This Row],[CDPS A 31 JULIO 2022]]-Tabla16[[#This Row],[CDP]]</f>
        <v>0</v>
      </c>
      <c r="U145" s="1357">
        <v>41400000</v>
      </c>
      <c r="V145" s="1357">
        <v>22942500</v>
      </c>
      <c r="W145" s="1357"/>
      <c r="X145" s="1207"/>
      <c r="Y145" s="1207"/>
      <c r="Z145" s="1207"/>
      <c r="AA145" s="1207"/>
      <c r="AB145" s="1207"/>
      <c r="AC145" s="1207"/>
      <c r="AD145" s="1207"/>
      <c r="AE145" s="1207"/>
      <c r="AF145" s="1207"/>
      <c r="AG145" s="1207"/>
      <c r="AH145" s="1207"/>
      <c r="AI145" s="1207"/>
      <c r="AJ145" s="1207"/>
      <c r="AK145" s="1207"/>
      <c r="AL145" s="1207"/>
      <c r="AM145" s="1207"/>
      <c r="AN145" s="1207"/>
      <c r="AO145" s="1207"/>
      <c r="AP145" s="1207"/>
      <c r="AQ145" s="1207"/>
      <c r="AR145" s="1207"/>
      <c r="AS145" s="1207"/>
      <c r="AT145" s="1207"/>
      <c r="AU145" s="1207"/>
      <c r="AV145" s="1207"/>
      <c r="AW145" s="1207"/>
      <c r="AX145" s="1207"/>
      <c r="AY145" s="1207"/>
      <c r="AZ145" s="1207"/>
      <c r="BA145" s="1207"/>
      <c r="BB145" s="1207"/>
      <c r="BC145" s="1207"/>
      <c r="BD145" s="1207"/>
      <c r="BE145" s="1207"/>
      <c r="BF145" s="1207"/>
      <c r="BG145" s="1207"/>
      <c r="BH145" s="1207"/>
      <c r="BI145" s="1207"/>
      <c r="BJ145" s="1207"/>
      <c r="BK145" s="1207"/>
      <c r="BL145" s="1207"/>
      <c r="BM145" s="1207"/>
      <c r="BN145" s="1207"/>
      <c r="BO145" s="1207"/>
      <c r="BP145" s="1207"/>
      <c r="BQ145" s="1207"/>
      <c r="BR145" s="1207"/>
      <c r="BS145" s="1207"/>
      <c r="BT145" s="1207"/>
      <c r="BU145" s="1207"/>
      <c r="BV145" s="1207"/>
      <c r="BW145" s="1207"/>
      <c r="BX145" s="1207"/>
      <c r="BY145" s="1207"/>
      <c r="BZ145" s="1207"/>
      <c r="CA145" s="1207"/>
      <c r="CB145" s="1207"/>
      <c r="CC145" s="1207"/>
      <c r="CD145" s="1207"/>
      <c r="CE145" s="1207"/>
      <c r="CF145" s="1207"/>
    </row>
    <row r="146" spans="1:84" ht="105" x14ac:dyDescent="0.25">
      <c r="A146" s="1355">
        <v>2022152</v>
      </c>
      <c r="B146" s="1172">
        <v>7655</v>
      </c>
      <c r="C146" s="1356" t="s">
        <v>668</v>
      </c>
      <c r="D146" s="1190" t="s">
        <v>695</v>
      </c>
      <c r="E146" s="1174">
        <v>80111600</v>
      </c>
      <c r="F146" s="1380" t="s">
        <v>849</v>
      </c>
      <c r="G146" s="1381">
        <v>44562</v>
      </c>
      <c r="H146" s="1381">
        <v>44592</v>
      </c>
      <c r="I146" s="1176">
        <v>8</v>
      </c>
      <c r="J146" s="1176" t="s">
        <v>673</v>
      </c>
      <c r="K146" s="1177" t="s">
        <v>674</v>
      </c>
      <c r="L146" s="1178" t="s">
        <v>675</v>
      </c>
      <c r="M146" s="1179">
        <v>45544000</v>
      </c>
      <c r="N146" s="1382" t="s">
        <v>781</v>
      </c>
      <c r="O146" s="1174" t="s">
        <v>771</v>
      </c>
      <c r="P146" s="1207" t="s">
        <v>678</v>
      </c>
      <c r="Q146" s="1163"/>
      <c r="R146" s="1269">
        <v>45544000</v>
      </c>
      <c r="S146" s="1357">
        <v>45544000</v>
      </c>
      <c r="T146" s="1357">
        <f>+Tabla16[[#This Row],[CDPS A 31 JULIO 2022]]-Tabla16[[#This Row],[CDP]]</f>
        <v>0</v>
      </c>
      <c r="U146" s="1357">
        <v>45544000</v>
      </c>
      <c r="V146" s="1357">
        <v>25238967</v>
      </c>
      <c r="W146" s="1357"/>
      <c r="X146" s="1207"/>
      <c r="Y146" s="1207"/>
      <c r="Z146" s="1207"/>
      <c r="AA146" s="1207"/>
      <c r="AB146" s="1207"/>
      <c r="AC146" s="1207"/>
      <c r="AD146" s="1207"/>
      <c r="AE146" s="1207"/>
      <c r="AF146" s="1207"/>
      <c r="AG146" s="1207"/>
      <c r="AH146" s="1207"/>
      <c r="AI146" s="1207"/>
      <c r="AJ146" s="1207"/>
      <c r="AK146" s="1207"/>
      <c r="AL146" s="1207"/>
      <c r="AM146" s="1207"/>
      <c r="AN146" s="1207"/>
      <c r="AO146" s="1207"/>
      <c r="AP146" s="1207"/>
      <c r="AQ146" s="1207"/>
      <c r="AR146" s="1207"/>
      <c r="AS146" s="1207"/>
      <c r="AT146" s="1207"/>
      <c r="AU146" s="1207"/>
      <c r="AV146" s="1207"/>
      <c r="AW146" s="1207"/>
      <c r="AX146" s="1207"/>
      <c r="AY146" s="1207"/>
      <c r="AZ146" s="1207"/>
      <c r="BA146" s="1207"/>
      <c r="BB146" s="1207"/>
      <c r="BC146" s="1207"/>
      <c r="BD146" s="1207"/>
      <c r="BE146" s="1207"/>
      <c r="BF146" s="1207"/>
      <c r="BG146" s="1207"/>
      <c r="BH146" s="1207"/>
      <c r="BI146" s="1207"/>
      <c r="BJ146" s="1207"/>
      <c r="BK146" s="1207"/>
      <c r="BL146" s="1207"/>
      <c r="BM146" s="1207"/>
      <c r="BN146" s="1207"/>
      <c r="BO146" s="1207"/>
      <c r="BP146" s="1207"/>
      <c r="BQ146" s="1207"/>
      <c r="BR146" s="1207"/>
      <c r="BS146" s="1207"/>
      <c r="BT146" s="1207"/>
      <c r="BU146" s="1207"/>
      <c r="BV146" s="1207"/>
      <c r="BW146" s="1207"/>
      <c r="BX146" s="1207"/>
      <c r="BY146" s="1207"/>
      <c r="BZ146" s="1207"/>
      <c r="CA146" s="1207"/>
      <c r="CB146" s="1207"/>
      <c r="CC146" s="1207"/>
      <c r="CD146" s="1207"/>
      <c r="CE146" s="1207"/>
      <c r="CF146" s="1207"/>
    </row>
    <row r="147" spans="1:84" ht="105" x14ac:dyDescent="0.25">
      <c r="A147" s="1355">
        <v>2022153</v>
      </c>
      <c r="B147" s="1172">
        <v>7655</v>
      </c>
      <c r="C147" s="1356" t="s">
        <v>668</v>
      </c>
      <c r="D147" s="1190" t="s">
        <v>695</v>
      </c>
      <c r="E147" s="1174">
        <v>80111600</v>
      </c>
      <c r="F147" s="1380" t="s">
        <v>850</v>
      </c>
      <c r="G147" s="1381">
        <v>44562</v>
      </c>
      <c r="H147" s="1381">
        <v>44592</v>
      </c>
      <c r="I147" s="1176">
        <v>7</v>
      </c>
      <c r="J147" s="1176" t="s">
        <v>673</v>
      </c>
      <c r="K147" s="1177" t="s">
        <v>674</v>
      </c>
      <c r="L147" s="1178" t="s">
        <v>675</v>
      </c>
      <c r="M147" s="1179">
        <v>23184000</v>
      </c>
      <c r="N147" s="1382" t="s">
        <v>781</v>
      </c>
      <c r="O147" s="1174" t="s">
        <v>771</v>
      </c>
      <c r="P147" s="1207" t="s">
        <v>678</v>
      </c>
      <c r="Q147" s="1163"/>
      <c r="R147" s="1269">
        <v>23184000</v>
      </c>
      <c r="S147" s="1357">
        <v>23184000</v>
      </c>
      <c r="T147" s="1357">
        <f>+Tabla16[[#This Row],[CDPS A 31 JULIO 2022]]-Tabla16[[#This Row],[CDP]]</f>
        <v>0</v>
      </c>
      <c r="U147" s="1357">
        <v>23184000</v>
      </c>
      <c r="V147" s="1357">
        <v>14462400</v>
      </c>
      <c r="W147" s="1357"/>
      <c r="X147" s="1207"/>
      <c r="Y147" s="1207"/>
      <c r="Z147" s="1207"/>
      <c r="AA147" s="1207"/>
      <c r="AB147" s="1207"/>
      <c r="AC147" s="1207"/>
      <c r="AD147" s="1207"/>
      <c r="AE147" s="1207"/>
      <c r="AF147" s="1207"/>
      <c r="AG147" s="1207"/>
      <c r="AH147" s="1207"/>
      <c r="AI147" s="1207"/>
      <c r="AJ147" s="1207"/>
      <c r="AK147" s="1207"/>
      <c r="AL147" s="1207"/>
      <c r="AM147" s="1207"/>
      <c r="AN147" s="1207"/>
      <c r="AO147" s="1207"/>
      <c r="AP147" s="1207"/>
      <c r="AQ147" s="1207"/>
      <c r="AR147" s="1207"/>
      <c r="AS147" s="1207"/>
      <c r="AT147" s="1207"/>
      <c r="AU147" s="1207"/>
      <c r="AV147" s="1207"/>
      <c r="AW147" s="1207"/>
      <c r="AX147" s="1207"/>
      <c r="AY147" s="1207"/>
      <c r="AZ147" s="1207"/>
      <c r="BA147" s="1207"/>
      <c r="BB147" s="1207"/>
      <c r="BC147" s="1207"/>
      <c r="BD147" s="1207"/>
      <c r="BE147" s="1207"/>
      <c r="BF147" s="1207"/>
      <c r="BG147" s="1207"/>
      <c r="BH147" s="1207"/>
      <c r="BI147" s="1207"/>
      <c r="BJ147" s="1207"/>
      <c r="BK147" s="1207"/>
      <c r="BL147" s="1207"/>
      <c r="BM147" s="1207"/>
      <c r="BN147" s="1207"/>
      <c r="BO147" s="1207"/>
      <c r="BP147" s="1207"/>
      <c r="BQ147" s="1207"/>
      <c r="BR147" s="1207"/>
      <c r="BS147" s="1207"/>
      <c r="BT147" s="1207"/>
      <c r="BU147" s="1207"/>
      <c r="BV147" s="1207"/>
      <c r="BW147" s="1207"/>
      <c r="BX147" s="1207"/>
      <c r="BY147" s="1207"/>
      <c r="BZ147" s="1207"/>
      <c r="CA147" s="1207"/>
      <c r="CB147" s="1207"/>
      <c r="CC147" s="1207"/>
      <c r="CD147" s="1207"/>
      <c r="CE147" s="1207"/>
      <c r="CF147" s="1207"/>
    </row>
    <row r="148" spans="1:84" ht="105" x14ac:dyDescent="0.25">
      <c r="A148" s="1355">
        <v>2022154</v>
      </c>
      <c r="B148" s="1172">
        <v>7655</v>
      </c>
      <c r="C148" s="1356" t="s">
        <v>668</v>
      </c>
      <c r="D148" s="1190" t="s">
        <v>695</v>
      </c>
      <c r="E148" s="1174">
        <v>80111600</v>
      </c>
      <c r="F148" s="1380" t="s">
        <v>851</v>
      </c>
      <c r="G148" s="1381">
        <v>44562</v>
      </c>
      <c r="H148" s="1381">
        <v>44592</v>
      </c>
      <c r="I148" s="1176">
        <v>7</v>
      </c>
      <c r="J148" s="1176" t="s">
        <v>673</v>
      </c>
      <c r="K148" s="1177" t="s">
        <v>674</v>
      </c>
      <c r="L148" s="1178" t="s">
        <v>675</v>
      </c>
      <c r="M148" s="1179">
        <v>30429000</v>
      </c>
      <c r="N148" s="1382" t="s">
        <v>781</v>
      </c>
      <c r="O148" s="1174" t="s">
        <v>771</v>
      </c>
      <c r="P148" s="1207" t="s">
        <v>678</v>
      </c>
      <c r="Q148" s="1163"/>
      <c r="R148" s="1269">
        <v>30429000</v>
      </c>
      <c r="S148" s="1357">
        <v>30429000</v>
      </c>
      <c r="T148" s="1357">
        <f>+Tabla16[[#This Row],[CDPS A 31 JULIO 2022]]-Tabla16[[#This Row],[CDP]]</f>
        <v>0</v>
      </c>
      <c r="U148" s="1357">
        <v>30429000</v>
      </c>
      <c r="V148" s="1357">
        <v>19271700</v>
      </c>
      <c r="W148" s="135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07"/>
      <c r="BF148" s="1207"/>
      <c r="BG148" s="1207"/>
      <c r="BH148" s="1207"/>
      <c r="BI148" s="1207"/>
      <c r="BJ148" s="1207"/>
      <c r="BK148" s="1207"/>
      <c r="BL148" s="1207"/>
      <c r="BM148" s="1207"/>
      <c r="BN148" s="1207"/>
      <c r="BO148" s="1207"/>
      <c r="BP148" s="1207"/>
      <c r="BQ148" s="1207"/>
      <c r="BR148" s="1207"/>
      <c r="BS148" s="1207"/>
      <c r="BT148" s="1207"/>
      <c r="BU148" s="1207"/>
      <c r="BV148" s="1207"/>
      <c r="BW148" s="1207"/>
      <c r="BX148" s="1207"/>
      <c r="BY148" s="1207"/>
      <c r="BZ148" s="1207"/>
      <c r="CA148" s="1207"/>
      <c r="CB148" s="1207"/>
      <c r="CC148" s="1207"/>
      <c r="CD148" s="1207"/>
      <c r="CE148" s="1207"/>
      <c r="CF148" s="1207"/>
    </row>
    <row r="149" spans="1:84" ht="105" x14ac:dyDescent="0.25">
      <c r="A149" s="1355">
        <v>2022155</v>
      </c>
      <c r="B149" s="1172">
        <v>7655</v>
      </c>
      <c r="C149" s="1356" t="s">
        <v>668</v>
      </c>
      <c r="D149" s="1190" t="s">
        <v>695</v>
      </c>
      <c r="E149" s="1174">
        <v>80111600</v>
      </c>
      <c r="F149" s="1380" t="s">
        <v>852</v>
      </c>
      <c r="G149" s="1381">
        <v>44562</v>
      </c>
      <c r="H149" s="1381">
        <v>44592</v>
      </c>
      <c r="I149" s="1176">
        <v>11</v>
      </c>
      <c r="J149" s="1176" t="s">
        <v>673</v>
      </c>
      <c r="K149" s="1177" t="s">
        <v>674</v>
      </c>
      <c r="L149" s="1178" t="s">
        <v>675</v>
      </c>
      <c r="M149" s="1179">
        <f>83600000-43826667</f>
        <v>39773333</v>
      </c>
      <c r="N149" s="1382" t="s">
        <v>781</v>
      </c>
      <c r="O149" s="1174" t="s">
        <v>771</v>
      </c>
      <c r="P149" s="1207" t="s">
        <v>678</v>
      </c>
      <c r="Q149" s="1163"/>
      <c r="R149" s="1269">
        <v>68400000</v>
      </c>
      <c r="S149" s="1357">
        <v>68400000</v>
      </c>
      <c r="T149" s="1357">
        <f>+Tabla16[[#This Row],[CDPS A 31 JULIO 2022]]-Tabla16[[#This Row],[CDP]]</f>
        <v>0</v>
      </c>
      <c r="U149" s="1357">
        <v>68400000</v>
      </c>
      <c r="V149" s="1357">
        <v>32173333</v>
      </c>
      <c r="W149" s="1357"/>
      <c r="X149" s="1207"/>
      <c r="Y149" s="1207"/>
      <c r="Z149" s="1207"/>
      <c r="AA149" s="1207"/>
      <c r="AB149" s="1207"/>
      <c r="AC149" s="1207"/>
      <c r="AD149" s="1207"/>
      <c r="AE149" s="1207"/>
      <c r="AF149" s="1207"/>
      <c r="AG149" s="1207"/>
      <c r="AH149" s="1207"/>
      <c r="AI149" s="1207"/>
      <c r="AJ149" s="1207"/>
      <c r="AK149" s="1207"/>
      <c r="AL149" s="1207"/>
      <c r="AM149" s="1207"/>
      <c r="AN149" s="1207"/>
      <c r="AO149" s="1207"/>
      <c r="AP149" s="1207"/>
      <c r="AQ149" s="1207"/>
      <c r="AR149" s="1207"/>
      <c r="AS149" s="1207"/>
      <c r="AT149" s="1207"/>
      <c r="AU149" s="1207"/>
      <c r="AV149" s="1207"/>
      <c r="AW149" s="1207"/>
      <c r="AX149" s="1207"/>
      <c r="AY149" s="1207"/>
      <c r="AZ149" s="1207"/>
      <c r="BA149" s="1207"/>
      <c r="BB149" s="1207"/>
      <c r="BC149" s="1207"/>
      <c r="BD149" s="1207"/>
      <c r="BE149" s="1207"/>
      <c r="BF149" s="1207"/>
      <c r="BG149" s="1207"/>
      <c r="BH149" s="1207"/>
      <c r="BI149" s="1207"/>
      <c r="BJ149" s="1207"/>
      <c r="BK149" s="1207"/>
      <c r="BL149" s="1207"/>
      <c r="BM149" s="1207"/>
      <c r="BN149" s="1207"/>
      <c r="BO149" s="1207"/>
      <c r="BP149" s="1207"/>
      <c r="BQ149" s="1207"/>
      <c r="BR149" s="1207"/>
      <c r="BS149" s="1207"/>
      <c r="BT149" s="1207"/>
      <c r="BU149" s="1207"/>
      <c r="BV149" s="1207"/>
      <c r="BW149" s="1207"/>
      <c r="BX149" s="1207"/>
      <c r="BY149" s="1207"/>
      <c r="BZ149" s="1207"/>
      <c r="CA149" s="1207"/>
      <c r="CB149" s="1207"/>
      <c r="CC149" s="1207"/>
      <c r="CD149" s="1207"/>
      <c r="CE149" s="1207"/>
      <c r="CF149" s="1207"/>
    </row>
    <row r="150" spans="1:84" ht="105" x14ac:dyDescent="0.25">
      <c r="A150" s="1355">
        <v>2022156</v>
      </c>
      <c r="B150" s="1172">
        <v>7655</v>
      </c>
      <c r="C150" s="1356" t="s">
        <v>668</v>
      </c>
      <c r="D150" s="1190" t="s">
        <v>695</v>
      </c>
      <c r="E150" s="1174">
        <v>80111600</v>
      </c>
      <c r="F150" s="1380" t="s">
        <v>853</v>
      </c>
      <c r="G150" s="1381">
        <v>44562</v>
      </c>
      <c r="H150" s="1381">
        <v>44592</v>
      </c>
      <c r="I150" s="1176">
        <v>7</v>
      </c>
      <c r="J150" s="1176" t="s">
        <v>673</v>
      </c>
      <c r="K150" s="1177" t="s">
        <v>674</v>
      </c>
      <c r="L150" s="1178" t="s">
        <v>675</v>
      </c>
      <c r="M150" s="1179">
        <v>26950000</v>
      </c>
      <c r="N150" s="1382" t="s">
        <v>781</v>
      </c>
      <c r="O150" s="1174" t="s">
        <v>771</v>
      </c>
      <c r="P150" s="1207" t="s">
        <v>678</v>
      </c>
      <c r="Q150" s="1163"/>
      <c r="R150" s="1269">
        <v>26950000</v>
      </c>
      <c r="S150" s="1357">
        <v>26950000</v>
      </c>
      <c r="T150" s="1357">
        <f>+Tabla16[[#This Row],[CDPS A 31 JULIO 2022]]-Tabla16[[#This Row],[CDP]]</f>
        <v>0</v>
      </c>
      <c r="U150" s="1357">
        <v>26950000</v>
      </c>
      <c r="V150" s="1357">
        <v>15400000</v>
      </c>
      <c r="W150" s="135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07"/>
      <c r="BF150" s="1207"/>
      <c r="BG150" s="1207"/>
      <c r="BH150" s="1207"/>
      <c r="BI150" s="1207"/>
      <c r="BJ150" s="1207"/>
      <c r="BK150" s="1207"/>
      <c r="BL150" s="1207"/>
      <c r="BM150" s="1207"/>
      <c r="BN150" s="1207"/>
      <c r="BO150" s="1207"/>
      <c r="BP150" s="1207"/>
      <c r="BQ150" s="1207"/>
      <c r="BR150" s="1207"/>
      <c r="BS150" s="1207"/>
      <c r="BT150" s="1207"/>
      <c r="BU150" s="1207"/>
      <c r="BV150" s="1207"/>
      <c r="BW150" s="1207"/>
      <c r="BX150" s="1207"/>
      <c r="BY150" s="1207"/>
      <c r="BZ150" s="1207"/>
      <c r="CA150" s="1207"/>
      <c r="CB150" s="1207"/>
      <c r="CC150" s="1207"/>
      <c r="CD150" s="1207"/>
      <c r="CE150" s="1207"/>
      <c r="CF150" s="1207"/>
    </row>
    <row r="151" spans="1:84" ht="105" x14ac:dyDescent="0.25">
      <c r="A151" s="1355">
        <v>2022157</v>
      </c>
      <c r="B151" s="1172">
        <v>7655</v>
      </c>
      <c r="C151" s="1356" t="s">
        <v>668</v>
      </c>
      <c r="D151" s="1190" t="s">
        <v>695</v>
      </c>
      <c r="E151" s="1174">
        <v>80111600</v>
      </c>
      <c r="F151" s="1380" t="s">
        <v>848</v>
      </c>
      <c r="G151" s="1381">
        <v>44562</v>
      </c>
      <c r="H151" s="1381">
        <v>44592</v>
      </c>
      <c r="I151" s="1176">
        <v>7</v>
      </c>
      <c r="J151" s="1176" t="s">
        <v>673</v>
      </c>
      <c r="K151" s="1177" t="s">
        <v>674</v>
      </c>
      <c r="L151" s="1178" t="s">
        <v>675</v>
      </c>
      <c r="M151" s="1179">
        <v>36225000</v>
      </c>
      <c r="N151" s="1382" t="s">
        <v>781</v>
      </c>
      <c r="O151" s="1174" t="s">
        <v>771</v>
      </c>
      <c r="P151" s="1207" t="s">
        <v>678</v>
      </c>
      <c r="Q151" s="1163"/>
      <c r="R151" s="1269">
        <v>36225000</v>
      </c>
      <c r="S151" s="1357">
        <v>36225000</v>
      </c>
      <c r="T151" s="1357">
        <f>+Tabla16[[#This Row],[CDPS A 31 JULIO 2022]]-Tabla16[[#This Row],[CDP]]</f>
        <v>0</v>
      </c>
      <c r="U151" s="1357">
        <v>36225000</v>
      </c>
      <c r="V151" s="1357">
        <v>22425000</v>
      </c>
      <c r="W151" s="1357"/>
      <c r="X151" s="1207"/>
      <c r="Y151" s="1207"/>
      <c r="Z151" s="1207"/>
      <c r="AA151" s="1207"/>
      <c r="AB151" s="1207"/>
      <c r="AC151" s="1207"/>
      <c r="AD151" s="1207"/>
      <c r="AE151" s="1207"/>
      <c r="AF151" s="1207"/>
      <c r="AG151" s="1207"/>
      <c r="AH151" s="1207"/>
      <c r="AI151" s="1207"/>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07"/>
      <c r="BF151" s="1207"/>
      <c r="BG151" s="1207"/>
      <c r="BH151" s="1207"/>
      <c r="BI151" s="1207"/>
      <c r="BJ151" s="1207"/>
      <c r="BK151" s="1207"/>
      <c r="BL151" s="1207"/>
      <c r="BM151" s="1207"/>
      <c r="BN151" s="1207"/>
      <c r="BO151" s="1207"/>
      <c r="BP151" s="1207"/>
      <c r="BQ151" s="1207"/>
      <c r="BR151" s="1207"/>
      <c r="BS151" s="1207"/>
      <c r="BT151" s="1207"/>
      <c r="BU151" s="1207"/>
      <c r="BV151" s="1207"/>
      <c r="BW151" s="1207"/>
      <c r="BX151" s="1207"/>
      <c r="BY151" s="1207"/>
      <c r="BZ151" s="1207"/>
      <c r="CA151" s="1207"/>
      <c r="CB151" s="1207"/>
      <c r="CC151" s="1207"/>
      <c r="CD151" s="1207"/>
      <c r="CE151" s="1207"/>
      <c r="CF151" s="1207"/>
    </row>
    <row r="152" spans="1:84" ht="105" x14ac:dyDescent="0.25">
      <c r="A152" s="1355">
        <v>2022158</v>
      </c>
      <c r="B152" s="1172">
        <v>7655</v>
      </c>
      <c r="C152" s="1356" t="s">
        <v>668</v>
      </c>
      <c r="D152" s="1190" t="s">
        <v>695</v>
      </c>
      <c r="E152" s="1174">
        <v>80111600</v>
      </c>
      <c r="F152" s="1380" t="s">
        <v>849</v>
      </c>
      <c r="G152" s="1381">
        <v>44562</v>
      </c>
      <c r="H152" s="1381">
        <v>44592</v>
      </c>
      <c r="I152" s="1176">
        <v>8</v>
      </c>
      <c r="J152" s="1176" t="s">
        <v>673</v>
      </c>
      <c r="K152" s="1177" t="s">
        <v>674</v>
      </c>
      <c r="L152" s="1178" t="s">
        <v>675</v>
      </c>
      <c r="M152" s="1179">
        <v>45544000</v>
      </c>
      <c r="N152" s="1382" t="s">
        <v>781</v>
      </c>
      <c r="O152" s="1174" t="s">
        <v>771</v>
      </c>
      <c r="P152" s="1207" t="s">
        <v>678</v>
      </c>
      <c r="Q152" s="1163"/>
      <c r="R152" s="1269">
        <v>45544000</v>
      </c>
      <c r="S152" s="1357">
        <v>45544000</v>
      </c>
      <c r="T152" s="1357">
        <f>+Tabla16[[#This Row],[CDPS A 31 JULIO 2022]]-Tabla16[[#This Row],[CDP]]</f>
        <v>0</v>
      </c>
      <c r="U152" s="1357">
        <v>45544000</v>
      </c>
      <c r="V152" s="1357">
        <v>24100367</v>
      </c>
      <c r="W152" s="1357"/>
      <c r="X152" s="1207"/>
      <c r="Y152" s="1207"/>
      <c r="Z152" s="1207"/>
      <c r="AA152" s="1207"/>
      <c r="AB152" s="1207"/>
      <c r="AC152" s="1207"/>
      <c r="AD152" s="1207"/>
      <c r="AE152" s="1207"/>
      <c r="AF152" s="1207"/>
      <c r="AG152" s="1207"/>
      <c r="AH152" s="1207"/>
      <c r="AI152" s="1207"/>
      <c r="AJ152" s="1207"/>
      <c r="AK152" s="1207"/>
      <c r="AL152" s="1207"/>
      <c r="AM152" s="1207"/>
      <c r="AN152" s="1207"/>
      <c r="AO152" s="1207"/>
      <c r="AP152" s="1207"/>
      <c r="AQ152" s="1207"/>
      <c r="AR152" s="1207"/>
      <c r="AS152" s="1207"/>
      <c r="AT152" s="1207"/>
      <c r="AU152" s="1207"/>
      <c r="AV152" s="1207"/>
      <c r="AW152" s="1207"/>
      <c r="AX152" s="1207"/>
      <c r="AY152" s="1207"/>
      <c r="AZ152" s="1207"/>
      <c r="BA152" s="1207"/>
      <c r="BB152" s="1207"/>
      <c r="BC152" s="1207"/>
      <c r="BD152" s="1207"/>
      <c r="BE152" s="1207"/>
      <c r="BF152" s="1207"/>
      <c r="BG152" s="1207"/>
      <c r="BH152" s="1207"/>
      <c r="BI152" s="1207"/>
      <c r="BJ152" s="1207"/>
      <c r="BK152" s="1207"/>
      <c r="BL152" s="1207"/>
      <c r="BM152" s="1207"/>
      <c r="BN152" s="1207"/>
      <c r="BO152" s="1207"/>
      <c r="BP152" s="1207"/>
      <c r="BQ152" s="1207"/>
      <c r="BR152" s="1207"/>
      <c r="BS152" s="1207"/>
      <c r="BT152" s="1207"/>
      <c r="BU152" s="1207"/>
      <c r="BV152" s="1207"/>
      <c r="BW152" s="1207"/>
      <c r="BX152" s="1207"/>
      <c r="BY152" s="1207"/>
      <c r="BZ152" s="1207"/>
      <c r="CA152" s="1207"/>
      <c r="CB152" s="1207"/>
      <c r="CC152" s="1207"/>
      <c r="CD152" s="1207"/>
      <c r="CE152" s="1207"/>
      <c r="CF152" s="1207"/>
    </row>
    <row r="153" spans="1:84" ht="105" x14ac:dyDescent="0.25">
      <c r="A153" s="1355">
        <v>2022159</v>
      </c>
      <c r="B153" s="1172">
        <v>7655</v>
      </c>
      <c r="C153" s="1356" t="s">
        <v>668</v>
      </c>
      <c r="D153" s="1190" t="s">
        <v>695</v>
      </c>
      <c r="E153" s="1174">
        <v>80111600</v>
      </c>
      <c r="F153" s="1380" t="s">
        <v>854</v>
      </c>
      <c r="G153" s="1381">
        <v>44562</v>
      </c>
      <c r="H153" s="1381">
        <v>44592</v>
      </c>
      <c r="I153" s="1176">
        <v>8</v>
      </c>
      <c r="J153" s="1176" t="s">
        <v>673</v>
      </c>
      <c r="K153" s="1177" t="s">
        <v>674</v>
      </c>
      <c r="L153" s="1178" t="s">
        <v>675</v>
      </c>
      <c r="M153" s="1179">
        <f>19600000-4900000</f>
        <v>14700000</v>
      </c>
      <c r="N153" s="1382" t="s">
        <v>781</v>
      </c>
      <c r="O153" s="1174" t="s">
        <v>771</v>
      </c>
      <c r="P153" s="1207" t="s">
        <v>678</v>
      </c>
      <c r="Q153" s="1163"/>
      <c r="R153" s="1269">
        <v>14700000</v>
      </c>
      <c r="S153" s="1357">
        <v>14700000</v>
      </c>
      <c r="T153" s="1357">
        <f>+Tabla16[[#This Row],[CDPS A 31 JULIO 2022]]-Tabla16[[#This Row],[CDP]]</f>
        <v>0</v>
      </c>
      <c r="U153" s="1357">
        <v>14700000</v>
      </c>
      <c r="V153" s="1357">
        <v>10698333</v>
      </c>
      <c r="W153" s="1357"/>
      <c r="X153" s="1207"/>
      <c r="Y153" s="1207"/>
      <c r="Z153" s="1207"/>
      <c r="AA153" s="1207"/>
      <c r="AB153" s="1207"/>
      <c r="AC153" s="1207"/>
      <c r="AD153" s="1207"/>
      <c r="AE153" s="1207"/>
      <c r="AF153" s="1207"/>
      <c r="AG153" s="1207"/>
      <c r="AH153" s="1207"/>
      <c r="AI153" s="1207"/>
      <c r="AJ153" s="1207"/>
      <c r="AK153" s="1207"/>
      <c r="AL153" s="1207"/>
      <c r="AM153" s="1207"/>
      <c r="AN153" s="1207"/>
      <c r="AO153" s="1207"/>
      <c r="AP153" s="1207"/>
      <c r="AQ153" s="1207"/>
      <c r="AR153" s="1207"/>
      <c r="AS153" s="1207"/>
      <c r="AT153" s="1207"/>
      <c r="AU153" s="1207"/>
      <c r="AV153" s="1207"/>
      <c r="AW153" s="1207"/>
      <c r="AX153" s="1207"/>
      <c r="AY153" s="1207"/>
      <c r="AZ153" s="1207"/>
      <c r="BA153" s="1207"/>
      <c r="BB153" s="1207"/>
      <c r="BC153" s="1207"/>
      <c r="BD153" s="1207"/>
      <c r="BE153" s="1207"/>
      <c r="BF153" s="1207"/>
      <c r="BG153" s="1207"/>
      <c r="BH153" s="1207"/>
      <c r="BI153" s="1207"/>
      <c r="BJ153" s="1207"/>
      <c r="BK153" s="1207"/>
      <c r="BL153" s="1207"/>
      <c r="BM153" s="1207"/>
      <c r="BN153" s="1207"/>
      <c r="BO153" s="1207"/>
      <c r="BP153" s="1207"/>
      <c r="BQ153" s="1207"/>
      <c r="BR153" s="1207"/>
      <c r="BS153" s="1207"/>
      <c r="BT153" s="1207"/>
      <c r="BU153" s="1207"/>
      <c r="BV153" s="1207"/>
      <c r="BW153" s="1207"/>
      <c r="BX153" s="1207"/>
      <c r="BY153" s="1207"/>
      <c r="BZ153" s="1207"/>
      <c r="CA153" s="1207"/>
      <c r="CB153" s="1207"/>
      <c r="CC153" s="1207"/>
      <c r="CD153" s="1207"/>
      <c r="CE153" s="1207"/>
      <c r="CF153" s="1207"/>
    </row>
    <row r="154" spans="1:84" ht="105" x14ac:dyDescent="0.25">
      <c r="A154" s="1355">
        <v>2022160</v>
      </c>
      <c r="B154" s="1172">
        <v>7655</v>
      </c>
      <c r="C154" s="1356" t="s">
        <v>668</v>
      </c>
      <c r="D154" s="1190" t="s">
        <v>695</v>
      </c>
      <c r="E154" s="1174">
        <v>80111600</v>
      </c>
      <c r="F154" s="1380" t="s">
        <v>855</v>
      </c>
      <c r="G154" s="1381">
        <v>44562</v>
      </c>
      <c r="H154" s="1381">
        <v>44592</v>
      </c>
      <c r="I154" s="1176">
        <v>11</v>
      </c>
      <c r="J154" s="1176" t="s">
        <v>673</v>
      </c>
      <c r="K154" s="1177" t="s">
        <v>674</v>
      </c>
      <c r="L154" s="1178" t="s">
        <v>675</v>
      </c>
      <c r="M154" s="1179">
        <v>31306000</v>
      </c>
      <c r="N154" s="1382" t="s">
        <v>781</v>
      </c>
      <c r="O154" s="1174" t="s">
        <v>771</v>
      </c>
      <c r="P154" s="1207" t="s">
        <v>678</v>
      </c>
      <c r="Q154" s="1163"/>
      <c r="R154" s="1269">
        <v>31306000</v>
      </c>
      <c r="S154" s="1357">
        <v>31306000</v>
      </c>
      <c r="T154" s="1357">
        <f>+Tabla16[[#This Row],[CDPS A 31 JULIO 2022]]-Tabla16[[#This Row],[CDP]]</f>
        <v>0</v>
      </c>
      <c r="U154" s="1357">
        <v>31306000</v>
      </c>
      <c r="V154" s="1357">
        <v>12048067</v>
      </c>
      <c r="W154" s="1357"/>
      <c r="X154" s="1207"/>
      <c r="Y154" s="1207"/>
      <c r="Z154" s="1207"/>
      <c r="AA154" s="1207"/>
      <c r="AB154" s="1207"/>
      <c r="AC154" s="1207"/>
      <c r="AD154" s="1207"/>
      <c r="AE154" s="1207"/>
      <c r="AF154" s="1207"/>
      <c r="AG154" s="1207"/>
      <c r="AH154" s="1207"/>
      <c r="AI154" s="1207"/>
      <c r="AJ154" s="1207"/>
      <c r="AK154" s="1207"/>
      <c r="AL154" s="1207"/>
      <c r="AM154" s="1207"/>
      <c r="AN154" s="1207"/>
      <c r="AO154" s="1207"/>
      <c r="AP154" s="1207"/>
      <c r="AQ154" s="1207"/>
      <c r="AR154" s="1207"/>
      <c r="AS154" s="1207"/>
      <c r="AT154" s="1207"/>
      <c r="AU154" s="1207"/>
      <c r="AV154" s="1207"/>
      <c r="AW154" s="1207"/>
      <c r="AX154" s="1207"/>
      <c r="AY154" s="1207"/>
      <c r="AZ154" s="1207"/>
      <c r="BA154" s="1207"/>
      <c r="BB154" s="1207"/>
      <c r="BC154" s="1207"/>
      <c r="BD154" s="1207"/>
      <c r="BE154" s="1207"/>
      <c r="BF154" s="1207"/>
      <c r="BG154" s="1207"/>
      <c r="BH154" s="1207"/>
      <c r="BI154" s="1207"/>
      <c r="BJ154" s="1207"/>
      <c r="BK154" s="1207"/>
      <c r="BL154" s="1207"/>
      <c r="BM154" s="1207"/>
      <c r="BN154" s="1207"/>
      <c r="BO154" s="1207"/>
      <c r="BP154" s="1207"/>
      <c r="BQ154" s="1207"/>
      <c r="BR154" s="1207"/>
      <c r="BS154" s="1207"/>
      <c r="BT154" s="1207"/>
      <c r="BU154" s="1207"/>
      <c r="BV154" s="1207"/>
      <c r="BW154" s="1207"/>
      <c r="BX154" s="1207"/>
      <c r="BY154" s="1207"/>
      <c r="BZ154" s="1207"/>
      <c r="CA154" s="1207"/>
      <c r="CB154" s="1207"/>
      <c r="CC154" s="1207"/>
      <c r="CD154" s="1207"/>
      <c r="CE154" s="1207"/>
      <c r="CF154" s="1207"/>
    </row>
    <row r="155" spans="1:84" ht="105" x14ac:dyDescent="0.25">
      <c r="A155" s="1355">
        <v>2022161</v>
      </c>
      <c r="B155" s="1172">
        <v>7655</v>
      </c>
      <c r="C155" s="1356" t="s">
        <v>668</v>
      </c>
      <c r="D155" s="1190" t="s">
        <v>695</v>
      </c>
      <c r="E155" s="1174">
        <v>80111600</v>
      </c>
      <c r="F155" s="1380" t="s">
        <v>856</v>
      </c>
      <c r="G155" s="1381">
        <v>44562</v>
      </c>
      <c r="H155" s="1381">
        <v>44592</v>
      </c>
      <c r="I155" s="1176">
        <v>8</v>
      </c>
      <c r="J155" s="1176" t="s">
        <v>673</v>
      </c>
      <c r="K155" s="1177" t="s">
        <v>674</v>
      </c>
      <c r="L155" s="1178" t="s">
        <v>675</v>
      </c>
      <c r="M155" s="1179">
        <v>34776000</v>
      </c>
      <c r="N155" s="1382" t="s">
        <v>781</v>
      </c>
      <c r="O155" s="1174" t="s">
        <v>771</v>
      </c>
      <c r="P155" s="1207" t="s">
        <v>678</v>
      </c>
      <c r="Q155" s="1163"/>
      <c r="R155" s="1269">
        <v>34776000</v>
      </c>
      <c r="S155" s="1357">
        <v>34776000</v>
      </c>
      <c r="T155" s="1357">
        <f>+Tabla16[[#This Row],[CDPS A 31 JULIO 2022]]-Tabla16[[#This Row],[CDP]]</f>
        <v>0</v>
      </c>
      <c r="U155" s="1357">
        <v>34776000</v>
      </c>
      <c r="V155" s="1357">
        <v>18402300</v>
      </c>
      <c r="W155" s="135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07"/>
      <c r="BF155" s="1207"/>
      <c r="BG155" s="1207"/>
      <c r="BH155" s="1207"/>
      <c r="BI155" s="1207"/>
      <c r="BJ155" s="1207"/>
      <c r="BK155" s="1207"/>
      <c r="BL155" s="1207"/>
      <c r="BM155" s="1207"/>
      <c r="BN155" s="1207"/>
      <c r="BO155" s="1207"/>
      <c r="BP155" s="1207"/>
      <c r="BQ155" s="1207"/>
      <c r="BR155" s="1207"/>
      <c r="BS155" s="1207"/>
      <c r="BT155" s="1207"/>
      <c r="BU155" s="1207"/>
      <c r="BV155" s="1207"/>
      <c r="BW155" s="1207"/>
      <c r="BX155" s="1207"/>
      <c r="BY155" s="1207"/>
      <c r="BZ155" s="1207"/>
      <c r="CA155" s="1207"/>
      <c r="CB155" s="1207"/>
      <c r="CC155" s="1207"/>
      <c r="CD155" s="1207"/>
      <c r="CE155" s="1207"/>
      <c r="CF155" s="1207"/>
    </row>
    <row r="156" spans="1:84" ht="105" x14ac:dyDescent="0.25">
      <c r="A156" s="1355">
        <v>2022162</v>
      </c>
      <c r="B156" s="1172">
        <v>7655</v>
      </c>
      <c r="C156" s="1356" t="s">
        <v>668</v>
      </c>
      <c r="D156" s="1190" t="s">
        <v>695</v>
      </c>
      <c r="E156" s="1174">
        <v>80111600</v>
      </c>
      <c r="F156" s="1380" t="s">
        <v>857</v>
      </c>
      <c r="G156" s="1381">
        <v>44562</v>
      </c>
      <c r="H156" s="1381">
        <v>44592</v>
      </c>
      <c r="I156" s="1176">
        <v>8</v>
      </c>
      <c r="J156" s="1176" t="s">
        <v>673</v>
      </c>
      <c r="K156" s="1177" t="s">
        <v>674</v>
      </c>
      <c r="L156" s="1178" t="s">
        <v>675</v>
      </c>
      <c r="M156" s="1179">
        <f>34776000-4347000</f>
        <v>30429000</v>
      </c>
      <c r="N156" s="1382" t="s">
        <v>781</v>
      </c>
      <c r="O156" s="1174" t="s">
        <v>771</v>
      </c>
      <c r="P156" s="1207" t="s">
        <v>678</v>
      </c>
      <c r="Q156" s="1163"/>
      <c r="R156" s="1269">
        <v>30429000</v>
      </c>
      <c r="S156" s="1357">
        <v>30429000</v>
      </c>
      <c r="T156" s="1357">
        <f>+Tabla16[[#This Row],[CDPS A 31 JULIO 2022]]-Tabla16[[#This Row],[CDP]]</f>
        <v>0</v>
      </c>
      <c r="U156" s="1357">
        <v>30429000</v>
      </c>
      <c r="V156" s="1357">
        <v>18981900</v>
      </c>
      <c r="W156" s="135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07"/>
      <c r="BF156" s="1207"/>
      <c r="BG156" s="1207"/>
      <c r="BH156" s="1207"/>
      <c r="BI156" s="1207"/>
      <c r="BJ156" s="1207"/>
      <c r="BK156" s="1207"/>
      <c r="BL156" s="1207"/>
      <c r="BM156" s="1207"/>
      <c r="BN156" s="1207"/>
      <c r="BO156" s="1207"/>
      <c r="BP156" s="1207"/>
      <c r="BQ156" s="1207"/>
      <c r="BR156" s="1207"/>
      <c r="BS156" s="1207"/>
      <c r="BT156" s="1207"/>
      <c r="BU156" s="1207"/>
      <c r="BV156" s="1207"/>
      <c r="BW156" s="1207"/>
      <c r="BX156" s="1207"/>
      <c r="BY156" s="1207"/>
      <c r="BZ156" s="1207"/>
      <c r="CA156" s="1207"/>
      <c r="CB156" s="1207"/>
      <c r="CC156" s="1207"/>
      <c r="CD156" s="1207"/>
      <c r="CE156" s="1207"/>
      <c r="CF156" s="1207"/>
    </row>
    <row r="157" spans="1:84" ht="105" x14ac:dyDescent="0.25">
      <c r="A157" s="1355">
        <v>2022163</v>
      </c>
      <c r="B157" s="1172">
        <v>7655</v>
      </c>
      <c r="C157" s="1356" t="s">
        <v>668</v>
      </c>
      <c r="D157" s="1190" t="s">
        <v>695</v>
      </c>
      <c r="E157" s="1174">
        <v>80111600</v>
      </c>
      <c r="F157" s="1380" t="s">
        <v>858</v>
      </c>
      <c r="G157" s="1381">
        <v>44562</v>
      </c>
      <c r="H157" s="1381">
        <v>44592</v>
      </c>
      <c r="I157" s="1176">
        <v>11</v>
      </c>
      <c r="J157" s="1176" t="s">
        <v>673</v>
      </c>
      <c r="K157" s="1177" t="s">
        <v>674</v>
      </c>
      <c r="L157" s="1178" t="s">
        <v>675</v>
      </c>
      <c r="M157" s="1179">
        <v>36850000</v>
      </c>
      <c r="N157" s="1382" t="s">
        <v>781</v>
      </c>
      <c r="O157" s="1174" t="s">
        <v>771</v>
      </c>
      <c r="P157" s="1207" t="s">
        <v>678</v>
      </c>
      <c r="Q157" s="1163"/>
      <c r="R157" s="1269">
        <v>21735000</v>
      </c>
      <c r="S157" s="1357">
        <v>21735000</v>
      </c>
      <c r="T157" s="1357">
        <f>+Tabla16[[#This Row],[CDPS A 31 JULIO 2022]]-Tabla16[[#This Row],[CDP]]</f>
        <v>0</v>
      </c>
      <c r="U157" s="1357">
        <v>21735000</v>
      </c>
      <c r="V157" s="1357">
        <v>13558500</v>
      </c>
      <c r="W157" s="1357"/>
      <c r="X157" s="1207"/>
      <c r="Y157" s="1207"/>
      <c r="Z157" s="1207"/>
      <c r="AA157" s="1207"/>
      <c r="AB157" s="1207"/>
      <c r="AC157" s="1207"/>
      <c r="AD157" s="1207"/>
      <c r="AE157" s="1207"/>
      <c r="AF157" s="1207"/>
      <c r="AG157" s="1207"/>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07"/>
      <c r="BF157" s="1207"/>
      <c r="BG157" s="1207"/>
      <c r="BH157" s="1207"/>
      <c r="BI157" s="1207"/>
      <c r="BJ157" s="1207"/>
      <c r="BK157" s="1207"/>
      <c r="BL157" s="1207"/>
      <c r="BM157" s="1207"/>
      <c r="BN157" s="1207"/>
      <c r="BO157" s="1207"/>
      <c r="BP157" s="1207"/>
      <c r="BQ157" s="1207"/>
      <c r="BR157" s="1207"/>
      <c r="BS157" s="1207"/>
      <c r="BT157" s="1207"/>
      <c r="BU157" s="1207"/>
      <c r="BV157" s="1207"/>
      <c r="BW157" s="1207"/>
      <c r="BX157" s="1207"/>
      <c r="BY157" s="1207"/>
      <c r="BZ157" s="1207"/>
      <c r="CA157" s="1207"/>
      <c r="CB157" s="1207"/>
      <c r="CC157" s="1207"/>
      <c r="CD157" s="1207"/>
      <c r="CE157" s="1207"/>
      <c r="CF157" s="1207"/>
    </row>
    <row r="158" spans="1:84" ht="105" x14ac:dyDescent="0.25">
      <c r="A158" s="1355">
        <v>2022164</v>
      </c>
      <c r="B158" s="1172">
        <v>7655</v>
      </c>
      <c r="C158" s="1356" t="s">
        <v>668</v>
      </c>
      <c r="D158" s="1190" t="s">
        <v>695</v>
      </c>
      <c r="E158" s="1174">
        <v>80111600</v>
      </c>
      <c r="F158" s="1380" t="s">
        <v>859</v>
      </c>
      <c r="G158" s="1381">
        <v>44562</v>
      </c>
      <c r="H158" s="1381">
        <v>44592</v>
      </c>
      <c r="I158" s="1176">
        <v>7</v>
      </c>
      <c r="J158" s="1176" t="s">
        <v>673</v>
      </c>
      <c r="K158" s="1177" t="s">
        <v>674</v>
      </c>
      <c r="L158" s="1178" t="s">
        <v>675</v>
      </c>
      <c r="M158" s="1179">
        <f>26950000-2100000</f>
        <v>24850000</v>
      </c>
      <c r="N158" s="1382" t="s">
        <v>781</v>
      </c>
      <c r="O158" s="1174" t="s">
        <v>771</v>
      </c>
      <c r="P158" s="1207" t="s">
        <v>678</v>
      </c>
      <c r="Q158" s="1163"/>
      <c r="R158" s="1269">
        <v>24850000</v>
      </c>
      <c r="S158" s="1357">
        <v>24850000</v>
      </c>
      <c r="T158" s="1357">
        <f>+Tabla16[[#This Row],[CDPS A 31 JULIO 2022]]-Tabla16[[#This Row],[CDP]]</f>
        <v>0</v>
      </c>
      <c r="U158" s="1357">
        <v>24850000</v>
      </c>
      <c r="V158" s="1357">
        <v>15383333</v>
      </c>
      <c r="W158" s="1357"/>
      <c r="X158" s="1207"/>
      <c r="Y158" s="1207"/>
      <c r="Z158" s="1207"/>
      <c r="AA158" s="1207"/>
      <c r="AB158" s="1207"/>
      <c r="AC158" s="1207"/>
      <c r="AD158" s="1207"/>
      <c r="AE158" s="1207"/>
      <c r="AF158" s="1207"/>
      <c r="AG158" s="1207"/>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07"/>
      <c r="BF158" s="1207"/>
      <c r="BG158" s="1207"/>
      <c r="BH158" s="1207"/>
      <c r="BI158" s="1207"/>
      <c r="BJ158" s="1207"/>
      <c r="BK158" s="1207"/>
      <c r="BL158" s="1207"/>
      <c r="BM158" s="1207"/>
      <c r="BN158" s="1207"/>
      <c r="BO158" s="1207"/>
      <c r="BP158" s="1207"/>
      <c r="BQ158" s="1207"/>
      <c r="BR158" s="1207"/>
      <c r="BS158" s="1207"/>
      <c r="BT158" s="1207"/>
      <c r="BU158" s="1207"/>
      <c r="BV158" s="1207"/>
      <c r="BW158" s="1207"/>
      <c r="BX158" s="1207"/>
      <c r="BY158" s="1207"/>
      <c r="BZ158" s="1207"/>
      <c r="CA158" s="1207"/>
      <c r="CB158" s="1207"/>
      <c r="CC158" s="1207"/>
      <c r="CD158" s="1207"/>
      <c r="CE158" s="1207"/>
      <c r="CF158" s="1207"/>
    </row>
    <row r="159" spans="1:84" ht="105" x14ac:dyDescent="0.25">
      <c r="A159" s="1355">
        <v>2022165</v>
      </c>
      <c r="B159" s="1172">
        <v>7655</v>
      </c>
      <c r="C159" s="1356" t="s">
        <v>668</v>
      </c>
      <c r="D159" s="1190" t="s">
        <v>695</v>
      </c>
      <c r="E159" s="1174">
        <v>80111600</v>
      </c>
      <c r="F159" s="1380" t="s">
        <v>860</v>
      </c>
      <c r="G159" s="1381">
        <v>44562</v>
      </c>
      <c r="H159" s="1381">
        <v>44592</v>
      </c>
      <c r="I159" s="1176">
        <v>8</v>
      </c>
      <c r="J159" s="1176" t="s">
        <v>673</v>
      </c>
      <c r="K159" s="1177" t="s">
        <v>674</v>
      </c>
      <c r="L159" s="1178" t="s">
        <v>675</v>
      </c>
      <c r="M159" s="1179">
        <v>41400000</v>
      </c>
      <c r="N159" s="1382" t="s">
        <v>781</v>
      </c>
      <c r="O159" s="1174" t="s">
        <v>771</v>
      </c>
      <c r="P159" s="1207" t="s">
        <v>678</v>
      </c>
      <c r="Q159" s="1163"/>
      <c r="R159" s="1269">
        <v>41400000</v>
      </c>
      <c r="S159" s="1357">
        <v>41400000</v>
      </c>
      <c r="T159" s="1357">
        <f>+Tabla16[[#This Row],[CDPS A 31 JULIO 2022]]-Tabla16[[#This Row],[CDP]]</f>
        <v>0</v>
      </c>
      <c r="U159" s="1357">
        <v>41400000</v>
      </c>
      <c r="V159" s="1357">
        <v>22597500</v>
      </c>
      <c r="W159" s="1357"/>
      <c r="X159" s="1207"/>
      <c r="Y159" s="1207"/>
      <c r="Z159" s="1207"/>
      <c r="AA159" s="1207"/>
      <c r="AB159" s="1207"/>
      <c r="AC159" s="1207"/>
      <c r="AD159" s="1207"/>
      <c r="AE159" s="1207"/>
      <c r="AF159" s="1207"/>
      <c r="AG159" s="1207"/>
      <c r="AH159" s="1207"/>
      <c r="AI159" s="1207"/>
      <c r="AJ159" s="1207"/>
      <c r="AK159" s="1207"/>
      <c r="AL159" s="1207"/>
      <c r="AM159" s="1207"/>
      <c r="AN159" s="1207"/>
      <c r="AO159" s="1207"/>
      <c r="AP159" s="1207"/>
      <c r="AQ159" s="1207"/>
      <c r="AR159" s="1207"/>
      <c r="AS159" s="1207"/>
      <c r="AT159" s="1207"/>
      <c r="AU159" s="1207"/>
      <c r="AV159" s="1207"/>
      <c r="AW159" s="1207"/>
      <c r="AX159" s="1207"/>
      <c r="AY159" s="1207"/>
      <c r="AZ159" s="1207"/>
      <c r="BA159" s="1207"/>
      <c r="BB159" s="1207"/>
      <c r="BC159" s="1207"/>
      <c r="BD159" s="1207"/>
      <c r="BE159" s="1207"/>
      <c r="BF159" s="1207"/>
      <c r="BG159" s="1207"/>
      <c r="BH159" s="1207"/>
      <c r="BI159" s="1207"/>
      <c r="BJ159" s="1207"/>
      <c r="BK159" s="1207"/>
      <c r="BL159" s="1207"/>
      <c r="BM159" s="1207"/>
      <c r="BN159" s="1207"/>
      <c r="BO159" s="1207"/>
      <c r="BP159" s="1207"/>
      <c r="BQ159" s="1207"/>
      <c r="BR159" s="1207"/>
      <c r="BS159" s="1207"/>
      <c r="BT159" s="1207"/>
      <c r="BU159" s="1207"/>
      <c r="BV159" s="1207"/>
      <c r="BW159" s="1207"/>
      <c r="BX159" s="1207"/>
      <c r="BY159" s="1207"/>
      <c r="BZ159" s="1207"/>
      <c r="CA159" s="1207"/>
      <c r="CB159" s="1207"/>
      <c r="CC159" s="1207"/>
      <c r="CD159" s="1207"/>
      <c r="CE159" s="1207"/>
      <c r="CF159" s="1207"/>
    </row>
    <row r="160" spans="1:84" ht="105" x14ac:dyDescent="0.25">
      <c r="A160" s="1355">
        <v>2022166</v>
      </c>
      <c r="B160" s="1172">
        <v>7655</v>
      </c>
      <c r="C160" s="1356" t="s">
        <v>668</v>
      </c>
      <c r="D160" s="1190" t="s">
        <v>695</v>
      </c>
      <c r="E160" s="1174">
        <v>80111600</v>
      </c>
      <c r="F160" s="1380" t="s">
        <v>861</v>
      </c>
      <c r="G160" s="1381">
        <v>44562</v>
      </c>
      <c r="H160" s="1381">
        <v>44592</v>
      </c>
      <c r="I160" s="1176">
        <v>8</v>
      </c>
      <c r="J160" s="1176" t="s">
        <v>673</v>
      </c>
      <c r="K160" s="1177" t="s">
        <v>674</v>
      </c>
      <c r="L160" s="1178" t="s">
        <v>675</v>
      </c>
      <c r="M160" s="1179">
        <f>41400000-13282500</f>
        <v>28117500</v>
      </c>
      <c r="N160" s="1382" t="s">
        <v>781</v>
      </c>
      <c r="O160" s="1174" t="s">
        <v>771</v>
      </c>
      <c r="P160" s="1207" t="s">
        <v>678</v>
      </c>
      <c r="Q160" s="1163"/>
      <c r="R160" s="1269">
        <v>36225000</v>
      </c>
      <c r="S160" s="1357">
        <v>36225000</v>
      </c>
      <c r="T160" s="1357">
        <f>+Tabla16[[#This Row],[CDPS A 31 JULIO 2022]]-Tabla16[[#This Row],[CDP]]</f>
        <v>0</v>
      </c>
      <c r="U160" s="1357">
        <v>36225000</v>
      </c>
      <c r="V160" s="1357">
        <v>22942500</v>
      </c>
      <c r="W160" s="1357"/>
      <c r="X160" s="1207"/>
      <c r="Y160" s="1207"/>
      <c r="Z160" s="1207"/>
      <c r="AA160" s="1207"/>
      <c r="AB160" s="1207"/>
      <c r="AC160" s="1207"/>
      <c r="AD160" s="1207"/>
      <c r="AE160" s="1207"/>
      <c r="AF160" s="1207"/>
      <c r="AG160" s="1207"/>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07"/>
      <c r="BF160" s="1207"/>
      <c r="BG160" s="1207"/>
      <c r="BH160" s="1207"/>
      <c r="BI160" s="1207"/>
      <c r="BJ160" s="1207"/>
      <c r="BK160" s="1207"/>
      <c r="BL160" s="1207"/>
      <c r="BM160" s="1207"/>
      <c r="BN160" s="1207"/>
      <c r="BO160" s="1207"/>
      <c r="BP160" s="1207"/>
      <c r="BQ160" s="1207"/>
      <c r="BR160" s="1207"/>
      <c r="BS160" s="1207"/>
      <c r="BT160" s="1207"/>
      <c r="BU160" s="1207"/>
      <c r="BV160" s="1207"/>
      <c r="BW160" s="1207"/>
      <c r="BX160" s="1207"/>
      <c r="BY160" s="1207"/>
      <c r="BZ160" s="1207"/>
      <c r="CA160" s="1207"/>
      <c r="CB160" s="1207"/>
      <c r="CC160" s="1207"/>
      <c r="CD160" s="1207"/>
      <c r="CE160" s="1207"/>
      <c r="CF160" s="1207"/>
    </row>
    <row r="161" spans="1:84" ht="105" x14ac:dyDescent="0.25">
      <c r="A161" s="1355">
        <v>2022167</v>
      </c>
      <c r="B161" s="1172">
        <v>7655</v>
      </c>
      <c r="C161" s="1356" t="s">
        <v>668</v>
      </c>
      <c r="D161" s="1190" t="s">
        <v>695</v>
      </c>
      <c r="E161" s="1174">
        <v>80111600</v>
      </c>
      <c r="F161" s="1380" t="s">
        <v>862</v>
      </c>
      <c r="G161" s="1381">
        <v>44562</v>
      </c>
      <c r="H161" s="1381">
        <v>44592</v>
      </c>
      <c r="I161" s="1176">
        <v>11</v>
      </c>
      <c r="J161" s="1176" t="s">
        <v>673</v>
      </c>
      <c r="K161" s="1177" t="s">
        <v>674</v>
      </c>
      <c r="L161" s="1178" t="s">
        <v>675</v>
      </c>
      <c r="M161" s="1179">
        <v>80036000</v>
      </c>
      <c r="N161" s="1382" t="s">
        <v>781</v>
      </c>
      <c r="O161" s="1174" t="s">
        <v>771</v>
      </c>
      <c r="P161" s="1207" t="s">
        <v>678</v>
      </c>
      <c r="Q161" s="1163"/>
      <c r="R161" s="1269">
        <v>80036000</v>
      </c>
      <c r="S161" s="1357">
        <v>80036000</v>
      </c>
      <c r="T161" s="1357">
        <f>+Tabla16[[#This Row],[CDPS A 31 JULIO 2022]]-Tabla16[[#This Row],[CDP]]</f>
        <v>0</v>
      </c>
      <c r="U161" s="1357">
        <v>80036000</v>
      </c>
      <c r="V161" s="1357">
        <v>32499467</v>
      </c>
      <c r="W161" s="1357"/>
      <c r="X161" s="1207"/>
      <c r="Y161" s="1207"/>
      <c r="Z161" s="1207"/>
      <c r="AA161" s="1207"/>
      <c r="AB161" s="1207"/>
      <c r="AC161" s="1207"/>
      <c r="AD161" s="1207"/>
      <c r="AE161" s="1207"/>
      <c r="AF161" s="1207"/>
      <c r="AG161" s="1207"/>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07"/>
      <c r="BF161" s="1207"/>
      <c r="BG161" s="1207"/>
      <c r="BH161" s="1207"/>
      <c r="BI161" s="1207"/>
      <c r="BJ161" s="1207"/>
      <c r="BK161" s="1207"/>
      <c r="BL161" s="1207"/>
      <c r="BM161" s="1207"/>
      <c r="BN161" s="1207"/>
      <c r="BO161" s="1207"/>
      <c r="BP161" s="1207"/>
      <c r="BQ161" s="1207"/>
      <c r="BR161" s="1207"/>
      <c r="BS161" s="1207"/>
      <c r="BT161" s="1207"/>
      <c r="BU161" s="1207"/>
      <c r="BV161" s="1207"/>
      <c r="BW161" s="1207"/>
      <c r="BX161" s="1207"/>
      <c r="BY161" s="1207"/>
      <c r="BZ161" s="1207"/>
      <c r="CA161" s="1207"/>
      <c r="CB161" s="1207"/>
      <c r="CC161" s="1207"/>
      <c r="CD161" s="1207"/>
      <c r="CE161" s="1207"/>
      <c r="CF161" s="1207"/>
    </row>
    <row r="162" spans="1:84" ht="105" x14ac:dyDescent="0.25">
      <c r="A162" s="1355">
        <v>2022168</v>
      </c>
      <c r="B162" s="1172">
        <v>7655</v>
      </c>
      <c r="C162" s="1356" t="s">
        <v>668</v>
      </c>
      <c r="D162" s="1190" t="s">
        <v>695</v>
      </c>
      <c r="E162" s="1174">
        <v>80111600</v>
      </c>
      <c r="F162" s="1380" t="s">
        <v>860</v>
      </c>
      <c r="G162" s="1381">
        <v>44562</v>
      </c>
      <c r="H162" s="1381">
        <v>44592</v>
      </c>
      <c r="I162" s="1176">
        <v>10</v>
      </c>
      <c r="J162" s="1176" t="s">
        <v>673</v>
      </c>
      <c r="K162" s="1177" t="s">
        <v>674</v>
      </c>
      <c r="L162" s="1178" t="s">
        <v>675</v>
      </c>
      <c r="M162" s="1179">
        <v>60000000</v>
      </c>
      <c r="N162" s="1382" t="s">
        <v>781</v>
      </c>
      <c r="O162" s="1174" t="s">
        <v>771</v>
      </c>
      <c r="P162" s="1207" t="s">
        <v>678</v>
      </c>
      <c r="Q162" s="1163"/>
      <c r="R162" s="1269">
        <v>60000000</v>
      </c>
      <c r="S162" s="1357">
        <v>60000000</v>
      </c>
      <c r="T162" s="1357">
        <f>+Tabla16[[#This Row],[CDPS A 31 JULIO 2022]]-Tabla16[[#This Row],[CDP]]</f>
        <v>0</v>
      </c>
      <c r="U162" s="1357">
        <v>60000000</v>
      </c>
      <c r="V162" s="1357">
        <v>25400000</v>
      </c>
      <c r="W162" s="1357"/>
      <c r="X162" s="1207"/>
      <c r="Y162" s="1207"/>
      <c r="Z162" s="1207"/>
      <c r="AA162" s="1207"/>
      <c r="AB162" s="1207"/>
      <c r="AC162" s="1207"/>
      <c r="AD162" s="1207"/>
      <c r="AE162" s="1207"/>
      <c r="AF162" s="1207"/>
      <c r="AG162" s="1207"/>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07"/>
      <c r="BF162" s="1207"/>
      <c r="BG162" s="1207"/>
      <c r="BH162" s="1207"/>
      <c r="BI162" s="1207"/>
      <c r="BJ162" s="1207"/>
      <c r="BK162" s="1207"/>
      <c r="BL162" s="1207"/>
      <c r="BM162" s="1207"/>
      <c r="BN162" s="1207"/>
      <c r="BO162" s="1207"/>
      <c r="BP162" s="1207"/>
      <c r="BQ162" s="1207"/>
      <c r="BR162" s="1207"/>
      <c r="BS162" s="1207"/>
      <c r="BT162" s="1207"/>
      <c r="BU162" s="1207"/>
      <c r="BV162" s="1207"/>
      <c r="BW162" s="1207"/>
      <c r="BX162" s="1207"/>
      <c r="BY162" s="1207"/>
      <c r="BZ162" s="1207"/>
      <c r="CA162" s="1207"/>
      <c r="CB162" s="1207"/>
      <c r="CC162" s="1207"/>
      <c r="CD162" s="1207"/>
      <c r="CE162" s="1207"/>
      <c r="CF162" s="1207"/>
    </row>
    <row r="163" spans="1:84" ht="105" x14ac:dyDescent="0.25">
      <c r="A163" s="1355">
        <v>2022169</v>
      </c>
      <c r="B163" s="1172">
        <v>7655</v>
      </c>
      <c r="C163" s="1356" t="s">
        <v>668</v>
      </c>
      <c r="D163" s="1190" t="s">
        <v>695</v>
      </c>
      <c r="E163" s="1174">
        <v>80111600</v>
      </c>
      <c r="F163" s="1380" t="s">
        <v>858</v>
      </c>
      <c r="G163" s="1381">
        <v>44562</v>
      </c>
      <c r="H163" s="1381">
        <v>44592</v>
      </c>
      <c r="I163" s="1176">
        <v>11</v>
      </c>
      <c r="J163" s="1176" t="s">
        <v>673</v>
      </c>
      <c r="K163" s="1177" t="s">
        <v>674</v>
      </c>
      <c r="L163" s="1178" t="s">
        <v>675</v>
      </c>
      <c r="M163" s="1179">
        <f>34155000-11385000-1035000</f>
        <v>21735000</v>
      </c>
      <c r="N163" s="1382" t="s">
        <v>781</v>
      </c>
      <c r="O163" s="1174" t="s">
        <v>771</v>
      </c>
      <c r="P163" s="1207" t="s">
        <v>678</v>
      </c>
      <c r="Q163" s="1163"/>
      <c r="R163" s="1269">
        <v>36850000</v>
      </c>
      <c r="S163" s="1357">
        <v>36850000</v>
      </c>
      <c r="T163" s="1357">
        <f>+Tabla16[[#This Row],[CDPS A 31 JULIO 2022]]-Tabla16[[#This Row],[CDP]]</f>
        <v>0</v>
      </c>
      <c r="U163" s="1357">
        <v>36850000</v>
      </c>
      <c r="V163" s="1357">
        <v>14181667</v>
      </c>
      <c r="W163" s="1357"/>
      <c r="X163" s="1207"/>
      <c r="Y163" s="1207"/>
      <c r="Z163" s="1207"/>
      <c r="AA163" s="1207"/>
      <c r="AB163" s="1207"/>
      <c r="AC163" s="1207"/>
      <c r="AD163" s="1207"/>
      <c r="AE163" s="1207"/>
      <c r="AF163" s="1207"/>
      <c r="AG163" s="1207"/>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07"/>
      <c r="BF163" s="1207"/>
      <c r="BG163" s="1207"/>
      <c r="BH163" s="1207"/>
      <c r="BI163" s="1207"/>
      <c r="BJ163" s="1207"/>
      <c r="BK163" s="1207"/>
      <c r="BL163" s="1207"/>
      <c r="BM163" s="1207"/>
      <c r="BN163" s="1207"/>
      <c r="BO163" s="1207"/>
      <c r="BP163" s="1207"/>
      <c r="BQ163" s="1207"/>
      <c r="BR163" s="1207"/>
      <c r="BS163" s="1207"/>
      <c r="BT163" s="1207"/>
      <c r="BU163" s="1207"/>
      <c r="BV163" s="1207"/>
      <c r="BW163" s="1207"/>
      <c r="BX163" s="1207"/>
      <c r="BY163" s="1207"/>
      <c r="BZ163" s="1207"/>
      <c r="CA163" s="1207"/>
      <c r="CB163" s="1207"/>
      <c r="CC163" s="1207"/>
      <c r="CD163" s="1207"/>
      <c r="CE163" s="1207"/>
      <c r="CF163" s="1207"/>
    </row>
    <row r="164" spans="1:84" ht="105" x14ac:dyDescent="0.25">
      <c r="A164" s="1355">
        <v>2022170</v>
      </c>
      <c r="B164" s="1172">
        <v>7655</v>
      </c>
      <c r="C164" s="1356" t="s">
        <v>668</v>
      </c>
      <c r="D164" s="1190" t="s">
        <v>695</v>
      </c>
      <c r="E164" s="1174">
        <v>80111600</v>
      </c>
      <c r="F164" s="1380" t="s">
        <v>861</v>
      </c>
      <c r="G164" s="1381">
        <v>44562</v>
      </c>
      <c r="H164" s="1381">
        <v>44592</v>
      </c>
      <c r="I164" s="1176">
        <v>6</v>
      </c>
      <c r="J164" s="1176" t="s">
        <v>673</v>
      </c>
      <c r="K164" s="1177" t="s">
        <v>674</v>
      </c>
      <c r="L164" s="1178" t="s">
        <v>675</v>
      </c>
      <c r="M164" s="1179">
        <v>26082000</v>
      </c>
      <c r="N164" s="1382" t="s">
        <v>781</v>
      </c>
      <c r="O164" s="1174" t="s">
        <v>771</v>
      </c>
      <c r="P164" s="1207" t="s">
        <v>678</v>
      </c>
      <c r="Q164" s="1163"/>
      <c r="R164" s="1269">
        <v>26082000</v>
      </c>
      <c r="S164" s="1357">
        <v>26082000</v>
      </c>
      <c r="T164" s="1357">
        <f>+Tabla16[[#This Row],[CDPS A 31 JULIO 2022]]-Tabla16[[#This Row],[CDP]]</f>
        <v>0</v>
      </c>
      <c r="U164" s="1357">
        <v>26082000</v>
      </c>
      <c r="V164" s="1357">
        <v>18257400</v>
      </c>
      <c r="W164" s="1357"/>
      <c r="X164" s="1207"/>
      <c r="Y164" s="1207"/>
      <c r="Z164" s="1207"/>
      <c r="AA164" s="1207"/>
      <c r="AB164" s="1207"/>
      <c r="AC164" s="1207"/>
      <c r="AD164" s="1207"/>
      <c r="AE164" s="1207"/>
      <c r="AF164" s="1207"/>
      <c r="AG164" s="1207"/>
      <c r="AH164" s="1207"/>
      <c r="AI164" s="1207"/>
      <c r="AJ164" s="1207"/>
      <c r="AK164" s="1207"/>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07"/>
      <c r="BF164" s="1207"/>
      <c r="BG164" s="1207"/>
      <c r="BH164" s="1207"/>
      <c r="BI164" s="1207"/>
      <c r="BJ164" s="1207"/>
      <c r="BK164" s="1207"/>
      <c r="BL164" s="1207"/>
      <c r="BM164" s="1207"/>
      <c r="BN164" s="1207"/>
      <c r="BO164" s="1207"/>
      <c r="BP164" s="1207"/>
      <c r="BQ164" s="1207"/>
      <c r="BR164" s="1207"/>
      <c r="BS164" s="1207"/>
      <c r="BT164" s="1207"/>
      <c r="BU164" s="1207"/>
      <c r="BV164" s="1207"/>
      <c r="BW164" s="1207"/>
      <c r="BX164" s="1207"/>
      <c r="BY164" s="1207"/>
      <c r="BZ164" s="1207"/>
      <c r="CA164" s="1207"/>
      <c r="CB164" s="1207"/>
      <c r="CC164" s="1207"/>
      <c r="CD164" s="1207"/>
      <c r="CE164" s="1207"/>
      <c r="CF164" s="1207"/>
    </row>
    <row r="165" spans="1:84" ht="105" x14ac:dyDescent="0.25">
      <c r="A165" s="1355">
        <v>2022171</v>
      </c>
      <c r="B165" s="1172">
        <v>7655</v>
      </c>
      <c r="C165" s="1356" t="s">
        <v>668</v>
      </c>
      <c r="D165" s="1190" t="s">
        <v>695</v>
      </c>
      <c r="E165" s="1174">
        <v>80111600</v>
      </c>
      <c r="F165" s="1380" t="s">
        <v>863</v>
      </c>
      <c r="G165" s="1381">
        <v>44562</v>
      </c>
      <c r="H165" s="1381">
        <v>44592</v>
      </c>
      <c r="I165" s="1176">
        <v>7</v>
      </c>
      <c r="J165" s="1176" t="s">
        <v>673</v>
      </c>
      <c r="K165" s="1177" t="s">
        <v>674</v>
      </c>
      <c r="L165" s="1178" t="s">
        <v>675</v>
      </c>
      <c r="M165" s="1179">
        <v>36225000</v>
      </c>
      <c r="N165" s="1382" t="s">
        <v>781</v>
      </c>
      <c r="O165" s="1174" t="s">
        <v>771</v>
      </c>
      <c r="P165" s="1207" t="s">
        <v>678</v>
      </c>
      <c r="Q165" s="1163"/>
      <c r="R165" s="1269">
        <v>36225000</v>
      </c>
      <c r="S165" s="1357">
        <v>36225000</v>
      </c>
      <c r="T165" s="1357">
        <f>+Tabla16[[#This Row],[CDPS A 31 JULIO 2022]]-Tabla16[[#This Row],[CDP]]</f>
        <v>0</v>
      </c>
      <c r="U165" s="1357">
        <v>36225000</v>
      </c>
      <c r="V165" s="1357">
        <v>18975000</v>
      </c>
      <c r="W165" s="1357"/>
      <c r="X165" s="1207"/>
      <c r="Y165" s="1207"/>
      <c r="Z165" s="1207"/>
      <c r="AA165" s="1207"/>
      <c r="AB165" s="1207"/>
      <c r="AC165" s="1207"/>
      <c r="AD165" s="1207"/>
      <c r="AE165" s="1207"/>
      <c r="AF165" s="1207"/>
      <c r="AG165" s="1207"/>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07"/>
      <c r="BF165" s="1207"/>
      <c r="BG165" s="1207"/>
      <c r="BH165" s="1207"/>
      <c r="BI165" s="1207"/>
      <c r="BJ165" s="1207"/>
      <c r="BK165" s="1207"/>
      <c r="BL165" s="1207"/>
      <c r="BM165" s="1207"/>
      <c r="BN165" s="1207"/>
      <c r="BO165" s="1207"/>
      <c r="BP165" s="1207"/>
      <c r="BQ165" s="1207"/>
      <c r="BR165" s="1207"/>
      <c r="BS165" s="1207"/>
      <c r="BT165" s="1207"/>
      <c r="BU165" s="1207"/>
      <c r="BV165" s="1207"/>
      <c r="BW165" s="1207"/>
      <c r="BX165" s="1207"/>
      <c r="BY165" s="1207"/>
      <c r="BZ165" s="1207"/>
      <c r="CA165" s="1207"/>
      <c r="CB165" s="1207"/>
      <c r="CC165" s="1207"/>
      <c r="CD165" s="1207"/>
      <c r="CE165" s="1207"/>
      <c r="CF165" s="1207"/>
    </row>
    <row r="166" spans="1:84" ht="105" x14ac:dyDescent="0.25">
      <c r="A166" s="1355">
        <v>2022172</v>
      </c>
      <c r="B166" s="1172">
        <v>7655</v>
      </c>
      <c r="C166" s="1356" t="s">
        <v>668</v>
      </c>
      <c r="D166" s="1190" t="s">
        <v>695</v>
      </c>
      <c r="E166" s="1174">
        <v>80111600</v>
      </c>
      <c r="F166" s="1380" t="s">
        <v>860</v>
      </c>
      <c r="G166" s="1381">
        <v>44562</v>
      </c>
      <c r="H166" s="1381">
        <v>44592</v>
      </c>
      <c r="I166" s="1176">
        <v>7</v>
      </c>
      <c r="J166" s="1176" t="s">
        <v>673</v>
      </c>
      <c r="K166" s="1177" t="s">
        <v>674</v>
      </c>
      <c r="L166" s="1178" t="s">
        <v>675</v>
      </c>
      <c r="M166" s="1179">
        <v>36225000</v>
      </c>
      <c r="N166" s="1382" t="s">
        <v>781</v>
      </c>
      <c r="O166" s="1174" t="s">
        <v>771</v>
      </c>
      <c r="P166" s="1207" t="s">
        <v>678</v>
      </c>
      <c r="Q166" s="1163"/>
      <c r="R166" s="1269">
        <v>36225000</v>
      </c>
      <c r="S166" s="1357">
        <v>36225000</v>
      </c>
      <c r="T166" s="1357">
        <f>+Tabla16[[#This Row],[CDPS A 31 JULIO 2022]]-Tabla16[[#This Row],[CDP]]</f>
        <v>0</v>
      </c>
      <c r="U166" s="1357">
        <v>36225000</v>
      </c>
      <c r="V166" s="1357">
        <v>20700000</v>
      </c>
      <c r="W166" s="135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07"/>
      <c r="BF166" s="1207"/>
      <c r="BG166" s="1207"/>
      <c r="BH166" s="1207"/>
      <c r="BI166" s="1207"/>
      <c r="BJ166" s="1207"/>
      <c r="BK166" s="1207"/>
      <c r="BL166" s="1207"/>
      <c r="BM166" s="1207"/>
      <c r="BN166" s="1207"/>
      <c r="BO166" s="1207"/>
      <c r="BP166" s="1207"/>
      <c r="BQ166" s="1207"/>
      <c r="BR166" s="1207"/>
      <c r="BS166" s="1207"/>
      <c r="BT166" s="1207"/>
      <c r="BU166" s="1207"/>
      <c r="BV166" s="1207"/>
      <c r="BW166" s="1207"/>
      <c r="BX166" s="1207"/>
      <c r="BY166" s="1207"/>
      <c r="BZ166" s="1207"/>
      <c r="CA166" s="1207"/>
      <c r="CB166" s="1207"/>
      <c r="CC166" s="1207"/>
      <c r="CD166" s="1207"/>
      <c r="CE166" s="1207"/>
      <c r="CF166" s="1207"/>
    </row>
    <row r="167" spans="1:84" ht="105" x14ac:dyDescent="0.25">
      <c r="A167" s="1355">
        <v>2022173</v>
      </c>
      <c r="B167" s="1172">
        <v>7655</v>
      </c>
      <c r="C167" s="1356" t="s">
        <v>668</v>
      </c>
      <c r="D167" s="1190" t="s">
        <v>695</v>
      </c>
      <c r="E167" s="1174">
        <v>80111600</v>
      </c>
      <c r="F167" s="1380" t="s">
        <v>864</v>
      </c>
      <c r="G167" s="1381">
        <v>44562</v>
      </c>
      <c r="H167" s="1381">
        <v>44592</v>
      </c>
      <c r="I167" s="1176">
        <v>6</v>
      </c>
      <c r="J167" s="1176" t="s">
        <v>673</v>
      </c>
      <c r="K167" s="1177" t="s">
        <v>674</v>
      </c>
      <c r="L167" s="1178" t="s">
        <v>675</v>
      </c>
      <c r="M167" s="1179">
        <f>12000000-1800000</f>
        <v>10200000</v>
      </c>
      <c r="N167" s="1382" t="s">
        <v>781</v>
      </c>
      <c r="O167" s="1174" t="s">
        <v>771</v>
      </c>
      <c r="P167" s="1207" t="s">
        <v>678</v>
      </c>
      <c r="Q167" s="1163"/>
      <c r="R167" s="1269">
        <v>10200000</v>
      </c>
      <c r="S167" s="1357">
        <v>10200000</v>
      </c>
      <c r="T167" s="1357">
        <f>+Tabla16[[#This Row],[CDPS A 31 JULIO 2022]]-Tabla16[[#This Row],[CDP]]</f>
        <v>0</v>
      </c>
      <c r="U167" s="1357">
        <v>10200000</v>
      </c>
      <c r="V167" s="1357">
        <v>6800000</v>
      </c>
      <c r="W167" s="135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07"/>
      <c r="BF167" s="1207"/>
      <c r="BG167" s="1207"/>
      <c r="BH167" s="1207"/>
      <c r="BI167" s="1207"/>
      <c r="BJ167" s="1207"/>
      <c r="BK167" s="1207"/>
      <c r="BL167" s="1207"/>
      <c r="BM167" s="1207"/>
      <c r="BN167" s="1207"/>
      <c r="BO167" s="1207"/>
      <c r="BP167" s="1207"/>
      <c r="BQ167" s="1207"/>
      <c r="BR167" s="1207"/>
      <c r="BS167" s="1207"/>
      <c r="BT167" s="1207"/>
      <c r="BU167" s="1207"/>
      <c r="BV167" s="1207"/>
      <c r="BW167" s="1207"/>
      <c r="BX167" s="1207"/>
      <c r="BY167" s="1207"/>
      <c r="BZ167" s="1207"/>
      <c r="CA167" s="1207"/>
      <c r="CB167" s="1207"/>
      <c r="CC167" s="1207"/>
      <c r="CD167" s="1207"/>
      <c r="CE167" s="1207"/>
      <c r="CF167" s="1207"/>
    </row>
    <row r="168" spans="1:84" ht="105" x14ac:dyDescent="0.25">
      <c r="A168" s="1400">
        <v>2022174</v>
      </c>
      <c r="B168" s="1401">
        <v>7655</v>
      </c>
      <c r="C168" s="1402" t="s">
        <v>668</v>
      </c>
      <c r="D168" s="1403" t="s">
        <v>695</v>
      </c>
      <c r="E168" s="1404">
        <v>80111600</v>
      </c>
      <c r="F168" s="1404" t="s">
        <v>865</v>
      </c>
      <c r="G168" s="1406">
        <v>44562</v>
      </c>
      <c r="H168" s="1406">
        <v>44773</v>
      </c>
      <c r="I168" s="1407">
        <v>5</v>
      </c>
      <c r="J168" s="1407" t="s">
        <v>673</v>
      </c>
      <c r="K168" s="1408" t="s">
        <v>674</v>
      </c>
      <c r="L168" s="1409" t="s">
        <v>675</v>
      </c>
      <c r="M168" s="1410">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-4078700</f>
        <v>152436</v>
      </c>
      <c r="N168" s="1411" t="s">
        <v>781</v>
      </c>
      <c r="O168" s="1404" t="s">
        <v>771</v>
      </c>
      <c r="P168" s="1424" t="s">
        <v>678</v>
      </c>
      <c r="Q168" s="1163"/>
      <c r="R168" s="1269">
        <v>0</v>
      </c>
      <c r="S168" s="1357"/>
      <c r="T168" s="1357">
        <f>+Tabla16[[#This Row],[CDPS A 31 JULIO 2022]]-Tabla16[[#This Row],[CDP]]</f>
        <v>0</v>
      </c>
      <c r="U168" s="1357"/>
      <c r="V168" s="1357"/>
      <c r="W168" s="1357"/>
      <c r="X168" s="1207"/>
      <c r="Y168" s="1207"/>
      <c r="Z168" s="1207"/>
      <c r="AA168" s="1207"/>
      <c r="AB168" s="1207"/>
      <c r="AC168" s="1207"/>
      <c r="AD168" s="1207"/>
      <c r="AE168" s="1207"/>
      <c r="AF168" s="1207"/>
      <c r="AG168" s="1207"/>
      <c r="AH168" s="1207"/>
      <c r="AI168" s="1207"/>
      <c r="AJ168" s="1207"/>
      <c r="AK168" s="1207"/>
      <c r="AL168" s="1207"/>
      <c r="AM168" s="1207"/>
      <c r="AN168" s="1207"/>
      <c r="AO168" s="1207"/>
      <c r="AP168" s="1207"/>
      <c r="AQ168" s="1207"/>
      <c r="AR168" s="1207"/>
      <c r="AS168" s="1207"/>
      <c r="AT168" s="1207"/>
      <c r="AU168" s="1207"/>
      <c r="AV168" s="1207"/>
      <c r="AW168" s="1207"/>
      <c r="AX168" s="1207"/>
      <c r="AY168" s="1207"/>
      <c r="AZ168" s="1207"/>
      <c r="BA168" s="1207"/>
      <c r="BB168" s="1207"/>
      <c r="BC168" s="1207"/>
      <c r="BD168" s="1207"/>
      <c r="BE168" s="1207"/>
      <c r="BF168" s="1207"/>
      <c r="BG168" s="1207"/>
      <c r="BH168" s="1207"/>
      <c r="BI168" s="1207"/>
      <c r="BJ168" s="1207"/>
      <c r="BK168" s="1207"/>
      <c r="BL168" s="1207"/>
      <c r="BM168" s="1207"/>
      <c r="BN168" s="1207"/>
      <c r="BO168" s="1207"/>
      <c r="BP168" s="1207"/>
      <c r="BQ168" s="1207"/>
      <c r="BR168" s="1207"/>
      <c r="BS168" s="1207"/>
      <c r="BT168" s="1207"/>
      <c r="BU168" s="1207"/>
      <c r="BV168" s="1207"/>
      <c r="BW168" s="1207"/>
      <c r="BX168" s="1207"/>
      <c r="BY168" s="1207"/>
      <c r="BZ168" s="1207"/>
      <c r="CA168" s="1207"/>
      <c r="CB168" s="1207"/>
      <c r="CC168" s="1207"/>
      <c r="CD168" s="1207"/>
      <c r="CE168" s="1207"/>
      <c r="CF168" s="1207"/>
    </row>
    <row r="169" spans="1:84" ht="105" x14ac:dyDescent="0.25">
      <c r="A169" s="1400">
        <v>2022175</v>
      </c>
      <c r="B169" s="1401">
        <v>7655</v>
      </c>
      <c r="C169" s="1402" t="s">
        <v>668</v>
      </c>
      <c r="D169" s="1403" t="s">
        <v>701</v>
      </c>
      <c r="E169" s="1404">
        <v>80111600</v>
      </c>
      <c r="F169" s="1405" t="s">
        <v>866</v>
      </c>
      <c r="G169" s="1406">
        <v>44747</v>
      </c>
      <c r="H169" s="1406">
        <v>44835</v>
      </c>
      <c r="I169" s="1407">
        <v>5</v>
      </c>
      <c r="J169" s="1407" t="s">
        <v>673</v>
      </c>
      <c r="K169" s="1408" t="s">
        <v>674</v>
      </c>
      <c r="L169" s="1409" t="s">
        <v>675</v>
      </c>
      <c r="M169" s="1410">
        <f>1000000000-61500000-18000000</f>
        <v>920500000</v>
      </c>
      <c r="N169" s="1411" t="s">
        <v>784</v>
      </c>
      <c r="O169" s="1404" t="s">
        <v>771</v>
      </c>
      <c r="P169" s="1412" t="s">
        <v>678</v>
      </c>
      <c r="Q169" s="1163"/>
      <c r="R169" s="1269">
        <v>0</v>
      </c>
      <c r="S169" s="1357"/>
      <c r="T169" s="1357">
        <f>+Tabla16[[#This Row],[CDPS A 31 JULIO 2022]]-Tabla16[[#This Row],[CDP]]</f>
        <v>0</v>
      </c>
      <c r="U169" s="1357"/>
      <c r="V169" s="1357"/>
      <c r="W169" s="1357"/>
      <c r="X169" s="1207"/>
      <c r="Y169" s="1207"/>
      <c r="Z169" s="1207"/>
      <c r="AA169" s="1207"/>
      <c r="AB169" s="1207"/>
      <c r="AC169" s="1207"/>
      <c r="AD169" s="1207"/>
      <c r="AE169" s="1207"/>
      <c r="AF169" s="1207"/>
      <c r="AG169" s="1207"/>
      <c r="AH169" s="1207"/>
      <c r="AI169" s="1207"/>
      <c r="AJ169" s="1207"/>
      <c r="AK169" s="1207"/>
      <c r="AL169" s="1207"/>
      <c r="AM169" s="1207"/>
      <c r="AN169" s="1207"/>
      <c r="AO169" s="1207"/>
      <c r="AP169" s="1207"/>
      <c r="AQ169" s="1207"/>
      <c r="AR169" s="1207"/>
      <c r="AS169" s="1207"/>
      <c r="AT169" s="1207"/>
      <c r="AU169" s="1207"/>
      <c r="AV169" s="1207"/>
      <c r="AW169" s="1207"/>
      <c r="AX169" s="1207"/>
      <c r="AY169" s="1207"/>
      <c r="AZ169" s="1207"/>
      <c r="BA169" s="1207"/>
      <c r="BB169" s="1207"/>
      <c r="BC169" s="1207"/>
      <c r="BD169" s="1207"/>
      <c r="BE169" s="1207"/>
      <c r="BF169" s="1207"/>
      <c r="BG169" s="1207"/>
      <c r="BH169" s="1207"/>
      <c r="BI169" s="1207"/>
      <c r="BJ169" s="1207"/>
      <c r="BK169" s="1207"/>
      <c r="BL169" s="1207"/>
      <c r="BM169" s="1207"/>
      <c r="BN169" s="1207"/>
      <c r="BO169" s="1207"/>
      <c r="BP169" s="1207"/>
      <c r="BQ169" s="1207"/>
      <c r="BR169" s="1207"/>
      <c r="BS169" s="1207"/>
      <c r="BT169" s="1207"/>
      <c r="BU169" s="1207"/>
      <c r="BV169" s="1207"/>
      <c r="BW169" s="1207"/>
      <c r="BX169" s="1207"/>
      <c r="BY169" s="1207"/>
      <c r="BZ169" s="1207"/>
      <c r="CA169" s="1207"/>
      <c r="CB169" s="1207"/>
      <c r="CC169" s="1207"/>
      <c r="CD169" s="1207"/>
      <c r="CE169" s="1207"/>
      <c r="CF169" s="1207"/>
    </row>
    <row r="170" spans="1:84" ht="105" x14ac:dyDescent="0.25">
      <c r="A170" s="1355">
        <v>2022176</v>
      </c>
      <c r="B170" s="1172">
        <v>7655</v>
      </c>
      <c r="C170" s="1356" t="s">
        <v>668</v>
      </c>
      <c r="D170" s="1190" t="s">
        <v>701</v>
      </c>
      <c r="E170" s="1174">
        <v>80111600</v>
      </c>
      <c r="F170" s="1380" t="s">
        <v>867</v>
      </c>
      <c r="G170" s="1381">
        <v>44747</v>
      </c>
      <c r="H170" s="1381">
        <v>44762</v>
      </c>
      <c r="I170" s="1176">
        <v>5.5</v>
      </c>
      <c r="J170" s="1176" t="s">
        <v>673</v>
      </c>
      <c r="K170" s="1177" t="s">
        <v>674</v>
      </c>
      <c r="L170" s="1178" t="s">
        <v>675</v>
      </c>
      <c r="M170" s="1179">
        <f>80500000-42000000+900000+900000+900000+900000+825000+825000+825000+825000+825000+750000+750000+1836000+1200000+1485000+28254000-33075000-8925000-38500000</f>
        <v>0</v>
      </c>
      <c r="N170" s="1384" t="s">
        <v>784</v>
      </c>
      <c r="O170" s="1174" t="s">
        <v>771</v>
      </c>
      <c r="P170" s="1385" t="s">
        <v>678</v>
      </c>
      <c r="Q170" s="1163"/>
      <c r="R170" s="1269">
        <v>38500000</v>
      </c>
      <c r="S170" s="1357"/>
      <c r="T170" s="1357">
        <f>+Tabla16[[#This Row],[CDPS A 31 JULIO 2022]]-Tabla16[[#This Row],[CDP]]</f>
        <v>38500000</v>
      </c>
      <c r="U170" s="1357"/>
      <c r="V170" s="1357"/>
      <c r="W170" s="1357"/>
      <c r="X170" s="1207"/>
      <c r="Y170" s="1207"/>
      <c r="Z170" s="1207"/>
      <c r="AA170" s="1207"/>
      <c r="AB170" s="1207"/>
      <c r="AC170" s="1207"/>
      <c r="AD170" s="1207"/>
      <c r="AE170" s="1207"/>
      <c r="AF170" s="1207"/>
      <c r="AG170" s="1207"/>
      <c r="AH170" s="1207"/>
      <c r="AI170" s="1207"/>
      <c r="AJ170" s="1207"/>
      <c r="AK170" s="1207"/>
      <c r="AL170" s="1207"/>
      <c r="AM170" s="1207"/>
      <c r="AN170" s="1207"/>
      <c r="AO170" s="1207"/>
      <c r="AP170" s="1207"/>
      <c r="AQ170" s="1207"/>
      <c r="AR170" s="1207"/>
      <c r="AS170" s="1207"/>
      <c r="AT170" s="1207"/>
      <c r="AU170" s="1207"/>
      <c r="AV170" s="1207"/>
      <c r="AW170" s="1207"/>
      <c r="AX170" s="1207"/>
      <c r="AY170" s="1207"/>
      <c r="AZ170" s="1207"/>
      <c r="BA170" s="1207"/>
      <c r="BB170" s="1207"/>
      <c r="BC170" s="1207"/>
      <c r="BD170" s="1207"/>
      <c r="BE170" s="1207"/>
      <c r="BF170" s="1207"/>
      <c r="BG170" s="1207"/>
      <c r="BH170" s="1207"/>
      <c r="BI170" s="1207"/>
      <c r="BJ170" s="1207"/>
      <c r="BK170" s="1207"/>
      <c r="BL170" s="1207"/>
      <c r="BM170" s="1207"/>
      <c r="BN170" s="1207"/>
      <c r="BO170" s="1207"/>
      <c r="BP170" s="1207"/>
      <c r="BQ170" s="1207"/>
      <c r="BR170" s="1207"/>
      <c r="BS170" s="1207"/>
      <c r="BT170" s="1207"/>
      <c r="BU170" s="1207"/>
      <c r="BV170" s="1207"/>
      <c r="BW170" s="1207"/>
      <c r="BX170" s="1207"/>
      <c r="BY170" s="1207"/>
      <c r="BZ170" s="1207"/>
      <c r="CA170" s="1207"/>
      <c r="CB170" s="1207"/>
      <c r="CC170" s="1207"/>
      <c r="CD170" s="1207"/>
      <c r="CE170" s="1207"/>
      <c r="CF170" s="1207"/>
    </row>
    <row r="171" spans="1:84" ht="105" x14ac:dyDescent="0.25">
      <c r="A171" s="1400">
        <v>2022177</v>
      </c>
      <c r="B171" s="1401">
        <v>7655</v>
      </c>
      <c r="C171" s="1402" t="s">
        <v>668</v>
      </c>
      <c r="D171" s="1403" t="s">
        <v>698</v>
      </c>
      <c r="E171" s="1404">
        <v>80111600</v>
      </c>
      <c r="F171" s="1405" t="s">
        <v>868</v>
      </c>
      <c r="G171" s="1406">
        <v>44562</v>
      </c>
      <c r="H171" s="1406">
        <v>44620</v>
      </c>
      <c r="I171" s="1407">
        <v>11</v>
      </c>
      <c r="J171" s="1407" t="s">
        <v>673</v>
      </c>
      <c r="K171" s="1408" t="s">
        <v>674</v>
      </c>
      <c r="L171" s="1409" t="s">
        <v>675</v>
      </c>
      <c r="M171" s="1410">
        <f>80000000-14450000</f>
        <v>65550000</v>
      </c>
      <c r="N171" s="1411" t="s">
        <v>781</v>
      </c>
      <c r="O171" s="1404" t="s">
        <v>771</v>
      </c>
      <c r="P171" s="1412" t="s">
        <v>678</v>
      </c>
      <c r="Q171" s="1163"/>
      <c r="R171" s="1269">
        <v>62700000</v>
      </c>
      <c r="S171" s="1357">
        <v>62700000</v>
      </c>
      <c r="T171" s="1357">
        <f>+Tabla16[[#This Row],[CDPS A 31 JULIO 2022]]-Tabla16[[#This Row],[CDP]]</f>
        <v>0</v>
      </c>
      <c r="U171" s="1357">
        <v>62700000</v>
      </c>
      <c r="V171" s="1357">
        <v>22990000</v>
      </c>
      <c r="W171" s="1357"/>
      <c r="X171" s="1207"/>
      <c r="Y171" s="1207"/>
      <c r="Z171" s="1207"/>
      <c r="AA171" s="1207"/>
      <c r="AB171" s="1207"/>
      <c r="AC171" s="1207"/>
      <c r="AD171" s="1207"/>
      <c r="AE171" s="1207"/>
      <c r="AF171" s="1207"/>
      <c r="AG171" s="1207"/>
      <c r="AH171" s="1207"/>
      <c r="AI171" s="1207"/>
      <c r="AJ171" s="1207"/>
      <c r="AK171" s="1207"/>
      <c r="AL171" s="1207"/>
      <c r="AM171" s="1207"/>
      <c r="AN171" s="1207"/>
      <c r="AO171" s="1207"/>
      <c r="AP171" s="1207"/>
      <c r="AQ171" s="1207"/>
      <c r="AR171" s="1207"/>
      <c r="AS171" s="1207"/>
      <c r="AT171" s="1207"/>
      <c r="AU171" s="1207"/>
      <c r="AV171" s="1207"/>
      <c r="AW171" s="1207"/>
      <c r="AX171" s="1207"/>
      <c r="AY171" s="1207"/>
      <c r="AZ171" s="1207"/>
      <c r="BA171" s="1207"/>
      <c r="BB171" s="1207"/>
      <c r="BC171" s="1207"/>
      <c r="BD171" s="1207"/>
      <c r="BE171" s="1207"/>
      <c r="BF171" s="1207"/>
      <c r="BG171" s="1207"/>
      <c r="BH171" s="1207"/>
      <c r="BI171" s="1207"/>
      <c r="BJ171" s="1207"/>
      <c r="BK171" s="1207"/>
      <c r="BL171" s="1207"/>
      <c r="BM171" s="1207"/>
      <c r="BN171" s="1207"/>
      <c r="BO171" s="1207"/>
      <c r="BP171" s="1207"/>
      <c r="BQ171" s="1207"/>
      <c r="BR171" s="1207"/>
      <c r="BS171" s="1207"/>
      <c r="BT171" s="1207"/>
      <c r="BU171" s="1207"/>
      <c r="BV171" s="1207"/>
      <c r="BW171" s="1207"/>
      <c r="BX171" s="1207"/>
      <c r="BY171" s="1207"/>
      <c r="BZ171" s="1207"/>
      <c r="CA171" s="1207"/>
      <c r="CB171" s="1207"/>
      <c r="CC171" s="1207"/>
      <c r="CD171" s="1207"/>
      <c r="CE171" s="1207"/>
      <c r="CF171" s="1207"/>
    </row>
    <row r="172" spans="1:84" ht="105" x14ac:dyDescent="0.25">
      <c r="A172" s="1400">
        <v>2022178</v>
      </c>
      <c r="B172" s="1401">
        <v>7655</v>
      </c>
      <c r="C172" s="1402" t="s">
        <v>668</v>
      </c>
      <c r="D172" s="1403" t="s">
        <v>692</v>
      </c>
      <c r="E172" s="1404">
        <v>80111600</v>
      </c>
      <c r="F172" s="1405" t="s">
        <v>869</v>
      </c>
      <c r="G172" s="1406">
        <v>44562</v>
      </c>
      <c r="H172" s="1406">
        <v>44620</v>
      </c>
      <c r="I172" s="1407">
        <v>10</v>
      </c>
      <c r="J172" s="1407" t="s">
        <v>673</v>
      </c>
      <c r="K172" s="1408" t="s">
        <v>674</v>
      </c>
      <c r="L172" s="1409" t="s">
        <v>675</v>
      </c>
      <c r="M172" s="1410">
        <f>80000000+10000000+4250000+1750000-10000000</f>
        <v>86000000</v>
      </c>
      <c r="N172" s="1411" t="s">
        <v>781</v>
      </c>
      <c r="O172" s="1404" t="s">
        <v>771</v>
      </c>
      <c r="P172" s="1412" t="s">
        <v>678</v>
      </c>
      <c r="Q172" s="1163"/>
      <c r="R172" s="1269">
        <v>80000000</v>
      </c>
      <c r="S172" s="1357">
        <v>80000000</v>
      </c>
      <c r="T172" s="1357">
        <f>+Tabla16[[#This Row],[CDPS A 31 JULIO 2022]]-Tabla16[[#This Row],[CDP]]</f>
        <v>0</v>
      </c>
      <c r="U172" s="1357">
        <v>80000000</v>
      </c>
      <c r="V172" s="1357">
        <v>35733333</v>
      </c>
      <c r="W172" s="135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07"/>
      <c r="BE172" s="1207"/>
      <c r="BF172" s="1207"/>
      <c r="BG172" s="1207"/>
      <c r="BH172" s="1207"/>
      <c r="BI172" s="1207"/>
      <c r="BJ172" s="1207"/>
      <c r="BK172" s="1207"/>
      <c r="BL172" s="1207"/>
      <c r="BM172" s="1207"/>
      <c r="BN172" s="1207"/>
      <c r="BO172" s="1207"/>
      <c r="BP172" s="1207"/>
      <c r="BQ172" s="1207"/>
      <c r="BR172" s="1207"/>
      <c r="BS172" s="1207"/>
      <c r="BT172" s="1207"/>
      <c r="BU172" s="1207"/>
      <c r="BV172" s="1207"/>
      <c r="BW172" s="1207"/>
      <c r="BX172" s="1207"/>
      <c r="BY172" s="1207"/>
      <c r="BZ172" s="1207"/>
      <c r="CA172" s="1207"/>
      <c r="CB172" s="1207"/>
      <c r="CC172" s="1207"/>
      <c r="CD172" s="1207"/>
      <c r="CE172" s="1207"/>
      <c r="CF172" s="1207"/>
    </row>
    <row r="173" spans="1:84" ht="105" x14ac:dyDescent="0.25">
      <c r="A173" s="1355">
        <v>2022179</v>
      </c>
      <c r="B173" s="1172">
        <v>7655</v>
      </c>
      <c r="C173" s="1356" t="s">
        <v>668</v>
      </c>
      <c r="D173" s="1190" t="s">
        <v>686</v>
      </c>
      <c r="E173" s="1174">
        <v>80111600</v>
      </c>
      <c r="F173" s="1380" t="s">
        <v>870</v>
      </c>
      <c r="G173" s="1381">
        <v>44562</v>
      </c>
      <c r="H173" s="1381">
        <v>44592</v>
      </c>
      <c r="I173" s="1176">
        <v>12</v>
      </c>
      <c r="J173" s="1176" t="s">
        <v>673</v>
      </c>
      <c r="K173" s="1177" t="s">
        <v>674</v>
      </c>
      <c r="L173" s="1178" t="s">
        <v>675</v>
      </c>
      <c r="M173" s="1179">
        <f>39371000-13123664</f>
        <v>26247336</v>
      </c>
      <c r="N173" s="1382" t="s">
        <v>781</v>
      </c>
      <c r="O173" s="1174" t="s">
        <v>771</v>
      </c>
      <c r="P173" s="1207" t="s">
        <v>678</v>
      </c>
      <c r="Q173" s="1163"/>
      <c r="R173" s="1269">
        <v>26247328</v>
      </c>
      <c r="S173" s="1357">
        <v>26247328</v>
      </c>
      <c r="T173" s="1357">
        <f>+Tabla16[[#This Row],[CDPS A 31 JULIO 2022]]-Tabla16[[#This Row],[CDP]]</f>
        <v>0</v>
      </c>
      <c r="U173" s="1357">
        <v>26247328</v>
      </c>
      <c r="V173" s="1357">
        <v>14545394</v>
      </c>
      <c r="W173" s="1357"/>
      <c r="X173" s="1207"/>
      <c r="Y173" s="1207"/>
      <c r="Z173" s="1207"/>
      <c r="AA173" s="1207"/>
      <c r="AB173" s="1207"/>
      <c r="AC173" s="1207"/>
      <c r="AD173" s="1207"/>
      <c r="AE173" s="1207"/>
      <c r="AF173" s="1207"/>
      <c r="AG173" s="1207"/>
      <c r="AH173" s="1207"/>
      <c r="AI173" s="1207"/>
      <c r="AJ173" s="1207"/>
      <c r="AK173" s="1207"/>
      <c r="AL173" s="1207"/>
      <c r="AM173" s="1207"/>
      <c r="AN173" s="1207"/>
      <c r="AO173" s="1207"/>
      <c r="AP173" s="1207"/>
      <c r="AQ173" s="1207"/>
      <c r="AR173" s="1207"/>
      <c r="AS173" s="1207"/>
      <c r="AT173" s="1207"/>
      <c r="AU173" s="1207"/>
      <c r="AV173" s="1207"/>
      <c r="AW173" s="1207"/>
      <c r="AX173" s="1207"/>
      <c r="AY173" s="1207"/>
      <c r="AZ173" s="1207"/>
      <c r="BA173" s="1207"/>
      <c r="BB173" s="1207"/>
      <c r="BC173" s="1207"/>
      <c r="BD173" s="1207"/>
      <c r="BE173" s="1207"/>
      <c r="BF173" s="1207"/>
      <c r="BG173" s="1207"/>
      <c r="BH173" s="1207"/>
      <c r="BI173" s="1207"/>
      <c r="BJ173" s="1207"/>
      <c r="BK173" s="1207"/>
      <c r="BL173" s="1207"/>
      <c r="BM173" s="1207"/>
      <c r="BN173" s="1207"/>
      <c r="BO173" s="1207"/>
      <c r="BP173" s="1207"/>
      <c r="BQ173" s="1207"/>
      <c r="BR173" s="1207"/>
      <c r="BS173" s="1207"/>
      <c r="BT173" s="1207"/>
      <c r="BU173" s="1207"/>
      <c r="BV173" s="1207"/>
      <c r="BW173" s="1207"/>
      <c r="BX173" s="1207"/>
      <c r="BY173" s="1207"/>
      <c r="BZ173" s="1207"/>
      <c r="CA173" s="1207"/>
      <c r="CB173" s="1207"/>
      <c r="CC173" s="1207"/>
      <c r="CD173" s="1207"/>
      <c r="CE173" s="1207"/>
      <c r="CF173" s="1207"/>
    </row>
    <row r="174" spans="1:84" ht="105" x14ac:dyDescent="0.25">
      <c r="A174" s="1355">
        <v>2022180</v>
      </c>
      <c r="B174" s="1172">
        <v>7655</v>
      </c>
      <c r="C174" s="1356" t="s">
        <v>668</v>
      </c>
      <c r="D174" s="1190" t="s">
        <v>686</v>
      </c>
      <c r="E174" s="1174">
        <v>80111600</v>
      </c>
      <c r="F174" s="1380" t="s">
        <v>871</v>
      </c>
      <c r="G174" s="1381">
        <v>44562</v>
      </c>
      <c r="H174" s="1381">
        <v>44592</v>
      </c>
      <c r="I174" s="1176">
        <v>12</v>
      </c>
      <c r="J174" s="1176" t="s">
        <v>673</v>
      </c>
      <c r="K174" s="1177" t="s">
        <v>674</v>
      </c>
      <c r="L174" s="1178" t="s">
        <v>675</v>
      </c>
      <c r="M174" s="1179">
        <f>45697000-15232332</f>
        <v>30464668</v>
      </c>
      <c r="N174" s="1382" t="s">
        <v>781</v>
      </c>
      <c r="O174" s="1174" t="s">
        <v>771</v>
      </c>
      <c r="P174" s="1207" t="s">
        <v>678</v>
      </c>
      <c r="Q174" s="1163"/>
      <c r="R174" s="1269">
        <v>30464664</v>
      </c>
      <c r="S174" s="1357">
        <v>30464664</v>
      </c>
      <c r="T174" s="1357">
        <f>+Tabla16[[#This Row],[CDPS A 31 JULIO 2022]]-Tabla16[[#This Row],[CDP]]</f>
        <v>0</v>
      </c>
      <c r="U174" s="1357">
        <v>30464664</v>
      </c>
      <c r="V174" s="1357">
        <v>16882501</v>
      </c>
      <c r="W174" s="135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07"/>
      <c r="BE174" s="1207"/>
      <c r="BF174" s="1207"/>
      <c r="BG174" s="1207"/>
      <c r="BH174" s="1207"/>
      <c r="BI174" s="1207"/>
      <c r="BJ174" s="1207"/>
      <c r="BK174" s="1207"/>
      <c r="BL174" s="1207"/>
      <c r="BM174" s="1207"/>
      <c r="BN174" s="1207"/>
      <c r="BO174" s="1207"/>
      <c r="BP174" s="1207"/>
      <c r="BQ174" s="1207"/>
      <c r="BR174" s="1207"/>
      <c r="BS174" s="1207"/>
      <c r="BT174" s="1207"/>
      <c r="BU174" s="1207"/>
      <c r="BV174" s="1207"/>
      <c r="BW174" s="1207"/>
      <c r="BX174" s="1207"/>
      <c r="BY174" s="1207"/>
      <c r="BZ174" s="1207"/>
      <c r="CA174" s="1207"/>
      <c r="CB174" s="1207"/>
      <c r="CC174" s="1207"/>
      <c r="CD174" s="1207"/>
      <c r="CE174" s="1207"/>
      <c r="CF174" s="1207"/>
    </row>
    <row r="175" spans="1:84" ht="105" x14ac:dyDescent="0.25">
      <c r="A175" s="1355">
        <v>2022181</v>
      </c>
      <c r="B175" s="1172">
        <v>7655</v>
      </c>
      <c r="C175" s="1356" t="s">
        <v>668</v>
      </c>
      <c r="D175" s="1190" t="s">
        <v>686</v>
      </c>
      <c r="E175" s="1174">
        <v>80111600</v>
      </c>
      <c r="F175" s="1380" t="s">
        <v>871</v>
      </c>
      <c r="G175" s="1381">
        <v>44562</v>
      </c>
      <c r="H175" s="1381">
        <v>44592</v>
      </c>
      <c r="I175" s="1176">
        <v>12</v>
      </c>
      <c r="J175" s="1176" t="s">
        <v>673</v>
      </c>
      <c r="K175" s="1177" t="s">
        <v>674</v>
      </c>
      <c r="L175" s="1178" t="s">
        <v>675</v>
      </c>
      <c r="M175" s="1179">
        <f>79351000-26450332</f>
        <v>52900668</v>
      </c>
      <c r="N175" s="1382" t="s">
        <v>781</v>
      </c>
      <c r="O175" s="1174" t="s">
        <v>771</v>
      </c>
      <c r="P175" s="1207" t="s">
        <v>678</v>
      </c>
      <c r="Q175" s="1163"/>
      <c r="R175" s="1269">
        <v>52900664</v>
      </c>
      <c r="S175" s="1357">
        <v>52900664</v>
      </c>
      <c r="T175" s="1357">
        <f>+Tabla16[[#This Row],[CDPS A 31 JULIO 2022]]-Tabla16[[#This Row],[CDP]]</f>
        <v>0</v>
      </c>
      <c r="U175" s="1357">
        <v>52900664</v>
      </c>
      <c r="V175" s="1357">
        <v>29315785</v>
      </c>
      <c r="W175" s="135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07"/>
      <c r="BE175" s="1207"/>
      <c r="BF175" s="1207"/>
      <c r="BG175" s="1207"/>
      <c r="BH175" s="1207"/>
      <c r="BI175" s="1207"/>
      <c r="BJ175" s="1207"/>
      <c r="BK175" s="1207"/>
      <c r="BL175" s="1207"/>
      <c r="BM175" s="1207"/>
      <c r="BN175" s="1207"/>
      <c r="BO175" s="1207"/>
      <c r="BP175" s="1207"/>
      <c r="BQ175" s="1207"/>
      <c r="BR175" s="1207"/>
      <c r="BS175" s="1207"/>
      <c r="BT175" s="1207"/>
      <c r="BU175" s="1207"/>
      <c r="BV175" s="1207"/>
      <c r="BW175" s="1207"/>
      <c r="BX175" s="1207"/>
      <c r="BY175" s="1207"/>
      <c r="BZ175" s="1207"/>
      <c r="CA175" s="1207"/>
      <c r="CB175" s="1207"/>
      <c r="CC175" s="1207"/>
      <c r="CD175" s="1207"/>
      <c r="CE175" s="1207"/>
      <c r="CF175" s="1207"/>
    </row>
    <row r="176" spans="1:84" ht="105" x14ac:dyDescent="0.25">
      <c r="A176" s="1355">
        <v>2022182</v>
      </c>
      <c r="B176" s="1172">
        <v>7655</v>
      </c>
      <c r="C176" s="1356" t="s">
        <v>668</v>
      </c>
      <c r="D176" s="1190" t="s">
        <v>686</v>
      </c>
      <c r="E176" s="1174">
        <v>80111600</v>
      </c>
      <c r="F176" s="1380" t="s">
        <v>871</v>
      </c>
      <c r="G176" s="1381">
        <v>44562</v>
      </c>
      <c r="H176" s="1381">
        <v>44592</v>
      </c>
      <c r="I176" s="1176">
        <v>12</v>
      </c>
      <c r="J176" s="1176" t="s">
        <v>673</v>
      </c>
      <c r="K176" s="1177" t="s">
        <v>674</v>
      </c>
      <c r="L176" s="1178" t="s">
        <v>675</v>
      </c>
      <c r="M176" s="1179">
        <f>79351000-22482782</f>
        <v>56868218</v>
      </c>
      <c r="N176" s="1382" t="s">
        <v>781</v>
      </c>
      <c r="O176" s="1174" t="s">
        <v>771</v>
      </c>
      <c r="P176" s="1207" t="s">
        <v>678</v>
      </c>
      <c r="Q176" s="1163"/>
      <c r="R176" s="1269">
        <v>52900664</v>
      </c>
      <c r="S176" s="1357">
        <v>52900664</v>
      </c>
      <c r="T176" s="1357">
        <f>+Tabla16[[#This Row],[CDPS A 31 JULIO 2022]]-Tabla16[[#This Row],[CDP]]</f>
        <v>0</v>
      </c>
      <c r="U176" s="1357">
        <v>52900664</v>
      </c>
      <c r="V176" s="1357">
        <v>29315785</v>
      </c>
      <c r="W176" s="135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07"/>
      <c r="BF176" s="1207"/>
      <c r="BG176" s="1207"/>
      <c r="BH176" s="1207"/>
      <c r="BI176" s="1207"/>
      <c r="BJ176" s="1207"/>
      <c r="BK176" s="1207"/>
      <c r="BL176" s="1207"/>
      <c r="BM176" s="1207"/>
      <c r="BN176" s="1207"/>
      <c r="BO176" s="1207"/>
      <c r="BP176" s="1207"/>
      <c r="BQ176" s="1207"/>
      <c r="BR176" s="1207"/>
      <c r="BS176" s="1207"/>
      <c r="BT176" s="1207"/>
      <c r="BU176" s="1207"/>
      <c r="BV176" s="1207"/>
      <c r="BW176" s="1207"/>
      <c r="BX176" s="1207"/>
      <c r="BY176" s="1207"/>
      <c r="BZ176" s="1207"/>
      <c r="CA176" s="1207"/>
      <c r="CB176" s="1207"/>
      <c r="CC176" s="1207"/>
      <c r="CD176" s="1207"/>
      <c r="CE176" s="1207"/>
      <c r="CF176" s="1207"/>
    </row>
    <row r="177" spans="1:84" ht="105" x14ac:dyDescent="0.25">
      <c r="A177" s="1355">
        <v>2022183</v>
      </c>
      <c r="B177" s="1172">
        <v>7655</v>
      </c>
      <c r="C177" s="1356" t="s">
        <v>668</v>
      </c>
      <c r="D177" s="1190" t="s">
        <v>686</v>
      </c>
      <c r="E177" s="1174">
        <v>80111600</v>
      </c>
      <c r="F177" s="1380" t="s">
        <v>871</v>
      </c>
      <c r="G177" s="1381">
        <v>44562</v>
      </c>
      <c r="H177" s="1381">
        <v>44592</v>
      </c>
      <c r="I177" s="1176">
        <v>12</v>
      </c>
      <c r="J177" s="1176" t="s">
        <v>673</v>
      </c>
      <c r="K177" s="1177" t="s">
        <v>674</v>
      </c>
      <c r="L177" s="1178" t="s">
        <v>675</v>
      </c>
      <c r="M177" s="1179">
        <f>79351000-26450332</f>
        <v>52900668</v>
      </c>
      <c r="N177" s="1382" t="s">
        <v>781</v>
      </c>
      <c r="O177" s="1174" t="s">
        <v>771</v>
      </c>
      <c r="P177" s="1207" t="s">
        <v>678</v>
      </c>
      <c r="Q177" s="1163"/>
      <c r="R177" s="1269">
        <v>52900664</v>
      </c>
      <c r="S177" s="1357">
        <v>52900664</v>
      </c>
      <c r="T177" s="1357">
        <f>+Tabla16[[#This Row],[CDPS A 31 JULIO 2022]]-Tabla16[[#This Row],[CDP]]</f>
        <v>0</v>
      </c>
      <c r="U177" s="1357">
        <v>52900664</v>
      </c>
      <c r="V177" s="1357">
        <v>29315785</v>
      </c>
      <c r="W177" s="1357"/>
      <c r="X177" s="1207"/>
      <c r="Y177" s="1207"/>
      <c r="Z177" s="1207"/>
      <c r="AA177" s="1207"/>
      <c r="AB177" s="1207"/>
      <c r="AC177" s="1207"/>
      <c r="AD177" s="1207"/>
      <c r="AE177" s="1207"/>
      <c r="AF177" s="1207"/>
      <c r="AG177" s="1207"/>
      <c r="AH177" s="1207"/>
      <c r="AI177" s="1207"/>
      <c r="AJ177" s="1207"/>
      <c r="AK177" s="1207"/>
      <c r="AL177" s="1207"/>
      <c r="AM177" s="1207"/>
      <c r="AN177" s="1207"/>
      <c r="AO177" s="1207"/>
      <c r="AP177" s="1207"/>
      <c r="AQ177" s="1207"/>
      <c r="AR177" s="1207"/>
      <c r="AS177" s="1207"/>
      <c r="AT177" s="1207"/>
      <c r="AU177" s="1207"/>
      <c r="AV177" s="1207"/>
      <c r="AW177" s="1207"/>
      <c r="AX177" s="1207"/>
      <c r="AY177" s="1207"/>
      <c r="AZ177" s="1207"/>
      <c r="BA177" s="1207"/>
      <c r="BB177" s="1207"/>
      <c r="BC177" s="1207"/>
      <c r="BD177" s="1207"/>
      <c r="BE177" s="1207"/>
      <c r="BF177" s="1207"/>
      <c r="BG177" s="1207"/>
      <c r="BH177" s="1207"/>
      <c r="BI177" s="1207"/>
      <c r="BJ177" s="1207"/>
      <c r="BK177" s="1207"/>
      <c r="BL177" s="1207"/>
      <c r="BM177" s="1207"/>
      <c r="BN177" s="1207"/>
      <c r="BO177" s="1207"/>
      <c r="BP177" s="1207"/>
      <c r="BQ177" s="1207"/>
      <c r="BR177" s="1207"/>
      <c r="BS177" s="1207"/>
      <c r="BT177" s="1207"/>
      <c r="BU177" s="1207"/>
      <c r="BV177" s="1207"/>
      <c r="BW177" s="1207"/>
      <c r="BX177" s="1207"/>
      <c r="BY177" s="1207"/>
      <c r="BZ177" s="1207"/>
      <c r="CA177" s="1207"/>
      <c r="CB177" s="1207"/>
      <c r="CC177" s="1207"/>
      <c r="CD177" s="1207"/>
      <c r="CE177" s="1207"/>
      <c r="CF177" s="1207"/>
    </row>
    <row r="178" spans="1:84" ht="105" x14ac:dyDescent="0.25">
      <c r="A178" s="1355">
        <v>2022184</v>
      </c>
      <c r="B178" s="1172">
        <v>7655</v>
      </c>
      <c r="C178" s="1356" t="s">
        <v>668</v>
      </c>
      <c r="D178" s="1190" t="s">
        <v>682</v>
      </c>
      <c r="E178" s="1174">
        <v>80111600</v>
      </c>
      <c r="F178" s="1380" t="s">
        <v>872</v>
      </c>
      <c r="G178" s="1381">
        <v>44566</v>
      </c>
      <c r="H178" s="1381">
        <v>44568</v>
      </c>
      <c r="I178" s="1176">
        <v>11.5</v>
      </c>
      <c r="J178" s="1176" t="s">
        <v>673</v>
      </c>
      <c r="K178" s="1177" t="s">
        <v>674</v>
      </c>
      <c r="L178" s="1178" t="s">
        <v>780</v>
      </c>
      <c r="M178" s="1179">
        <v>106950000</v>
      </c>
      <c r="N178" s="1382" t="s">
        <v>781</v>
      </c>
      <c r="O178" s="1174" t="s">
        <v>771</v>
      </c>
      <c r="P178" s="1207" t="s">
        <v>678</v>
      </c>
      <c r="Q178" s="1163"/>
      <c r="R178" s="1269">
        <v>106950000</v>
      </c>
      <c r="S178" s="1357">
        <v>106950000</v>
      </c>
      <c r="T178" s="1357">
        <f>+Tabla16[[#This Row],[CDPS A 31 JULIO 2022]]-Tabla16[[#This Row],[CDP]]</f>
        <v>0</v>
      </c>
      <c r="U178" s="1357">
        <v>106950000</v>
      </c>
      <c r="V178" s="1357">
        <v>43400000</v>
      </c>
      <c r="W178" s="135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07"/>
      <c r="BE178" s="1207"/>
      <c r="BF178" s="1207"/>
      <c r="BG178" s="1207"/>
      <c r="BH178" s="1207"/>
      <c r="BI178" s="1207"/>
      <c r="BJ178" s="1207"/>
      <c r="BK178" s="1207"/>
      <c r="BL178" s="1207"/>
      <c r="BM178" s="1207"/>
      <c r="BN178" s="1207"/>
      <c r="BO178" s="1207"/>
      <c r="BP178" s="1207"/>
      <c r="BQ178" s="1207"/>
      <c r="BR178" s="1207"/>
      <c r="BS178" s="1207"/>
      <c r="BT178" s="1207"/>
      <c r="BU178" s="1207"/>
      <c r="BV178" s="1207"/>
      <c r="BW178" s="1207"/>
      <c r="BX178" s="1207"/>
      <c r="BY178" s="1207"/>
      <c r="BZ178" s="1207"/>
      <c r="CA178" s="1207"/>
      <c r="CB178" s="1207"/>
      <c r="CC178" s="1207"/>
      <c r="CD178" s="1207"/>
      <c r="CE178" s="1207"/>
      <c r="CF178" s="1207"/>
    </row>
    <row r="179" spans="1:84" ht="105" x14ac:dyDescent="0.25">
      <c r="A179" s="1355">
        <v>2022185</v>
      </c>
      <c r="B179" s="1172">
        <v>7655</v>
      </c>
      <c r="C179" s="1356" t="s">
        <v>668</v>
      </c>
      <c r="D179" s="1190" t="s">
        <v>682</v>
      </c>
      <c r="E179" s="1174">
        <v>80111600</v>
      </c>
      <c r="F179" s="1380" t="s">
        <v>873</v>
      </c>
      <c r="G179" s="1381">
        <v>44566</v>
      </c>
      <c r="H179" s="1381">
        <v>44568</v>
      </c>
      <c r="I179" s="1176">
        <v>11.5</v>
      </c>
      <c r="J179" s="1176" t="s">
        <v>673</v>
      </c>
      <c r="K179" s="1177" t="s">
        <v>674</v>
      </c>
      <c r="L179" s="1178" t="s">
        <v>780</v>
      </c>
      <c r="M179" s="1179">
        <v>78200000</v>
      </c>
      <c r="N179" s="1382" t="s">
        <v>781</v>
      </c>
      <c r="O179" s="1174" t="s">
        <v>771</v>
      </c>
      <c r="P179" s="1207" t="s">
        <v>678</v>
      </c>
      <c r="Q179" s="1163"/>
      <c r="R179" s="1269">
        <v>78200000</v>
      </c>
      <c r="S179" s="1357">
        <v>78200000</v>
      </c>
      <c r="T179" s="1357">
        <f>+Tabla16[[#This Row],[CDPS A 31 JULIO 2022]]-Tabla16[[#This Row],[CDP]]</f>
        <v>0</v>
      </c>
      <c r="U179" s="1357">
        <v>78200000</v>
      </c>
      <c r="V179" s="1357">
        <v>27200000</v>
      </c>
      <c r="W179" s="1357"/>
      <c r="X179" s="1207"/>
      <c r="Y179" s="1207"/>
      <c r="Z179" s="1207"/>
      <c r="AA179" s="1207"/>
      <c r="AB179" s="1207"/>
      <c r="AC179" s="1207"/>
      <c r="AD179" s="1207"/>
      <c r="AE179" s="1207"/>
      <c r="AF179" s="1207"/>
      <c r="AG179" s="1207"/>
      <c r="AH179" s="1207"/>
      <c r="AI179" s="1207"/>
      <c r="AJ179" s="1207"/>
      <c r="AK179" s="1207"/>
      <c r="AL179" s="1207"/>
      <c r="AM179" s="1207"/>
      <c r="AN179" s="1207"/>
      <c r="AO179" s="1207"/>
      <c r="AP179" s="1207"/>
      <c r="AQ179" s="1207"/>
      <c r="AR179" s="1207"/>
      <c r="AS179" s="1207"/>
      <c r="AT179" s="1207"/>
      <c r="AU179" s="1207"/>
      <c r="AV179" s="1207"/>
      <c r="AW179" s="1207"/>
      <c r="AX179" s="1207"/>
      <c r="AY179" s="1207"/>
      <c r="AZ179" s="1207"/>
      <c r="BA179" s="1207"/>
      <c r="BB179" s="1207"/>
      <c r="BC179" s="1207"/>
      <c r="BD179" s="1207"/>
      <c r="BE179" s="1207"/>
      <c r="BF179" s="1207"/>
      <c r="BG179" s="1207"/>
      <c r="BH179" s="1207"/>
      <c r="BI179" s="1207"/>
      <c r="BJ179" s="1207"/>
      <c r="BK179" s="1207"/>
      <c r="BL179" s="1207"/>
      <c r="BM179" s="1207"/>
      <c r="BN179" s="1207"/>
      <c r="BO179" s="1207"/>
      <c r="BP179" s="1207"/>
      <c r="BQ179" s="1207"/>
      <c r="BR179" s="1207"/>
      <c r="BS179" s="1207"/>
      <c r="BT179" s="1207"/>
      <c r="BU179" s="1207"/>
      <c r="BV179" s="1207"/>
      <c r="BW179" s="1207"/>
      <c r="BX179" s="1207"/>
      <c r="BY179" s="1207"/>
      <c r="BZ179" s="1207"/>
      <c r="CA179" s="1207"/>
      <c r="CB179" s="1207"/>
      <c r="CC179" s="1207"/>
      <c r="CD179" s="1207"/>
      <c r="CE179" s="1207"/>
      <c r="CF179" s="1207"/>
    </row>
    <row r="180" spans="1:84" ht="105" x14ac:dyDescent="0.25">
      <c r="A180" s="1400">
        <v>2022186</v>
      </c>
      <c r="B180" s="1401">
        <v>7655</v>
      </c>
      <c r="C180" s="1402" t="s">
        <v>668</v>
      </c>
      <c r="D180" s="1403" t="s">
        <v>682</v>
      </c>
      <c r="E180" s="1404">
        <v>80111600</v>
      </c>
      <c r="F180" s="1405" t="s">
        <v>874</v>
      </c>
      <c r="G180" s="1406">
        <v>44566</v>
      </c>
      <c r="H180" s="1406">
        <v>44568</v>
      </c>
      <c r="I180" s="1407">
        <v>11.5</v>
      </c>
      <c r="J180" s="1407" t="s">
        <v>673</v>
      </c>
      <c r="K180" s="1408" t="s">
        <v>674</v>
      </c>
      <c r="L180" s="1409" t="s">
        <v>780</v>
      </c>
      <c r="M180" s="1410">
        <f>92000000+61500000-25666667-20166667+14450000</f>
        <v>122116666</v>
      </c>
      <c r="N180" s="1411" t="s">
        <v>781</v>
      </c>
      <c r="O180" s="1404" t="s">
        <v>771</v>
      </c>
      <c r="P180" s="1412" t="s">
        <v>678</v>
      </c>
      <c r="Q180" s="1163"/>
      <c r="R180" s="1269">
        <v>92000000</v>
      </c>
      <c r="S180" s="1357">
        <v>92000000</v>
      </c>
      <c r="T180" s="1357">
        <f>+Tabla16[[#This Row],[CDPS A 31 JULIO 2022]]-Tabla16[[#This Row],[CDP]]</f>
        <v>0</v>
      </c>
      <c r="U180" s="1357">
        <v>92000000</v>
      </c>
      <c r="V180" s="1357">
        <v>37333333</v>
      </c>
      <c r="W180" s="1357"/>
      <c r="X180" s="1207"/>
      <c r="Y180" s="1207"/>
      <c r="Z180" s="1207"/>
      <c r="AA180" s="1207"/>
      <c r="AB180" s="1207"/>
      <c r="AC180" s="1207"/>
      <c r="AD180" s="1207"/>
      <c r="AE180" s="1207"/>
      <c r="AF180" s="1207"/>
      <c r="AG180" s="1207"/>
      <c r="AH180" s="1207"/>
      <c r="AI180" s="1207"/>
      <c r="AJ180" s="1207"/>
      <c r="AK180" s="1207"/>
      <c r="AL180" s="1207"/>
      <c r="AM180" s="1207"/>
      <c r="AN180" s="1207"/>
      <c r="AO180" s="1207"/>
      <c r="AP180" s="1207"/>
      <c r="AQ180" s="1207"/>
      <c r="AR180" s="1207"/>
      <c r="AS180" s="1207"/>
      <c r="AT180" s="1207"/>
      <c r="AU180" s="1207"/>
      <c r="AV180" s="1207"/>
      <c r="AW180" s="1207"/>
      <c r="AX180" s="1207"/>
      <c r="AY180" s="1207"/>
      <c r="AZ180" s="1207"/>
      <c r="BA180" s="1207"/>
      <c r="BB180" s="1207"/>
      <c r="BC180" s="1207"/>
      <c r="BD180" s="1207"/>
      <c r="BE180" s="1207"/>
      <c r="BF180" s="1207"/>
      <c r="BG180" s="1207"/>
      <c r="BH180" s="1207"/>
      <c r="BI180" s="1207"/>
      <c r="BJ180" s="1207"/>
      <c r="BK180" s="1207"/>
      <c r="BL180" s="1207"/>
      <c r="BM180" s="1207"/>
      <c r="BN180" s="1207"/>
      <c r="BO180" s="1207"/>
      <c r="BP180" s="1207"/>
      <c r="BQ180" s="1207"/>
      <c r="BR180" s="1207"/>
      <c r="BS180" s="1207"/>
      <c r="BT180" s="1207"/>
      <c r="BU180" s="1207"/>
      <c r="BV180" s="1207"/>
      <c r="BW180" s="1207"/>
      <c r="BX180" s="1207"/>
      <c r="BY180" s="1207"/>
      <c r="BZ180" s="1207"/>
      <c r="CA180" s="1207"/>
      <c r="CB180" s="1207"/>
      <c r="CC180" s="1207"/>
      <c r="CD180" s="1207"/>
      <c r="CE180" s="1207"/>
      <c r="CF180" s="1207"/>
    </row>
    <row r="181" spans="1:84" ht="105" x14ac:dyDescent="0.25">
      <c r="A181" s="1355">
        <v>2022187</v>
      </c>
      <c r="B181" s="1172">
        <v>7655</v>
      </c>
      <c r="C181" s="1356" t="s">
        <v>668</v>
      </c>
      <c r="D181" s="1190" t="s">
        <v>682</v>
      </c>
      <c r="E181" s="1174">
        <v>80111600</v>
      </c>
      <c r="F181" s="1380" t="s">
        <v>875</v>
      </c>
      <c r="G181" s="1381">
        <v>44566</v>
      </c>
      <c r="H181" s="1381">
        <v>44568</v>
      </c>
      <c r="I181" s="1176">
        <v>11.5</v>
      </c>
      <c r="J181" s="1176" t="s">
        <v>673</v>
      </c>
      <c r="K181" s="1177" t="s">
        <v>674</v>
      </c>
      <c r="L181" s="1178" t="s">
        <v>675</v>
      </c>
      <c r="M181" s="1179">
        <v>80500000</v>
      </c>
      <c r="N181" s="1382" t="s">
        <v>781</v>
      </c>
      <c r="O181" s="1174" t="s">
        <v>771</v>
      </c>
      <c r="P181" s="1207" t="s">
        <v>678</v>
      </c>
      <c r="Q181" s="1163"/>
      <c r="R181" s="1269">
        <v>80500000</v>
      </c>
      <c r="S181" s="1357">
        <v>80500000</v>
      </c>
      <c r="T181" s="1357">
        <f>+Tabla16[[#This Row],[CDPS A 31 JULIO 2022]]-Tabla16[[#This Row],[CDP]]</f>
        <v>0</v>
      </c>
      <c r="U181" s="1357">
        <v>80500000</v>
      </c>
      <c r="V181" s="1357">
        <v>31966667</v>
      </c>
      <c r="W181" s="1357"/>
      <c r="X181" s="1207"/>
      <c r="Y181" s="1207"/>
      <c r="Z181" s="1207"/>
      <c r="AA181" s="1207"/>
      <c r="AB181" s="1207"/>
      <c r="AC181" s="1207"/>
      <c r="AD181" s="1207"/>
      <c r="AE181" s="1207"/>
      <c r="AF181" s="1207"/>
      <c r="AG181" s="1207"/>
      <c r="AH181" s="1207"/>
      <c r="AI181" s="1207"/>
      <c r="AJ181" s="1207"/>
      <c r="AK181" s="1207"/>
      <c r="AL181" s="1207"/>
      <c r="AM181" s="1207"/>
      <c r="AN181" s="1207"/>
      <c r="AO181" s="1207"/>
      <c r="AP181" s="1207"/>
      <c r="AQ181" s="1207"/>
      <c r="AR181" s="1207"/>
      <c r="AS181" s="1207"/>
      <c r="AT181" s="1207"/>
      <c r="AU181" s="1207"/>
      <c r="AV181" s="1207"/>
      <c r="AW181" s="1207"/>
      <c r="AX181" s="1207"/>
      <c r="AY181" s="1207"/>
      <c r="AZ181" s="1207"/>
      <c r="BA181" s="1207"/>
      <c r="BB181" s="1207"/>
      <c r="BC181" s="1207"/>
      <c r="BD181" s="1207"/>
      <c r="BE181" s="1207"/>
      <c r="BF181" s="1207"/>
      <c r="BG181" s="1207"/>
      <c r="BH181" s="1207"/>
      <c r="BI181" s="1207"/>
      <c r="BJ181" s="1207"/>
      <c r="BK181" s="1207"/>
      <c r="BL181" s="1207"/>
      <c r="BM181" s="1207"/>
      <c r="BN181" s="1207"/>
      <c r="BO181" s="1207"/>
      <c r="BP181" s="1207"/>
      <c r="BQ181" s="1207"/>
      <c r="BR181" s="1207"/>
      <c r="BS181" s="1207"/>
      <c r="BT181" s="1207"/>
      <c r="BU181" s="1207"/>
      <c r="BV181" s="1207"/>
      <c r="BW181" s="1207"/>
      <c r="BX181" s="1207"/>
      <c r="BY181" s="1207"/>
      <c r="BZ181" s="1207"/>
      <c r="CA181" s="1207"/>
      <c r="CB181" s="1207"/>
      <c r="CC181" s="1207"/>
      <c r="CD181" s="1207"/>
      <c r="CE181" s="1207"/>
      <c r="CF181" s="1207"/>
    </row>
    <row r="182" spans="1:84" ht="105" x14ac:dyDescent="0.25">
      <c r="A182" s="1355">
        <v>2022188</v>
      </c>
      <c r="B182" s="1172">
        <v>7655</v>
      </c>
      <c r="C182" s="1356" t="s">
        <v>668</v>
      </c>
      <c r="D182" s="1190" t="s">
        <v>682</v>
      </c>
      <c r="E182" s="1174">
        <v>80111600</v>
      </c>
      <c r="F182" s="1380" t="s">
        <v>876</v>
      </c>
      <c r="G182" s="1381">
        <v>44566</v>
      </c>
      <c r="H182" s="1381">
        <v>44568</v>
      </c>
      <c r="I182" s="1176">
        <v>11.5</v>
      </c>
      <c r="J182" s="1176" t="s">
        <v>673</v>
      </c>
      <c r="K182" s="1177" t="s">
        <v>674</v>
      </c>
      <c r="L182" s="1178" t="s">
        <v>780</v>
      </c>
      <c r="M182" s="1179">
        <v>87975000</v>
      </c>
      <c r="N182" s="1382" t="s">
        <v>781</v>
      </c>
      <c r="O182" s="1174" t="s">
        <v>771</v>
      </c>
      <c r="P182" s="1207" t="s">
        <v>678</v>
      </c>
      <c r="Q182" s="1163"/>
      <c r="R182" s="1269">
        <v>87975000</v>
      </c>
      <c r="S182" s="1357">
        <v>87975000</v>
      </c>
      <c r="T182" s="1357">
        <f>+Tabla16[[#This Row],[CDPS A 31 JULIO 2022]]-Tabla16[[#This Row],[CDP]]</f>
        <v>0</v>
      </c>
      <c r="U182" s="1357">
        <v>87975000</v>
      </c>
      <c r="V182" s="1357">
        <v>35190000</v>
      </c>
      <c r="W182" s="1357"/>
      <c r="X182" s="1207"/>
      <c r="Y182" s="1207"/>
      <c r="Z182" s="1207"/>
      <c r="AA182" s="1207"/>
      <c r="AB182" s="1207"/>
      <c r="AC182" s="1207"/>
      <c r="AD182" s="1207"/>
      <c r="AE182" s="1207"/>
      <c r="AF182" s="1207"/>
      <c r="AG182" s="1207"/>
      <c r="AH182" s="1207"/>
      <c r="AI182" s="1207"/>
      <c r="AJ182" s="1207"/>
      <c r="AK182" s="1207"/>
      <c r="AL182" s="1207"/>
      <c r="AM182" s="1207"/>
      <c r="AN182" s="1207"/>
      <c r="AO182" s="1207"/>
      <c r="AP182" s="1207"/>
      <c r="AQ182" s="1207"/>
      <c r="AR182" s="1207"/>
      <c r="AS182" s="1207"/>
      <c r="AT182" s="1207"/>
      <c r="AU182" s="1207"/>
      <c r="AV182" s="1207"/>
      <c r="AW182" s="1207"/>
      <c r="AX182" s="1207"/>
      <c r="AY182" s="1207"/>
      <c r="AZ182" s="1207"/>
      <c r="BA182" s="1207"/>
      <c r="BB182" s="1207"/>
      <c r="BC182" s="1207"/>
      <c r="BD182" s="1207"/>
      <c r="BE182" s="1207"/>
      <c r="BF182" s="1207"/>
      <c r="BG182" s="1207"/>
      <c r="BH182" s="1207"/>
      <c r="BI182" s="1207"/>
      <c r="BJ182" s="1207"/>
      <c r="BK182" s="1207"/>
      <c r="BL182" s="1207"/>
      <c r="BM182" s="1207"/>
      <c r="BN182" s="1207"/>
      <c r="BO182" s="1207"/>
      <c r="BP182" s="1207"/>
      <c r="BQ182" s="1207"/>
      <c r="BR182" s="1207"/>
      <c r="BS182" s="1207"/>
      <c r="BT182" s="1207"/>
      <c r="BU182" s="1207"/>
      <c r="BV182" s="1207"/>
      <c r="BW182" s="1207"/>
      <c r="BX182" s="1207"/>
      <c r="BY182" s="1207"/>
      <c r="BZ182" s="1207"/>
      <c r="CA182" s="1207"/>
      <c r="CB182" s="1207"/>
      <c r="CC182" s="1207"/>
      <c r="CD182" s="1207"/>
      <c r="CE182" s="1207"/>
      <c r="CF182" s="1207"/>
    </row>
    <row r="183" spans="1:84" ht="105" x14ac:dyDescent="0.25">
      <c r="A183" s="1355">
        <v>2022189</v>
      </c>
      <c r="B183" s="1172">
        <v>7655</v>
      </c>
      <c r="C183" s="1356" t="s">
        <v>668</v>
      </c>
      <c r="D183" s="1190" t="s">
        <v>682</v>
      </c>
      <c r="E183" s="1174">
        <v>80111600</v>
      </c>
      <c r="F183" s="1380" t="s">
        <v>876</v>
      </c>
      <c r="G183" s="1381">
        <v>44566</v>
      </c>
      <c r="H183" s="1381">
        <v>44568</v>
      </c>
      <c r="I183" s="1176">
        <v>11.5</v>
      </c>
      <c r="J183" s="1176" t="s">
        <v>673</v>
      </c>
      <c r="K183" s="1177" t="s">
        <v>674</v>
      </c>
      <c r="L183" s="1178" t="s">
        <v>780</v>
      </c>
      <c r="M183" s="1179">
        <v>87975000</v>
      </c>
      <c r="N183" s="1382" t="s">
        <v>781</v>
      </c>
      <c r="O183" s="1174" t="s">
        <v>771</v>
      </c>
      <c r="P183" s="1207" t="s">
        <v>678</v>
      </c>
      <c r="Q183" s="1163"/>
      <c r="R183" s="1269">
        <v>87975000</v>
      </c>
      <c r="S183" s="1357">
        <v>87975000</v>
      </c>
      <c r="T183" s="1357">
        <f>+Tabla16[[#This Row],[CDPS A 31 JULIO 2022]]-Tabla16[[#This Row],[CDP]]</f>
        <v>0</v>
      </c>
      <c r="U183" s="1357">
        <v>87975000</v>
      </c>
      <c r="V183" s="1357">
        <v>35700000</v>
      </c>
      <c r="W183" s="135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07"/>
      <c r="BE183" s="1207"/>
      <c r="BF183" s="1207"/>
      <c r="BG183" s="1207"/>
      <c r="BH183" s="1207"/>
      <c r="BI183" s="1207"/>
      <c r="BJ183" s="1207"/>
      <c r="BK183" s="1207"/>
      <c r="BL183" s="1207"/>
      <c r="BM183" s="1207"/>
      <c r="BN183" s="1207"/>
      <c r="BO183" s="1207"/>
      <c r="BP183" s="1207"/>
      <c r="BQ183" s="1207"/>
      <c r="BR183" s="1207"/>
      <c r="BS183" s="1207"/>
      <c r="BT183" s="1207"/>
      <c r="BU183" s="1207"/>
      <c r="BV183" s="1207"/>
      <c r="BW183" s="1207"/>
      <c r="BX183" s="1207"/>
      <c r="BY183" s="1207"/>
      <c r="BZ183" s="1207"/>
      <c r="CA183" s="1207"/>
      <c r="CB183" s="1207"/>
      <c r="CC183" s="1207"/>
      <c r="CD183" s="1207"/>
      <c r="CE183" s="1207"/>
      <c r="CF183" s="1207"/>
    </row>
    <row r="184" spans="1:84" ht="105" x14ac:dyDescent="0.25">
      <c r="A184" s="1355">
        <v>2022190</v>
      </c>
      <c r="B184" s="1172">
        <v>7655</v>
      </c>
      <c r="C184" s="1356" t="s">
        <v>668</v>
      </c>
      <c r="D184" s="1190" t="s">
        <v>682</v>
      </c>
      <c r="E184" s="1174">
        <v>80111600</v>
      </c>
      <c r="F184" s="1380" t="s">
        <v>876</v>
      </c>
      <c r="G184" s="1381">
        <v>44566</v>
      </c>
      <c r="H184" s="1381">
        <v>44568</v>
      </c>
      <c r="I184" s="1176">
        <v>11.5</v>
      </c>
      <c r="J184" s="1176" t="s">
        <v>673</v>
      </c>
      <c r="K184" s="1177" t="s">
        <v>674</v>
      </c>
      <c r="L184" s="1178" t="s">
        <v>780</v>
      </c>
      <c r="M184" s="1179">
        <v>87975000</v>
      </c>
      <c r="N184" s="1382" t="s">
        <v>781</v>
      </c>
      <c r="O184" s="1174" t="s">
        <v>771</v>
      </c>
      <c r="P184" s="1207" t="s">
        <v>678</v>
      </c>
      <c r="Q184" s="1163"/>
      <c r="R184" s="1269">
        <v>87975000</v>
      </c>
      <c r="S184" s="1357">
        <v>87975000</v>
      </c>
      <c r="T184" s="1357">
        <f>+Tabla16[[#This Row],[CDPS A 31 JULIO 2022]]-Tabla16[[#This Row],[CDP]]</f>
        <v>0</v>
      </c>
      <c r="U184" s="1357">
        <v>87975000</v>
      </c>
      <c r="V184" s="1357">
        <v>35700000</v>
      </c>
      <c r="W184" s="1357"/>
      <c r="X184" s="1207"/>
      <c r="Y184" s="1207"/>
      <c r="Z184" s="1207"/>
      <c r="AA184" s="1207"/>
      <c r="AB184" s="1207"/>
      <c r="AC184" s="1207"/>
      <c r="AD184" s="1207"/>
      <c r="AE184" s="1207"/>
      <c r="AF184" s="1207"/>
      <c r="AG184" s="1207"/>
      <c r="AH184" s="1207"/>
      <c r="AI184" s="1207"/>
      <c r="AJ184" s="1207"/>
      <c r="AK184" s="1207"/>
      <c r="AL184" s="1207"/>
      <c r="AM184" s="1207"/>
      <c r="AN184" s="1207"/>
      <c r="AO184" s="1207"/>
      <c r="AP184" s="1207"/>
      <c r="AQ184" s="1207"/>
      <c r="AR184" s="1207"/>
      <c r="AS184" s="1207"/>
      <c r="AT184" s="1207"/>
      <c r="AU184" s="1207"/>
      <c r="AV184" s="1207"/>
      <c r="AW184" s="1207"/>
      <c r="AX184" s="1207"/>
      <c r="AY184" s="1207"/>
      <c r="AZ184" s="1207"/>
      <c r="BA184" s="1207"/>
      <c r="BB184" s="1207"/>
      <c r="BC184" s="1207"/>
      <c r="BD184" s="1207"/>
      <c r="BE184" s="1207"/>
      <c r="BF184" s="1207"/>
      <c r="BG184" s="1207"/>
      <c r="BH184" s="1207"/>
      <c r="BI184" s="1207"/>
      <c r="BJ184" s="1207"/>
      <c r="BK184" s="1207"/>
      <c r="BL184" s="1207"/>
      <c r="BM184" s="1207"/>
      <c r="BN184" s="1207"/>
      <c r="BO184" s="1207"/>
      <c r="BP184" s="1207"/>
      <c r="BQ184" s="1207"/>
      <c r="BR184" s="1207"/>
      <c r="BS184" s="1207"/>
      <c r="BT184" s="1207"/>
      <c r="BU184" s="1207"/>
      <c r="BV184" s="1207"/>
      <c r="BW184" s="1207"/>
      <c r="BX184" s="1207"/>
      <c r="BY184" s="1207"/>
      <c r="BZ184" s="1207"/>
      <c r="CA184" s="1207"/>
      <c r="CB184" s="1207"/>
      <c r="CC184" s="1207"/>
      <c r="CD184" s="1207"/>
      <c r="CE184" s="1207"/>
      <c r="CF184" s="1207"/>
    </row>
    <row r="185" spans="1:84" ht="105" x14ac:dyDescent="0.25">
      <c r="A185" s="1355">
        <v>2022191</v>
      </c>
      <c r="B185" s="1172">
        <v>7655</v>
      </c>
      <c r="C185" s="1356" t="s">
        <v>668</v>
      </c>
      <c r="D185" s="1190" t="s">
        <v>682</v>
      </c>
      <c r="E185" s="1174">
        <v>80111600</v>
      </c>
      <c r="F185" s="1380" t="s">
        <v>876</v>
      </c>
      <c r="G185" s="1381">
        <v>44566</v>
      </c>
      <c r="H185" s="1381">
        <v>44568</v>
      </c>
      <c r="I185" s="1176">
        <v>11.5</v>
      </c>
      <c r="J185" s="1176" t="s">
        <v>673</v>
      </c>
      <c r="K185" s="1177" t="s">
        <v>674</v>
      </c>
      <c r="L185" s="1178" t="s">
        <v>780</v>
      </c>
      <c r="M185" s="1179">
        <v>87975000</v>
      </c>
      <c r="N185" s="1382" t="s">
        <v>781</v>
      </c>
      <c r="O185" s="1174" t="s">
        <v>771</v>
      </c>
      <c r="P185" s="1207" t="s">
        <v>678</v>
      </c>
      <c r="Q185" s="1163"/>
      <c r="R185" s="1269">
        <v>87975000</v>
      </c>
      <c r="S185" s="1357">
        <v>87975000</v>
      </c>
      <c r="T185" s="1357">
        <f>+Tabla16[[#This Row],[CDPS A 31 JULIO 2022]]-Tabla16[[#This Row],[CDP]]</f>
        <v>0</v>
      </c>
      <c r="U185" s="1357">
        <v>87975000</v>
      </c>
      <c r="V185" s="1357">
        <v>35190000</v>
      </c>
      <c r="W185" s="1357"/>
      <c r="X185" s="1207"/>
      <c r="Y185" s="1207"/>
      <c r="Z185" s="1207"/>
      <c r="AA185" s="1207"/>
      <c r="AB185" s="1207"/>
      <c r="AC185" s="1207"/>
      <c r="AD185" s="1207"/>
      <c r="AE185" s="1207"/>
      <c r="AF185" s="1207"/>
      <c r="AG185" s="1207"/>
      <c r="AH185" s="1207"/>
      <c r="AI185" s="1207"/>
      <c r="AJ185" s="1207"/>
      <c r="AK185" s="1207"/>
      <c r="AL185" s="1207"/>
      <c r="AM185" s="1207"/>
      <c r="AN185" s="1207"/>
      <c r="AO185" s="1207"/>
      <c r="AP185" s="1207"/>
      <c r="AQ185" s="1207"/>
      <c r="AR185" s="1207"/>
      <c r="AS185" s="1207"/>
      <c r="AT185" s="1207"/>
      <c r="AU185" s="1207"/>
      <c r="AV185" s="1207"/>
      <c r="AW185" s="1207"/>
      <c r="AX185" s="1207"/>
      <c r="AY185" s="1207"/>
      <c r="AZ185" s="1207"/>
      <c r="BA185" s="1207"/>
      <c r="BB185" s="1207"/>
      <c r="BC185" s="1207"/>
      <c r="BD185" s="1207"/>
      <c r="BE185" s="1207"/>
      <c r="BF185" s="1207"/>
      <c r="BG185" s="1207"/>
      <c r="BH185" s="1207"/>
      <c r="BI185" s="1207"/>
      <c r="BJ185" s="1207"/>
      <c r="BK185" s="1207"/>
      <c r="BL185" s="1207"/>
      <c r="BM185" s="1207"/>
      <c r="BN185" s="1207"/>
      <c r="BO185" s="1207"/>
      <c r="BP185" s="1207"/>
      <c r="BQ185" s="1207"/>
      <c r="BR185" s="1207"/>
      <c r="BS185" s="1207"/>
      <c r="BT185" s="1207"/>
      <c r="BU185" s="1207"/>
      <c r="BV185" s="1207"/>
      <c r="BW185" s="1207"/>
      <c r="BX185" s="1207"/>
      <c r="BY185" s="1207"/>
      <c r="BZ185" s="1207"/>
      <c r="CA185" s="1207"/>
      <c r="CB185" s="1207"/>
      <c r="CC185" s="1207"/>
      <c r="CD185" s="1207"/>
      <c r="CE185" s="1207"/>
      <c r="CF185" s="1207"/>
    </row>
    <row r="186" spans="1:84" ht="105" x14ac:dyDescent="0.25">
      <c r="A186" s="1355">
        <v>2022192</v>
      </c>
      <c r="B186" s="1172">
        <v>7655</v>
      </c>
      <c r="C186" s="1356" t="s">
        <v>668</v>
      </c>
      <c r="D186" s="1190" t="s">
        <v>682</v>
      </c>
      <c r="E186" s="1174">
        <v>80111600</v>
      </c>
      <c r="F186" s="1380" t="s">
        <v>876</v>
      </c>
      <c r="G186" s="1381">
        <v>44566</v>
      </c>
      <c r="H186" s="1381">
        <v>44568</v>
      </c>
      <c r="I186" s="1176">
        <v>11.5</v>
      </c>
      <c r="J186" s="1176" t="s">
        <v>673</v>
      </c>
      <c r="K186" s="1177" t="s">
        <v>674</v>
      </c>
      <c r="L186" s="1178" t="s">
        <v>780</v>
      </c>
      <c r="M186" s="1179">
        <v>87975000</v>
      </c>
      <c r="N186" s="1382" t="s">
        <v>781</v>
      </c>
      <c r="O186" s="1174" t="s">
        <v>771</v>
      </c>
      <c r="P186" s="1207" t="s">
        <v>678</v>
      </c>
      <c r="Q186" s="1163"/>
      <c r="R186" s="1269">
        <v>87975000</v>
      </c>
      <c r="S186" s="1357">
        <v>87975000</v>
      </c>
      <c r="T186" s="1357">
        <f>+Tabla16[[#This Row],[CDPS A 31 JULIO 2022]]-Tabla16[[#This Row],[CDP]]</f>
        <v>0</v>
      </c>
      <c r="U186" s="1357">
        <v>87975000</v>
      </c>
      <c r="V186" s="1357">
        <v>33660000</v>
      </c>
      <c r="W186" s="1357"/>
      <c r="X186" s="1207"/>
      <c r="Y186" s="1207"/>
      <c r="Z186" s="1207"/>
      <c r="AA186" s="1207"/>
      <c r="AB186" s="1207"/>
      <c r="AC186" s="1207"/>
      <c r="AD186" s="1207"/>
      <c r="AE186" s="1207"/>
      <c r="AF186" s="1207"/>
      <c r="AG186" s="1207"/>
      <c r="AH186" s="1207"/>
      <c r="AI186" s="1207"/>
      <c r="AJ186" s="1207"/>
      <c r="AK186" s="1207"/>
      <c r="AL186" s="1207"/>
      <c r="AM186" s="1207"/>
      <c r="AN186" s="1207"/>
      <c r="AO186" s="1207"/>
      <c r="AP186" s="1207"/>
      <c r="AQ186" s="1207"/>
      <c r="AR186" s="1207"/>
      <c r="AS186" s="1207"/>
      <c r="AT186" s="1207"/>
      <c r="AU186" s="1207"/>
      <c r="AV186" s="1207"/>
      <c r="AW186" s="1207"/>
      <c r="AX186" s="1207"/>
      <c r="AY186" s="1207"/>
      <c r="AZ186" s="1207"/>
      <c r="BA186" s="1207"/>
      <c r="BB186" s="1207"/>
      <c r="BC186" s="1207"/>
      <c r="BD186" s="1207"/>
      <c r="BE186" s="1207"/>
      <c r="BF186" s="1207"/>
      <c r="BG186" s="1207"/>
      <c r="BH186" s="1207"/>
      <c r="BI186" s="1207"/>
      <c r="BJ186" s="1207"/>
      <c r="BK186" s="1207"/>
      <c r="BL186" s="1207"/>
      <c r="BM186" s="1207"/>
      <c r="BN186" s="1207"/>
      <c r="BO186" s="1207"/>
      <c r="BP186" s="1207"/>
      <c r="BQ186" s="1207"/>
      <c r="BR186" s="1207"/>
      <c r="BS186" s="1207"/>
      <c r="BT186" s="1207"/>
      <c r="BU186" s="1207"/>
      <c r="BV186" s="1207"/>
      <c r="BW186" s="1207"/>
      <c r="BX186" s="1207"/>
      <c r="BY186" s="1207"/>
      <c r="BZ186" s="1207"/>
      <c r="CA186" s="1207"/>
      <c r="CB186" s="1207"/>
      <c r="CC186" s="1207"/>
      <c r="CD186" s="1207"/>
      <c r="CE186" s="1207"/>
      <c r="CF186" s="1207"/>
    </row>
    <row r="187" spans="1:84" ht="105" x14ac:dyDescent="0.25">
      <c r="A187" s="1355">
        <v>2022193</v>
      </c>
      <c r="B187" s="1172">
        <v>7655</v>
      </c>
      <c r="C187" s="1356" t="s">
        <v>668</v>
      </c>
      <c r="D187" s="1190" t="s">
        <v>682</v>
      </c>
      <c r="E187" s="1174">
        <v>80111600</v>
      </c>
      <c r="F187" s="1380" t="s">
        <v>876</v>
      </c>
      <c r="G187" s="1381">
        <v>44566</v>
      </c>
      <c r="H187" s="1381">
        <v>44568</v>
      </c>
      <c r="I187" s="1176">
        <v>11.5</v>
      </c>
      <c r="J187" s="1176" t="s">
        <v>673</v>
      </c>
      <c r="K187" s="1177" t="s">
        <v>674</v>
      </c>
      <c r="L187" s="1178" t="s">
        <v>780</v>
      </c>
      <c r="M187" s="1179">
        <v>87975000</v>
      </c>
      <c r="N187" s="1382" t="s">
        <v>781</v>
      </c>
      <c r="O187" s="1174" t="s">
        <v>771</v>
      </c>
      <c r="P187" s="1207" t="s">
        <v>678</v>
      </c>
      <c r="Q187" s="1163"/>
      <c r="R187" s="1269">
        <v>87975000</v>
      </c>
      <c r="S187" s="1357">
        <v>87975000</v>
      </c>
      <c r="T187" s="1357">
        <f>+Tabla16[[#This Row],[CDPS A 31 JULIO 2022]]-Tabla16[[#This Row],[CDP]]</f>
        <v>0</v>
      </c>
      <c r="U187" s="1357">
        <v>87975000</v>
      </c>
      <c r="V187" s="1357">
        <v>35700000</v>
      </c>
      <c r="W187" s="1357"/>
      <c r="X187" s="1207"/>
      <c r="Y187" s="1207"/>
      <c r="Z187" s="1207"/>
      <c r="AA187" s="1207"/>
      <c r="AB187" s="1207"/>
      <c r="AC187" s="1207"/>
      <c r="AD187" s="1207"/>
      <c r="AE187" s="1207"/>
      <c r="AF187" s="1207"/>
      <c r="AG187" s="1207"/>
      <c r="AH187" s="1207"/>
      <c r="AI187" s="1207"/>
      <c r="AJ187" s="1207"/>
      <c r="AK187" s="1207"/>
      <c r="AL187" s="1207"/>
      <c r="AM187" s="1207"/>
      <c r="AN187" s="1207"/>
      <c r="AO187" s="1207"/>
      <c r="AP187" s="1207"/>
      <c r="AQ187" s="1207"/>
      <c r="AR187" s="1207"/>
      <c r="AS187" s="1207"/>
      <c r="AT187" s="1207"/>
      <c r="AU187" s="1207"/>
      <c r="AV187" s="1207"/>
      <c r="AW187" s="1207"/>
      <c r="AX187" s="1207"/>
      <c r="AY187" s="1207"/>
      <c r="AZ187" s="1207"/>
      <c r="BA187" s="1207"/>
      <c r="BB187" s="1207"/>
      <c r="BC187" s="1207"/>
      <c r="BD187" s="1207"/>
      <c r="BE187" s="1207"/>
      <c r="BF187" s="1207"/>
      <c r="BG187" s="1207"/>
      <c r="BH187" s="1207"/>
      <c r="BI187" s="1207"/>
      <c r="BJ187" s="1207"/>
      <c r="BK187" s="1207"/>
      <c r="BL187" s="1207"/>
      <c r="BM187" s="1207"/>
      <c r="BN187" s="1207"/>
      <c r="BO187" s="1207"/>
      <c r="BP187" s="1207"/>
      <c r="BQ187" s="1207"/>
      <c r="BR187" s="1207"/>
      <c r="BS187" s="1207"/>
      <c r="BT187" s="1207"/>
      <c r="BU187" s="1207"/>
      <c r="BV187" s="1207"/>
      <c r="BW187" s="1207"/>
      <c r="BX187" s="1207"/>
      <c r="BY187" s="1207"/>
      <c r="BZ187" s="1207"/>
      <c r="CA187" s="1207"/>
      <c r="CB187" s="1207"/>
      <c r="CC187" s="1207"/>
      <c r="CD187" s="1207"/>
      <c r="CE187" s="1207"/>
      <c r="CF187" s="1207"/>
    </row>
    <row r="188" spans="1:84" ht="105" x14ac:dyDescent="0.25">
      <c r="A188" s="1355">
        <v>2022194</v>
      </c>
      <c r="B188" s="1172">
        <v>7655</v>
      </c>
      <c r="C188" s="1356" t="s">
        <v>668</v>
      </c>
      <c r="D188" s="1190" t="s">
        <v>682</v>
      </c>
      <c r="E188" s="1174">
        <v>80111600</v>
      </c>
      <c r="F188" s="1380" t="s">
        <v>877</v>
      </c>
      <c r="G188" s="1381">
        <v>44566</v>
      </c>
      <c r="H188" s="1381">
        <v>44568</v>
      </c>
      <c r="I188" s="1176">
        <v>11.5</v>
      </c>
      <c r="J188" s="1176" t="s">
        <v>673</v>
      </c>
      <c r="K188" s="1177" t="s">
        <v>674</v>
      </c>
      <c r="L188" s="1178" t="s">
        <v>780</v>
      </c>
      <c r="M188" s="1179">
        <v>42642000</v>
      </c>
      <c r="N188" s="1382" t="s">
        <v>781</v>
      </c>
      <c r="O188" s="1174" t="s">
        <v>771</v>
      </c>
      <c r="P188" s="1207" t="s">
        <v>678</v>
      </c>
      <c r="Q188" s="1163"/>
      <c r="R188" s="1269">
        <v>42642000</v>
      </c>
      <c r="S188" s="1357">
        <v>42642000</v>
      </c>
      <c r="T188" s="1357">
        <f>+Tabla16[[#This Row],[CDPS A 31 JULIO 2022]]-Tabla16[[#This Row],[CDP]]</f>
        <v>0</v>
      </c>
      <c r="U188" s="1357">
        <v>42642000</v>
      </c>
      <c r="V188" s="1357">
        <v>17180400</v>
      </c>
      <c r="W188" s="1357"/>
      <c r="X188" s="1207"/>
      <c r="Y188" s="1207"/>
      <c r="Z188" s="1207"/>
      <c r="AA188" s="1207"/>
      <c r="AB188" s="1207"/>
      <c r="AC188" s="1207"/>
      <c r="AD188" s="1207"/>
      <c r="AE188" s="1207"/>
      <c r="AF188" s="1207"/>
      <c r="AG188" s="1207"/>
      <c r="AH188" s="1207"/>
      <c r="AI188" s="1207"/>
      <c r="AJ188" s="1207"/>
      <c r="AK188" s="1207"/>
      <c r="AL188" s="1207"/>
      <c r="AM188" s="1207"/>
      <c r="AN188" s="1207"/>
      <c r="AO188" s="1207"/>
      <c r="AP188" s="1207"/>
      <c r="AQ188" s="1207"/>
      <c r="AR188" s="1207"/>
      <c r="AS188" s="1207"/>
      <c r="AT188" s="1207"/>
      <c r="AU188" s="1207"/>
      <c r="AV188" s="1207"/>
      <c r="AW188" s="1207"/>
      <c r="AX188" s="1207"/>
      <c r="AY188" s="1207"/>
      <c r="AZ188" s="1207"/>
      <c r="BA188" s="1207"/>
      <c r="BB188" s="1207"/>
      <c r="BC188" s="1207"/>
      <c r="BD188" s="1207"/>
      <c r="BE188" s="1207"/>
      <c r="BF188" s="1207"/>
      <c r="BG188" s="1207"/>
      <c r="BH188" s="1207"/>
      <c r="BI188" s="1207"/>
      <c r="BJ188" s="1207"/>
      <c r="BK188" s="1207"/>
      <c r="BL188" s="1207"/>
      <c r="BM188" s="1207"/>
      <c r="BN188" s="1207"/>
      <c r="BO188" s="1207"/>
      <c r="BP188" s="1207"/>
      <c r="BQ188" s="1207"/>
      <c r="BR188" s="1207"/>
      <c r="BS188" s="1207"/>
      <c r="BT188" s="1207"/>
      <c r="BU188" s="1207"/>
      <c r="BV188" s="1207"/>
      <c r="BW188" s="1207"/>
      <c r="BX188" s="1207"/>
      <c r="BY188" s="1207"/>
      <c r="BZ188" s="1207"/>
      <c r="CA188" s="1207"/>
      <c r="CB188" s="1207"/>
      <c r="CC188" s="1207"/>
      <c r="CD188" s="1207"/>
      <c r="CE188" s="1207"/>
      <c r="CF188" s="1207"/>
    </row>
    <row r="189" spans="1:84" ht="105" x14ac:dyDescent="0.25">
      <c r="A189" s="1355">
        <v>2022195</v>
      </c>
      <c r="B189" s="1172">
        <v>7655</v>
      </c>
      <c r="C189" s="1356" t="s">
        <v>668</v>
      </c>
      <c r="D189" s="1190" t="s">
        <v>682</v>
      </c>
      <c r="E189" s="1174">
        <v>80111600</v>
      </c>
      <c r="F189" s="1380" t="s">
        <v>877</v>
      </c>
      <c r="G189" s="1381">
        <v>44566</v>
      </c>
      <c r="H189" s="1381">
        <v>44568</v>
      </c>
      <c r="I189" s="1176">
        <v>11.5</v>
      </c>
      <c r="J189" s="1176" t="s">
        <v>673</v>
      </c>
      <c r="K189" s="1177" t="s">
        <v>674</v>
      </c>
      <c r="L189" s="1178" t="s">
        <v>780</v>
      </c>
      <c r="M189" s="1179">
        <v>42642000</v>
      </c>
      <c r="N189" s="1382" t="s">
        <v>781</v>
      </c>
      <c r="O189" s="1174" t="s">
        <v>771</v>
      </c>
      <c r="P189" s="1207" t="s">
        <v>678</v>
      </c>
      <c r="Q189" s="1163"/>
      <c r="R189" s="1269">
        <v>42642000</v>
      </c>
      <c r="S189" s="1357">
        <v>42642000</v>
      </c>
      <c r="T189" s="1357">
        <f>+Tabla16[[#This Row],[CDPS A 31 JULIO 2022]]-Tabla16[[#This Row],[CDP]]</f>
        <v>0</v>
      </c>
      <c r="U189" s="1357">
        <v>42642000</v>
      </c>
      <c r="V189" s="1357">
        <v>17180400</v>
      </c>
      <c r="W189" s="1357"/>
      <c r="X189" s="1207"/>
      <c r="Y189" s="1207"/>
      <c r="Z189" s="1207"/>
      <c r="AA189" s="1207"/>
      <c r="AB189" s="1207"/>
      <c r="AC189" s="1207"/>
      <c r="AD189" s="1207"/>
      <c r="AE189" s="1207"/>
      <c r="AF189" s="1207"/>
      <c r="AG189" s="1207"/>
      <c r="AH189" s="1207"/>
      <c r="AI189" s="1207"/>
      <c r="AJ189" s="1207"/>
      <c r="AK189" s="1207"/>
      <c r="AL189" s="1207"/>
      <c r="AM189" s="1207"/>
      <c r="AN189" s="1207"/>
      <c r="AO189" s="1207"/>
      <c r="AP189" s="1207"/>
      <c r="AQ189" s="1207"/>
      <c r="AR189" s="1207"/>
      <c r="AS189" s="1207"/>
      <c r="AT189" s="1207"/>
      <c r="AU189" s="1207"/>
      <c r="AV189" s="1207"/>
      <c r="AW189" s="1207"/>
      <c r="AX189" s="1207"/>
      <c r="AY189" s="1207"/>
      <c r="AZ189" s="1207"/>
      <c r="BA189" s="1207"/>
      <c r="BB189" s="1207"/>
      <c r="BC189" s="1207"/>
      <c r="BD189" s="1207"/>
      <c r="BE189" s="1207"/>
      <c r="BF189" s="1207"/>
      <c r="BG189" s="1207"/>
      <c r="BH189" s="1207"/>
      <c r="BI189" s="1207"/>
      <c r="BJ189" s="1207"/>
      <c r="BK189" s="1207"/>
      <c r="BL189" s="1207"/>
      <c r="BM189" s="1207"/>
      <c r="BN189" s="1207"/>
      <c r="BO189" s="1207"/>
      <c r="BP189" s="1207"/>
      <c r="BQ189" s="1207"/>
      <c r="BR189" s="1207"/>
      <c r="BS189" s="1207"/>
      <c r="BT189" s="1207"/>
      <c r="BU189" s="1207"/>
      <c r="BV189" s="1207"/>
      <c r="BW189" s="1207"/>
      <c r="BX189" s="1207"/>
      <c r="BY189" s="1207"/>
      <c r="BZ189" s="1207"/>
      <c r="CA189" s="1207"/>
      <c r="CB189" s="1207"/>
      <c r="CC189" s="1207"/>
      <c r="CD189" s="1207"/>
      <c r="CE189" s="1207"/>
      <c r="CF189" s="1207"/>
    </row>
    <row r="190" spans="1:84" ht="105" x14ac:dyDescent="0.25">
      <c r="A190" s="1355">
        <v>2022196</v>
      </c>
      <c r="B190" s="1172">
        <v>7655</v>
      </c>
      <c r="C190" s="1356" t="s">
        <v>668</v>
      </c>
      <c r="D190" s="1190" t="s">
        <v>682</v>
      </c>
      <c r="E190" s="1174">
        <v>80111600</v>
      </c>
      <c r="F190" s="1380" t="s">
        <v>876</v>
      </c>
      <c r="G190" s="1381">
        <v>44566</v>
      </c>
      <c r="H190" s="1381">
        <v>44568</v>
      </c>
      <c r="I190" s="1176">
        <v>9.3000000000000007</v>
      </c>
      <c r="J190" s="1176" t="s">
        <v>673</v>
      </c>
      <c r="K190" s="1177" t="s">
        <v>674</v>
      </c>
      <c r="L190" s="1178" t="s">
        <v>780</v>
      </c>
      <c r="M190" s="1179">
        <f>71103000-213000</f>
        <v>70890000</v>
      </c>
      <c r="N190" s="1382" t="s">
        <v>781</v>
      </c>
      <c r="O190" s="1174" t="s">
        <v>771</v>
      </c>
      <c r="P190" s="1207" t="s">
        <v>678</v>
      </c>
      <c r="Q190" s="1163"/>
      <c r="R190" s="1269">
        <v>70890000</v>
      </c>
      <c r="S190" s="1357">
        <v>70890000</v>
      </c>
      <c r="T190" s="1357">
        <f>+Tabla16[[#This Row],[CDPS A 31 JULIO 2022]]-Tabla16[[#This Row],[CDP]]</f>
        <v>0</v>
      </c>
      <c r="U190" s="1357">
        <v>70890000</v>
      </c>
      <c r="V190" s="1357">
        <v>33915000</v>
      </c>
      <c r="W190" s="1357"/>
      <c r="X190" s="1207"/>
      <c r="Y190" s="1207"/>
      <c r="Z190" s="1207"/>
      <c r="AA190" s="1207"/>
      <c r="AB190" s="1207"/>
      <c r="AC190" s="1207"/>
      <c r="AD190" s="1207"/>
      <c r="AE190" s="1207"/>
      <c r="AF190" s="1207"/>
      <c r="AG190" s="1207"/>
      <c r="AH190" s="1207"/>
      <c r="AI190" s="1207"/>
      <c r="AJ190" s="1207"/>
      <c r="AK190" s="1207"/>
      <c r="AL190" s="1207"/>
      <c r="AM190" s="1207"/>
      <c r="AN190" s="1207"/>
      <c r="AO190" s="1207"/>
      <c r="AP190" s="1207"/>
      <c r="AQ190" s="1207"/>
      <c r="AR190" s="1207"/>
      <c r="AS190" s="1207"/>
      <c r="AT190" s="1207"/>
      <c r="AU190" s="1207"/>
      <c r="AV190" s="1207"/>
      <c r="AW190" s="1207"/>
      <c r="AX190" s="1207"/>
      <c r="AY190" s="1207"/>
      <c r="AZ190" s="1207"/>
      <c r="BA190" s="1207"/>
      <c r="BB190" s="1207"/>
      <c r="BC190" s="1207"/>
      <c r="BD190" s="1207"/>
      <c r="BE190" s="1207"/>
      <c r="BF190" s="1207"/>
      <c r="BG190" s="1207"/>
      <c r="BH190" s="1207"/>
      <c r="BI190" s="1207"/>
      <c r="BJ190" s="1207"/>
      <c r="BK190" s="1207"/>
      <c r="BL190" s="1207"/>
      <c r="BM190" s="1207"/>
      <c r="BN190" s="1207"/>
      <c r="BO190" s="1207"/>
      <c r="BP190" s="1207"/>
      <c r="BQ190" s="1207"/>
      <c r="BR190" s="1207"/>
      <c r="BS190" s="1207"/>
      <c r="BT190" s="1207"/>
      <c r="BU190" s="1207"/>
      <c r="BV190" s="1207"/>
      <c r="BW190" s="1207"/>
      <c r="BX190" s="1207"/>
      <c r="BY190" s="1207"/>
      <c r="BZ190" s="1207"/>
      <c r="CA190" s="1207"/>
      <c r="CB190" s="1207"/>
      <c r="CC190" s="1207"/>
      <c r="CD190" s="1207"/>
      <c r="CE190" s="1207"/>
      <c r="CF190" s="1207"/>
    </row>
    <row r="191" spans="1:84" ht="105" x14ac:dyDescent="0.25">
      <c r="A191" s="1355">
        <v>2022197</v>
      </c>
      <c r="B191" s="1172">
        <v>7655</v>
      </c>
      <c r="C191" s="1356" t="s">
        <v>668</v>
      </c>
      <c r="D191" s="1190" t="s">
        <v>682</v>
      </c>
      <c r="E191" s="1174">
        <v>80111600</v>
      </c>
      <c r="F191" s="1380" t="s">
        <v>878</v>
      </c>
      <c r="G191" s="1381">
        <v>44566</v>
      </c>
      <c r="H191" s="1381">
        <v>44568</v>
      </c>
      <c r="I191" s="1176">
        <v>11.5</v>
      </c>
      <c r="J191" s="1176" t="s">
        <v>673</v>
      </c>
      <c r="K191" s="1177" t="s">
        <v>674</v>
      </c>
      <c r="L191" s="1178" t="s">
        <v>780</v>
      </c>
      <c r="M191" s="1179">
        <v>61295000</v>
      </c>
      <c r="N191" s="1382" t="s">
        <v>781</v>
      </c>
      <c r="O191" s="1174" t="s">
        <v>771</v>
      </c>
      <c r="P191" s="1207" t="s">
        <v>678</v>
      </c>
      <c r="Q191" s="1163"/>
      <c r="R191" s="1269">
        <v>61295000</v>
      </c>
      <c r="S191" s="1357">
        <v>61295000</v>
      </c>
      <c r="T191" s="1357">
        <f>+Tabla16[[#This Row],[CDPS A 31 JULIO 2022]]-Tabla16[[#This Row],[CDP]]</f>
        <v>0</v>
      </c>
      <c r="U191" s="1357">
        <v>61295000</v>
      </c>
      <c r="V191" s="1357">
        <v>24873333</v>
      </c>
      <c r="W191" s="1357"/>
      <c r="X191" s="1207"/>
      <c r="Y191" s="1207"/>
      <c r="Z191" s="1207"/>
      <c r="AA191" s="1207"/>
      <c r="AB191" s="1207"/>
      <c r="AC191" s="1207"/>
      <c r="AD191" s="1207"/>
      <c r="AE191" s="1207"/>
      <c r="AF191" s="1207"/>
      <c r="AG191" s="1207"/>
      <c r="AH191" s="1207"/>
      <c r="AI191" s="1207"/>
      <c r="AJ191" s="1207"/>
      <c r="AK191" s="1207"/>
      <c r="AL191" s="1207"/>
      <c r="AM191" s="1207"/>
      <c r="AN191" s="1207"/>
      <c r="AO191" s="1207"/>
      <c r="AP191" s="1207"/>
      <c r="AQ191" s="1207"/>
      <c r="AR191" s="1207"/>
      <c r="AS191" s="1207"/>
      <c r="AT191" s="1207"/>
      <c r="AU191" s="1207"/>
      <c r="AV191" s="1207"/>
      <c r="AW191" s="1207"/>
      <c r="AX191" s="1207"/>
      <c r="AY191" s="1207"/>
      <c r="AZ191" s="1207"/>
      <c r="BA191" s="1207"/>
      <c r="BB191" s="1207"/>
      <c r="BC191" s="1207"/>
      <c r="BD191" s="1207"/>
      <c r="BE191" s="1207"/>
      <c r="BF191" s="1207"/>
      <c r="BG191" s="1207"/>
      <c r="BH191" s="1207"/>
      <c r="BI191" s="1207"/>
      <c r="BJ191" s="1207"/>
      <c r="BK191" s="1207"/>
      <c r="BL191" s="1207"/>
      <c r="BM191" s="1207"/>
      <c r="BN191" s="1207"/>
      <c r="BO191" s="1207"/>
      <c r="BP191" s="1207"/>
      <c r="BQ191" s="1207"/>
      <c r="BR191" s="1207"/>
      <c r="BS191" s="1207"/>
      <c r="BT191" s="1207"/>
      <c r="BU191" s="1207"/>
      <c r="BV191" s="1207"/>
      <c r="BW191" s="1207"/>
      <c r="BX191" s="1207"/>
      <c r="BY191" s="1207"/>
      <c r="BZ191" s="1207"/>
      <c r="CA191" s="1207"/>
      <c r="CB191" s="1207"/>
      <c r="CC191" s="1207"/>
      <c r="CD191" s="1207"/>
      <c r="CE191" s="1207"/>
      <c r="CF191" s="1207"/>
    </row>
    <row r="192" spans="1:84" ht="105" x14ac:dyDescent="0.25">
      <c r="A192" s="1355">
        <v>2022198</v>
      </c>
      <c r="B192" s="1172">
        <v>7655</v>
      </c>
      <c r="C192" s="1356" t="s">
        <v>668</v>
      </c>
      <c r="D192" s="1190" t="s">
        <v>682</v>
      </c>
      <c r="E192" s="1174">
        <v>80111600</v>
      </c>
      <c r="F192" s="1380" t="s">
        <v>879</v>
      </c>
      <c r="G192" s="1381">
        <v>44566</v>
      </c>
      <c r="H192" s="1381">
        <v>44568</v>
      </c>
      <c r="I192" s="1176">
        <v>11.5</v>
      </c>
      <c r="J192" s="1176" t="s">
        <v>673</v>
      </c>
      <c r="K192" s="1177" t="s">
        <v>674</v>
      </c>
      <c r="L192" s="1178" t="s">
        <v>780</v>
      </c>
      <c r="M192" s="1179">
        <v>358041000</v>
      </c>
      <c r="N192" s="1382" t="s">
        <v>781</v>
      </c>
      <c r="O192" s="1174" t="s">
        <v>771</v>
      </c>
      <c r="P192" s="1207" t="s">
        <v>678</v>
      </c>
      <c r="Q192" s="1163"/>
      <c r="R192" s="1269">
        <v>358041000</v>
      </c>
      <c r="S192" s="1357">
        <v>358041000</v>
      </c>
      <c r="T192" s="1357">
        <f>+Tabla16[[#This Row],[CDPS A 31 JULIO 2022]]-Tabla16[[#This Row],[CDP]]</f>
        <v>0</v>
      </c>
      <c r="U192" s="1357">
        <v>358041000</v>
      </c>
      <c r="V192" s="1357">
        <v>99628800</v>
      </c>
      <c r="W192" s="1357"/>
      <c r="X192" s="1207"/>
      <c r="Y192" s="1207"/>
      <c r="Z192" s="1207"/>
      <c r="AA192" s="1207"/>
      <c r="AB192" s="1207"/>
      <c r="AC192" s="1207"/>
      <c r="AD192" s="1207"/>
      <c r="AE192" s="1207"/>
      <c r="AF192" s="1207"/>
      <c r="AG192" s="1207"/>
      <c r="AH192" s="1207"/>
      <c r="AI192" s="1207"/>
      <c r="AJ192" s="1207"/>
      <c r="AK192" s="1207"/>
      <c r="AL192" s="1207"/>
      <c r="AM192" s="1207"/>
      <c r="AN192" s="1207"/>
      <c r="AO192" s="1207"/>
      <c r="AP192" s="1207"/>
      <c r="AQ192" s="1207"/>
      <c r="AR192" s="1207"/>
      <c r="AS192" s="1207"/>
      <c r="AT192" s="1207"/>
      <c r="AU192" s="1207"/>
      <c r="AV192" s="1207"/>
      <c r="AW192" s="1207"/>
      <c r="AX192" s="1207"/>
      <c r="AY192" s="1207"/>
      <c r="AZ192" s="1207"/>
      <c r="BA192" s="1207"/>
      <c r="BB192" s="1207"/>
      <c r="BC192" s="1207"/>
      <c r="BD192" s="1207"/>
      <c r="BE192" s="1207"/>
      <c r="BF192" s="1207"/>
      <c r="BG192" s="1207"/>
      <c r="BH192" s="1207"/>
      <c r="BI192" s="1207"/>
      <c r="BJ192" s="1207"/>
      <c r="BK192" s="1207"/>
      <c r="BL192" s="1207"/>
      <c r="BM192" s="1207"/>
      <c r="BN192" s="1207"/>
      <c r="BO192" s="1207"/>
      <c r="BP192" s="1207"/>
      <c r="BQ192" s="1207"/>
      <c r="BR192" s="1207"/>
      <c r="BS192" s="1207"/>
      <c r="BT192" s="1207"/>
      <c r="BU192" s="1207"/>
      <c r="BV192" s="1207"/>
      <c r="BW192" s="1207"/>
      <c r="BX192" s="1207"/>
      <c r="BY192" s="1207"/>
      <c r="BZ192" s="1207"/>
      <c r="CA192" s="1207"/>
      <c r="CB192" s="1207"/>
      <c r="CC192" s="1207"/>
      <c r="CD192" s="1207"/>
      <c r="CE192" s="1207"/>
      <c r="CF192" s="1207"/>
    </row>
    <row r="193" spans="1:84" ht="105" x14ac:dyDescent="0.25">
      <c r="A193" s="1355">
        <v>2022199</v>
      </c>
      <c r="B193" s="1172">
        <v>7655</v>
      </c>
      <c r="C193" s="1356" t="s">
        <v>668</v>
      </c>
      <c r="D193" s="1190" t="s">
        <v>682</v>
      </c>
      <c r="E193" s="1174">
        <v>80111600</v>
      </c>
      <c r="F193" s="1380" t="s">
        <v>880</v>
      </c>
      <c r="G193" s="1381">
        <v>44566</v>
      </c>
      <c r="H193" s="1381">
        <v>44568</v>
      </c>
      <c r="I193" s="1176">
        <v>11.5</v>
      </c>
      <c r="J193" s="1176" t="s">
        <v>673</v>
      </c>
      <c r="K193" s="1177" t="s">
        <v>674</v>
      </c>
      <c r="L193" s="1178" t="s">
        <v>675</v>
      </c>
      <c r="M193" s="1179">
        <v>38525000</v>
      </c>
      <c r="N193" s="1382" t="s">
        <v>781</v>
      </c>
      <c r="O193" s="1174" t="s">
        <v>771</v>
      </c>
      <c r="P193" s="1207" t="s">
        <v>678</v>
      </c>
      <c r="Q193" s="1163"/>
      <c r="R193" s="1269">
        <v>38525000</v>
      </c>
      <c r="S193" s="1357">
        <v>38525000</v>
      </c>
      <c r="T193" s="1357">
        <f>+Tabla16[[#This Row],[CDPS A 31 JULIO 2022]]-Tabla16[[#This Row],[CDP]]</f>
        <v>0</v>
      </c>
      <c r="U193" s="1357">
        <v>38525000</v>
      </c>
      <c r="V193" s="1357">
        <v>14963333</v>
      </c>
      <c r="W193" s="135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07"/>
      <c r="BF193" s="1207"/>
      <c r="BG193" s="1207"/>
      <c r="BH193" s="1207"/>
      <c r="BI193" s="1207"/>
      <c r="BJ193" s="1207"/>
      <c r="BK193" s="1207"/>
      <c r="BL193" s="1207"/>
      <c r="BM193" s="1207"/>
      <c r="BN193" s="1207"/>
      <c r="BO193" s="1207"/>
      <c r="BP193" s="1207"/>
      <c r="BQ193" s="1207"/>
      <c r="BR193" s="1207"/>
      <c r="BS193" s="1207"/>
      <c r="BT193" s="1207"/>
      <c r="BU193" s="1207"/>
      <c r="BV193" s="1207"/>
      <c r="BW193" s="1207"/>
      <c r="BX193" s="1207"/>
      <c r="BY193" s="1207"/>
      <c r="BZ193" s="1207"/>
      <c r="CA193" s="1207"/>
      <c r="CB193" s="1207"/>
      <c r="CC193" s="1207"/>
      <c r="CD193" s="1207"/>
      <c r="CE193" s="1207"/>
      <c r="CF193" s="1207"/>
    </row>
    <row r="194" spans="1:84" ht="105" x14ac:dyDescent="0.25">
      <c r="A194" s="1355">
        <v>2022200</v>
      </c>
      <c r="B194" s="1172">
        <v>7655</v>
      </c>
      <c r="C194" s="1356" t="s">
        <v>668</v>
      </c>
      <c r="D194" s="1190" t="s">
        <v>682</v>
      </c>
      <c r="E194" s="1174">
        <v>80111600</v>
      </c>
      <c r="F194" s="1380" t="s">
        <v>881</v>
      </c>
      <c r="G194" s="1381">
        <v>44566</v>
      </c>
      <c r="H194" s="1381">
        <v>44568</v>
      </c>
      <c r="I194" s="1176">
        <v>11.5</v>
      </c>
      <c r="J194" s="1176" t="s">
        <v>673</v>
      </c>
      <c r="K194" s="1177" t="s">
        <v>674</v>
      </c>
      <c r="L194" s="1178" t="s">
        <v>675</v>
      </c>
      <c r="M194" s="1179">
        <v>32200000</v>
      </c>
      <c r="N194" s="1382" t="s">
        <v>781</v>
      </c>
      <c r="O194" s="1174" t="s">
        <v>771</v>
      </c>
      <c r="P194" s="1207" t="s">
        <v>678</v>
      </c>
      <c r="Q194" s="1163"/>
      <c r="R194" s="1269">
        <v>32200000</v>
      </c>
      <c r="S194" s="1357">
        <v>32200000</v>
      </c>
      <c r="T194" s="1357">
        <f>+Tabla16[[#This Row],[CDPS A 31 JULIO 2022]]-Tabla16[[#This Row],[CDP]]</f>
        <v>0</v>
      </c>
      <c r="U194" s="1357">
        <v>32200000</v>
      </c>
      <c r="V194" s="1357">
        <v>12973333</v>
      </c>
      <c r="W194" s="1357"/>
      <c r="X194" s="1207"/>
      <c r="Y194" s="1207"/>
      <c r="Z194" s="1207"/>
      <c r="AA194" s="1207"/>
      <c r="AB194" s="1207"/>
      <c r="AC194" s="1207"/>
      <c r="AD194" s="1207"/>
      <c r="AE194" s="1207"/>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07"/>
      <c r="BF194" s="1207"/>
      <c r="BG194" s="1207"/>
      <c r="BH194" s="1207"/>
      <c r="BI194" s="1207"/>
      <c r="BJ194" s="1207"/>
      <c r="BK194" s="1207"/>
      <c r="BL194" s="1207"/>
      <c r="BM194" s="1207"/>
      <c r="BN194" s="1207"/>
      <c r="BO194" s="1207"/>
      <c r="BP194" s="1207"/>
      <c r="BQ194" s="1207"/>
      <c r="BR194" s="1207"/>
      <c r="BS194" s="1207"/>
      <c r="BT194" s="1207"/>
      <c r="BU194" s="1207"/>
      <c r="BV194" s="1207"/>
      <c r="BW194" s="1207"/>
      <c r="BX194" s="1207"/>
      <c r="BY194" s="1207"/>
      <c r="BZ194" s="1207"/>
      <c r="CA194" s="1207"/>
      <c r="CB194" s="1207"/>
      <c r="CC194" s="1207"/>
      <c r="CD194" s="1207"/>
      <c r="CE194" s="1207"/>
      <c r="CF194" s="1207"/>
    </row>
    <row r="195" spans="1:84" ht="105" x14ac:dyDescent="0.25">
      <c r="A195" s="1355">
        <v>2022201</v>
      </c>
      <c r="B195" s="1172">
        <v>7655</v>
      </c>
      <c r="C195" s="1356" t="s">
        <v>668</v>
      </c>
      <c r="D195" s="1190" t="s">
        <v>682</v>
      </c>
      <c r="E195" s="1174">
        <v>80111600</v>
      </c>
      <c r="F195" s="1380" t="s">
        <v>881</v>
      </c>
      <c r="G195" s="1381">
        <v>44566</v>
      </c>
      <c r="H195" s="1381">
        <v>44568</v>
      </c>
      <c r="I195" s="1176">
        <v>11.5</v>
      </c>
      <c r="J195" s="1176" t="s">
        <v>673</v>
      </c>
      <c r="K195" s="1177" t="s">
        <v>674</v>
      </c>
      <c r="L195" s="1178" t="s">
        <v>675</v>
      </c>
      <c r="M195" s="1179">
        <v>32200000</v>
      </c>
      <c r="N195" s="1382" t="s">
        <v>781</v>
      </c>
      <c r="O195" s="1174" t="s">
        <v>771</v>
      </c>
      <c r="P195" s="1207" t="s">
        <v>678</v>
      </c>
      <c r="Q195" s="1163"/>
      <c r="R195" s="1269">
        <v>32200000</v>
      </c>
      <c r="S195" s="1357">
        <v>32200000</v>
      </c>
      <c r="T195" s="1357">
        <f>+Tabla16[[#This Row],[CDPS A 31 JULIO 2022]]-Tabla16[[#This Row],[CDP]]</f>
        <v>0</v>
      </c>
      <c r="U195" s="1357">
        <v>32200000</v>
      </c>
      <c r="V195" s="1357">
        <v>12786667</v>
      </c>
      <c r="W195" s="1357"/>
      <c r="X195" s="1207"/>
      <c r="Y195" s="1207"/>
      <c r="Z195" s="1207"/>
      <c r="AA195" s="1207"/>
      <c r="AB195" s="1207"/>
      <c r="AC195" s="1207"/>
      <c r="AD195" s="1207"/>
      <c r="AE195" s="1207"/>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07"/>
      <c r="BF195" s="1207"/>
      <c r="BG195" s="1207"/>
      <c r="BH195" s="1207"/>
      <c r="BI195" s="1207"/>
      <c r="BJ195" s="1207"/>
      <c r="BK195" s="1207"/>
      <c r="BL195" s="1207"/>
      <c r="BM195" s="1207"/>
      <c r="BN195" s="1207"/>
      <c r="BO195" s="1207"/>
      <c r="BP195" s="1207"/>
      <c r="BQ195" s="1207"/>
      <c r="BR195" s="1207"/>
      <c r="BS195" s="1207"/>
      <c r="BT195" s="1207"/>
      <c r="BU195" s="1207"/>
      <c r="BV195" s="1207"/>
      <c r="BW195" s="1207"/>
      <c r="BX195" s="1207"/>
      <c r="BY195" s="1207"/>
      <c r="BZ195" s="1207"/>
      <c r="CA195" s="1207"/>
      <c r="CB195" s="1207"/>
      <c r="CC195" s="1207"/>
      <c r="CD195" s="1207"/>
      <c r="CE195" s="1207"/>
      <c r="CF195" s="1207"/>
    </row>
    <row r="196" spans="1:84" ht="105" x14ac:dyDescent="0.25">
      <c r="A196" s="1355">
        <v>2022202</v>
      </c>
      <c r="B196" s="1172">
        <v>7655</v>
      </c>
      <c r="C196" s="1356" t="s">
        <v>668</v>
      </c>
      <c r="D196" s="1190" t="s">
        <v>682</v>
      </c>
      <c r="E196" s="1174">
        <v>80111600</v>
      </c>
      <c r="F196" s="1380" t="s">
        <v>881</v>
      </c>
      <c r="G196" s="1381">
        <v>44566</v>
      </c>
      <c r="H196" s="1381">
        <v>44568</v>
      </c>
      <c r="I196" s="1176">
        <v>11.5</v>
      </c>
      <c r="J196" s="1176" t="s">
        <v>673</v>
      </c>
      <c r="K196" s="1177" t="s">
        <v>674</v>
      </c>
      <c r="L196" s="1178" t="s">
        <v>675</v>
      </c>
      <c r="M196" s="1179">
        <v>32200000</v>
      </c>
      <c r="N196" s="1382" t="s">
        <v>781</v>
      </c>
      <c r="O196" s="1174" t="s">
        <v>771</v>
      </c>
      <c r="P196" s="1207" t="s">
        <v>678</v>
      </c>
      <c r="Q196" s="1163"/>
      <c r="R196" s="1269">
        <v>32200000</v>
      </c>
      <c r="S196" s="1357">
        <v>32200000</v>
      </c>
      <c r="T196" s="1357">
        <f>+Tabla16[[#This Row],[CDPS A 31 JULIO 2022]]-Tabla16[[#This Row],[CDP]]</f>
        <v>0</v>
      </c>
      <c r="U196" s="1357">
        <v>32200000</v>
      </c>
      <c r="V196" s="1357">
        <v>11666667</v>
      </c>
      <c r="W196" s="1357"/>
      <c r="X196" s="1207"/>
      <c r="Y196" s="1207"/>
      <c r="Z196" s="1207"/>
      <c r="AA196" s="1207"/>
      <c r="AB196" s="1207"/>
      <c r="AC196" s="1207"/>
      <c r="AD196" s="1207"/>
      <c r="AE196" s="1207"/>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07"/>
      <c r="BF196" s="1207"/>
      <c r="BG196" s="1207"/>
      <c r="BH196" s="1207"/>
      <c r="BI196" s="1207"/>
      <c r="BJ196" s="1207"/>
      <c r="BK196" s="1207"/>
      <c r="BL196" s="1207"/>
      <c r="BM196" s="1207"/>
      <c r="BN196" s="1207"/>
      <c r="BO196" s="1207"/>
      <c r="BP196" s="1207"/>
      <c r="BQ196" s="1207"/>
      <c r="BR196" s="1207"/>
      <c r="BS196" s="1207"/>
      <c r="BT196" s="1207"/>
      <c r="BU196" s="1207"/>
      <c r="BV196" s="1207"/>
      <c r="BW196" s="1207"/>
      <c r="BX196" s="1207"/>
      <c r="BY196" s="1207"/>
      <c r="BZ196" s="1207"/>
      <c r="CA196" s="1207"/>
      <c r="CB196" s="1207"/>
      <c r="CC196" s="1207"/>
      <c r="CD196" s="1207"/>
      <c r="CE196" s="1207"/>
      <c r="CF196" s="1207"/>
    </row>
    <row r="197" spans="1:84" ht="105" x14ac:dyDescent="0.25">
      <c r="A197" s="1355">
        <v>2022203</v>
      </c>
      <c r="B197" s="1172">
        <v>7655</v>
      </c>
      <c r="C197" s="1356" t="s">
        <v>668</v>
      </c>
      <c r="D197" s="1190" t="s">
        <v>682</v>
      </c>
      <c r="E197" s="1174">
        <v>80111600</v>
      </c>
      <c r="F197" s="1380" t="s">
        <v>881</v>
      </c>
      <c r="G197" s="1381">
        <v>44566</v>
      </c>
      <c r="H197" s="1381">
        <v>44568</v>
      </c>
      <c r="I197" s="1176">
        <v>11.5</v>
      </c>
      <c r="J197" s="1176" t="s">
        <v>673</v>
      </c>
      <c r="K197" s="1177" t="s">
        <v>674</v>
      </c>
      <c r="L197" s="1178" t="s">
        <v>675</v>
      </c>
      <c r="M197" s="1179">
        <v>37950000</v>
      </c>
      <c r="N197" s="1382" t="s">
        <v>781</v>
      </c>
      <c r="O197" s="1174" t="s">
        <v>771</v>
      </c>
      <c r="P197" s="1207" t="s">
        <v>678</v>
      </c>
      <c r="Q197" s="1163"/>
      <c r="R197" s="1269">
        <v>37950000</v>
      </c>
      <c r="S197" s="1357">
        <v>37950000</v>
      </c>
      <c r="T197" s="1357">
        <f>+Tabla16[[#This Row],[CDPS A 31 JULIO 2022]]-Tabla16[[#This Row],[CDP]]</f>
        <v>0</v>
      </c>
      <c r="U197" s="1357">
        <v>37950000</v>
      </c>
      <c r="V197" s="1357">
        <v>15180000</v>
      </c>
      <c r="W197" s="1357"/>
      <c r="X197" s="1207"/>
      <c r="Y197" s="1207"/>
      <c r="Z197" s="1207"/>
      <c r="AA197" s="1207"/>
      <c r="AB197" s="1207"/>
      <c r="AC197" s="1207"/>
      <c r="AD197" s="1207"/>
      <c r="AE197" s="1207"/>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07"/>
      <c r="BF197" s="1207"/>
      <c r="BG197" s="1207"/>
      <c r="BH197" s="1207"/>
      <c r="BI197" s="1207"/>
      <c r="BJ197" s="1207"/>
      <c r="BK197" s="1207"/>
      <c r="BL197" s="1207"/>
      <c r="BM197" s="1207"/>
      <c r="BN197" s="1207"/>
      <c r="BO197" s="1207"/>
      <c r="BP197" s="1207"/>
      <c r="BQ197" s="1207"/>
      <c r="BR197" s="1207"/>
      <c r="BS197" s="1207"/>
      <c r="BT197" s="1207"/>
      <c r="BU197" s="1207"/>
      <c r="BV197" s="1207"/>
      <c r="BW197" s="1207"/>
      <c r="BX197" s="1207"/>
      <c r="BY197" s="1207"/>
      <c r="BZ197" s="1207"/>
      <c r="CA197" s="1207"/>
      <c r="CB197" s="1207"/>
      <c r="CC197" s="1207"/>
      <c r="CD197" s="1207"/>
      <c r="CE197" s="1207"/>
      <c r="CF197" s="1207"/>
    </row>
    <row r="198" spans="1:84" ht="105" x14ac:dyDescent="0.25">
      <c r="A198" s="1355">
        <v>2022204</v>
      </c>
      <c r="B198" s="1172">
        <v>7655</v>
      </c>
      <c r="C198" s="1356" t="s">
        <v>668</v>
      </c>
      <c r="D198" s="1190" t="s">
        <v>682</v>
      </c>
      <c r="E198" s="1174">
        <v>80111600</v>
      </c>
      <c r="F198" s="1380" t="s">
        <v>882</v>
      </c>
      <c r="G198" s="1381">
        <v>44566</v>
      </c>
      <c r="H198" s="1381">
        <v>44568</v>
      </c>
      <c r="I198" s="1176">
        <v>11.5</v>
      </c>
      <c r="J198" s="1176" t="s">
        <v>673</v>
      </c>
      <c r="K198" s="1177" t="s">
        <v>674</v>
      </c>
      <c r="L198" s="1178" t="s">
        <v>675</v>
      </c>
      <c r="M198" s="1179">
        <f>52900000-1150000</f>
        <v>51750000</v>
      </c>
      <c r="N198" s="1382" t="s">
        <v>781</v>
      </c>
      <c r="O198" s="1174" t="s">
        <v>771</v>
      </c>
      <c r="P198" s="1207" t="s">
        <v>678</v>
      </c>
      <c r="Q198" s="1163"/>
      <c r="R198" s="1269">
        <v>51750000</v>
      </c>
      <c r="S198" s="1357">
        <v>51750000</v>
      </c>
      <c r="T198" s="1357">
        <f>+Tabla16[[#This Row],[CDPS A 31 JULIO 2022]]-Tabla16[[#This Row],[CDP]]</f>
        <v>0</v>
      </c>
      <c r="U198" s="1357">
        <v>51750000</v>
      </c>
      <c r="V198" s="1357">
        <v>20850000</v>
      </c>
      <c r="W198" s="1357"/>
      <c r="X198" s="1207"/>
      <c r="Y198" s="1207"/>
      <c r="Z198" s="1207"/>
      <c r="AA198" s="1207"/>
      <c r="AB198" s="1207"/>
      <c r="AC198" s="1207"/>
      <c r="AD198" s="1207"/>
      <c r="AE198" s="1207"/>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07"/>
      <c r="BF198" s="1207"/>
      <c r="BG198" s="1207"/>
      <c r="BH198" s="1207"/>
      <c r="BI198" s="1207"/>
      <c r="BJ198" s="1207"/>
      <c r="BK198" s="1207"/>
      <c r="BL198" s="1207"/>
      <c r="BM198" s="1207"/>
      <c r="BN198" s="1207"/>
      <c r="BO198" s="1207"/>
      <c r="BP198" s="1207"/>
      <c r="BQ198" s="1207"/>
      <c r="BR198" s="1207"/>
      <c r="BS198" s="1207"/>
      <c r="BT198" s="1207"/>
      <c r="BU198" s="1207"/>
      <c r="BV198" s="1207"/>
      <c r="BW198" s="1207"/>
      <c r="BX198" s="1207"/>
      <c r="BY198" s="1207"/>
      <c r="BZ198" s="1207"/>
      <c r="CA198" s="1207"/>
      <c r="CB198" s="1207"/>
      <c r="CC198" s="1207"/>
      <c r="CD198" s="1207"/>
      <c r="CE198" s="1207"/>
      <c r="CF198" s="1207"/>
    </row>
    <row r="199" spans="1:84" ht="105" x14ac:dyDescent="0.25">
      <c r="A199" s="1355">
        <v>2022205</v>
      </c>
      <c r="B199" s="1172">
        <v>7655</v>
      </c>
      <c r="C199" s="1356" t="s">
        <v>668</v>
      </c>
      <c r="D199" s="1190" t="s">
        <v>682</v>
      </c>
      <c r="E199" s="1174">
        <v>80111600</v>
      </c>
      <c r="F199" s="1380" t="s">
        <v>883</v>
      </c>
      <c r="G199" s="1381">
        <v>44566</v>
      </c>
      <c r="H199" s="1381">
        <v>44568</v>
      </c>
      <c r="I199" s="1176">
        <v>6</v>
      </c>
      <c r="J199" s="1176" t="s">
        <v>673</v>
      </c>
      <c r="K199" s="1177" t="s">
        <v>674</v>
      </c>
      <c r="L199" s="1178" t="s">
        <v>675</v>
      </c>
      <c r="M199" s="1179">
        <v>37080000</v>
      </c>
      <c r="N199" s="1382" t="s">
        <v>781</v>
      </c>
      <c r="O199" s="1174" t="s">
        <v>771</v>
      </c>
      <c r="P199" s="1207" t="s">
        <v>678</v>
      </c>
      <c r="Q199" s="1163"/>
      <c r="R199" s="1269">
        <v>37080000</v>
      </c>
      <c r="S199" s="1357">
        <v>37080000</v>
      </c>
      <c r="T199" s="1357">
        <f>+Tabla16[[#This Row],[CDPS A 31 JULIO 2022]]-Tabla16[[#This Row],[CDP]]</f>
        <v>0</v>
      </c>
      <c r="U199" s="1357">
        <v>37080000</v>
      </c>
      <c r="V199" s="1357">
        <v>28428000</v>
      </c>
      <c r="W199" s="1357"/>
      <c r="X199" s="1207"/>
      <c r="Y199" s="1207"/>
      <c r="Z199" s="1207"/>
      <c r="AA199" s="1207"/>
      <c r="AB199" s="1207"/>
      <c r="AC199" s="1207"/>
      <c r="AD199" s="1207"/>
      <c r="AE199" s="1207"/>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07"/>
      <c r="BF199" s="1207"/>
      <c r="BG199" s="1207"/>
      <c r="BH199" s="1207"/>
      <c r="BI199" s="1207"/>
      <c r="BJ199" s="1207"/>
      <c r="BK199" s="1207"/>
      <c r="BL199" s="1207"/>
      <c r="BM199" s="1207"/>
      <c r="BN199" s="1207"/>
      <c r="BO199" s="1207"/>
      <c r="BP199" s="1207"/>
      <c r="BQ199" s="1207"/>
      <c r="BR199" s="1207"/>
      <c r="BS199" s="1207"/>
      <c r="BT199" s="1207"/>
      <c r="BU199" s="1207"/>
      <c r="BV199" s="1207"/>
      <c r="BW199" s="1207"/>
      <c r="BX199" s="1207"/>
      <c r="BY199" s="1207"/>
      <c r="BZ199" s="1207"/>
      <c r="CA199" s="1207"/>
      <c r="CB199" s="1207"/>
      <c r="CC199" s="1207"/>
      <c r="CD199" s="1207"/>
      <c r="CE199" s="1207"/>
      <c r="CF199" s="1207"/>
    </row>
    <row r="200" spans="1:84" ht="105" x14ac:dyDescent="0.25">
      <c r="A200" s="1355">
        <v>2022206</v>
      </c>
      <c r="B200" s="1172">
        <v>7655</v>
      </c>
      <c r="C200" s="1356" t="s">
        <v>668</v>
      </c>
      <c r="D200" s="1190" t="s">
        <v>682</v>
      </c>
      <c r="E200" s="1174">
        <v>80111600</v>
      </c>
      <c r="F200" s="1380" t="s">
        <v>884</v>
      </c>
      <c r="G200" s="1381">
        <v>44566</v>
      </c>
      <c r="H200" s="1381">
        <v>44568</v>
      </c>
      <c r="I200" s="1176">
        <v>6</v>
      </c>
      <c r="J200" s="1176" t="s">
        <v>673</v>
      </c>
      <c r="K200" s="1177" t="s">
        <v>674</v>
      </c>
      <c r="L200" s="1178" t="s">
        <v>675</v>
      </c>
      <c r="M200" s="1179">
        <v>16800000</v>
      </c>
      <c r="N200" s="1382" t="s">
        <v>781</v>
      </c>
      <c r="O200" s="1174" t="s">
        <v>771</v>
      </c>
      <c r="P200" s="1207" t="s">
        <v>678</v>
      </c>
      <c r="Q200" s="1163"/>
      <c r="R200" s="1269">
        <v>16800000</v>
      </c>
      <c r="S200" s="1357">
        <v>16800000</v>
      </c>
      <c r="T200" s="1357">
        <f>+Tabla16[[#This Row],[CDPS A 31 JULIO 2022]]-Tabla16[[#This Row],[CDP]]</f>
        <v>0</v>
      </c>
      <c r="U200" s="1357">
        <v>16800000</v>
      </c>
      <c r="V200" s="1357">
        <v>12880000</v>
      </c>
      <c r="W200" s="135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07"/>
      <c r="BF200" s="1207"/>
      <c r="BG200" s="1207"/>
      <c r="BH200" s="1207"/>
      <c r="BI200" s="1207"/>
      <c r="BJ200" s="1207"/>
      <c r="BK200" s="1207"/>
      <c r="BL200" s="1207"/>
      <c r="BM200" s="1207"/>
      <c r="BN200" s="1207"/>
      <c r="BO200" s="1207"/>
      <c r="BP200" s="1207"/>
      <c r="BQ200" s="1207"/>
      <c r="BR200" s="1207"/>
      <c r="BS200" s="1207"/>
      <c r="BT200" s="1207"/>
      <c r="BU200" s="1207"/>
      <c r="BV200" s="1207"/>
      <c r="BW200" s="1207"/>
      <c r="BX200" s="1207"/>
      <c r="BY200" s="1207"/>
      <c r="BZ200" s="1207"/>
      <c r="CA200" s="1207"/>
      <c r="CB200" s="1207"/>
      <c r="CC200" s="1207"/>
      <c r="CD200" s="1207"/>
      <c r="CE200" s="1207"/>
      <c r="CF200" s="1207"/>
    </row>
    <row r="201" spans="1:84" ht="105" x14ac:dyDescent="0.25">
      <c r="A201" s="1355">
        <v>2022207</v>
      </c>
      <c r="B201" s="1172">
        <v>7655</v>
      </c>
      <c r="C201" s="1356" t="s">
        <v>668</v>
      </c>
      <c r="D201" s="1190" t="s">
        <v>682</v>
      </c>
      <c r="E201" s="1174">
        <v>80111600</v>
      </c>
      <c r="F201" s="1380" t="s">
        <v>885</v>
      </c>
      <c r="G201" s="1381">
        <v>44566</v>
      </c>
      <c r="H201" s="1381">
        <v>44568</v>
      </c>
      <c r="I201" s="1176">
        <v>3.5</v>
      </c>
      <c r="J201" s="1176" t="s">
        <v>673</v>
      </c>
      <c r="K201" s="1177" t="s">
        <v>674</v>
      </c>
      <c r="L201" s="1178" t="s">
        <v>675</v>
      </c>
      <c r="M201" s="1179">
        <v>17500000</v>
      </c>
      <c r="N201" s="1382" t="s">
        <v>781</v>
      </c>
      <c r="O201" s="1174" t="s">
        <v>771</v>
      </c>
      <c r="P201" s="1207" t="s">
        <v>678</v>
      </c>
      <c r="Q201" s="1163"/>
      <c r="R201" s="1269">
        <v>17500000</v>
      </c>
      <c r="S201" s="1357">
        <v>17500000</v>
      </c>
      <c r="T201" s="1357">
        <f>+Tabla16[[#This Row],[CDPS A 31 JULIO 2022]]-Tabla16[[#This Row],[CDP]]</f>
        <v>0</v>
      </c>
      <c r="U201" s="1357">
        <v>17500000</v>
      </c>
      <c r="V201" s="1357">
        <v>17500000</v>
      </c>
      <c r="W201" s="1357"/>
      <c r="X201" s="1207"/>
      <c r="Y201" s="1207"/>
      <c r="Z201" s="1207"/>
      <c r="AA201" s="1207"/>
      <c r="AB201" s="1207"/>
      <c r="AC201" s="1207"/>
      <c r="AD201" s="1207"/>
      <c r="AE201" s="1207"/>
      <c r="AF201" s="1207"/>
      <c r="AG201" s="1207"/>
      <c r="AH201" s="1207"/>
      <c r="AI201" s="1207"/>
      <c r="AJ201" s="1207"/>
      <c r="AK201" s="1207"/>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07"/>
      <c r="BF201" s="1207"/>
      <c r="BG201" s="1207"/>
      <c r="BH201" s="1207"/>
      <c r="BI201" s="1207"/>
      <c r="BJ201" s="1207"/>
      <c r="BK201" s="1207"/>
      <c r="BL201" s="1207"/>
      <c r="BM201" s="1207"/>
      <c r="BN201" s="1207"/>
      <c r="BO201" s="1207"/>
      <c r="BP201" s="1207"/>
      <c r="BQ201" s="1207"/>
      <c r="BR201" s="1207"/>
      <c r="BS201" s="1207"/>
      <c r="BT201" s="1207"/>
      <c r="BU201" s="1207"/>
      <c r="BV201" s="1207"/>
      <c r="BW201" s="1207"/>
      <c r="BX201" s="1207"/>
      <c r="BY201" s="1207"/>
      <c r="BZ201" s="1207"/>
      <c r="CA201" s="1207"/>
      <c r="CB201" s="1207"/>
      <c r="CC201" s="1207"/>
      <c r="CD201" s="1207"/>
      <c r="CE201" s="1207"/>
      <c r="CF201" s="1207"/>
    </row>
    <row r="202" spans="1:84" ht="105" x14ac:dyDescent="0.25">
      <c r="A202" s="1355">
        <v>2022208</v>
      </c>
      <c r="B202" s="1172">
        <v>7655</v>
      </c>
      <c r="C202" s="1356" t="s">
        <v>668</v>
      </c>
      <c r="D202" s="1190" t="s">
        <v>671</v>
      </c>
      <c r="E202" s="1174">
        <v>80111600</v>
      </c>
      <c r="F202" s="1380" t="s">
        <v>886</v>
      </c>
      <c r="G202" s="1381">
        <v>44562</v>
      </c>
      <c r="H202" s="1381">
        <v>44592</v>
      </c>
      <c r="I202" s="1176">
        <v>11.5</v>
      </c>
      <c r="J202" s="1176" t="s">
        <v>673</v>
      </c>
      <c r="K202" s="1177" t="s">
        <v>674</v>
      </c>
      <c r="L202" s="1178" t="s">
        <v>675</v>
      </c>
      <c r="M202" s="1179">
        <f>106950000-4650000</f>
        <v>102300000</v>
      </c>
      <c r="N202" s="1382" t="s">
        <v>781</v>
      </c>
      <c r="O202" s="1174" t="s">
        <v>771</v>
      </c>
      <c r="P202" s="1207" t="s">
        <v>678</v>
      </c>
      <c r="Q202" s="1163"/>
      <c r="R202" s="1269">
        <v>102300000</v>
      </c>
      <c r="S202" s="1357">
        <v>102300000</v>
      </c>
      <c r="T202" s="1357">
        <f>+Tabla16[[#This Row],[CDPS A 31 JULIO 2022]]-Tabla16[[#This Row],[CDP]]</f>
        <v>0</v>
      </c>
      <c r="U202" s="1357">
        <v>102300000</v>
      </c>
      <c r="V202" s="1357">
        <v>38130000</v>
      </c>
      <c r="W202" s="1357"/>
      <c r="X202" s="1207"/>
      <c r="Y202" s="1207"/>
      <c r="Z202" s="1207"/>
      <c r="AA202" s="1207"/>
      <c r="AB202" s="1207"/>
      <c r="AC202" s="1207"/>
      <c r="AD202" s="1207"/>
      <c r="AE202" s="1207"/>
      <c r="AF202" s="1207"/>
      <c r="AG202" s="1207"/>
      <c r="AH202" s="1207"/>
      <c r="AI202" s="1207"/>
      <c r="AJ202" s="1207"/>
      <c r="AK202" s="1207"/>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07"/>
      <c r="BF202" s="1207"/>
      <c r="BG202" s="1207"/>
      <c r="BH202" s="1207"/>
      <c r="BI202" s="1207"/>
      <c r="BJ202" s="1207"/>
      <c r="BK202" s="1207"/>
      <c r="BL202" s="1207"/>
      <c r="BM202" s="1207"/>
      <c r="BN202" s="1207"/>
      <c r="BO202" s="1207"/>
      <c r="BP202" s="1207"/>
      <c r="BQ202" s="1207"/>
      <c r="BR202" s="1207"/>
      <c r="BS202" s="1207"/>
      <c r="BT202" s="1207"/>
      <c r="BU202" s="1207"/>
      <c r="BV202" s="1207"/>
      <c r="BW202" s="1207"/>
      <c r="BX202" s="1207"/>
      <c r="BY202" s="1207"/>
      <c r="BZ202" s="1207"/>
      <c r="CA202" s="1207"/>
      <c r="CB202" s="1207"/>
      <c r="CC202" s="1207"/>
      <c r="CD202" s="1207"/>
      <c r="CE202" s="1207"/>
      <c r="CF202" s="1207"/>
    </row>
    <row r="203" spans="1:84" ht="105" x14ac:dyDescent="0.25">
      <c r="A203" s="1355">
        <v>2022209</v>
      </c>
      <c r="B203" s="1172">
        <v>7655</v>
      </c>
      <c r="C203" s="1356" t="s">
        <v>668</v>
      </c>
      <c r="D203" s="1190" t="s">
        <v>671</v>
      </c>
      <c r="E203" s="1174">
        <v>80111600</v>
      </c>
      <c r="F203" s="1380" t="s">
        <v>887</v>
      </c>
      <c r="G203" s="1381">
        <v>44562</v>
      </c>
      <c r="H203" s="1381">
        <v>44592</v>
      </c>
      <c r="I203" s="1176">
        <v>11.5</v>
      </c>
      <c r="J203" s="1176" t="s">
        <v>673</v>
      </c>
      <c r="K203" s="1177" t="s">
        <v>674</v>
      </c>
      <c r="L203" s="1178" t="s">
        <v>675</v>
      </c>
      <c r="M203" s="1179">
        <v>97750000</v>
      </c>
      <c r="N203" s="1382" t="s">
        <v>781</v>
      </c>
      <c r="O203" s="1174" t="s">
        <v>771</v>
      </c>
      <c r="P203" s="1207" t="s">
        <v>678</v>
      </c>
      <c r="Q203" s="1163"/>
      <c r="R203" s="1269">
        <v>93500000</v>
      </c>
      <c r="S203" s="1357">
        <v>93500000</v>
      </c>
      <c r="T203" s="1357">
        <f>+Tabla16[[#This Row],[CDPS A 31 JULIO 2022]]-Tabla16[[#This Row],[CDP]]</f>
        <v>0</v>
      </c>
      <c r="U203" s="1357">
        <v>93500000</v>
      </c>
      <c r="V203" s="1357">
        <v>34850000</v>
      </c>
      <c r="W203" s="1357"/>
      <c r="X203" s="1207"/>
      <c r="Y203" s="1207"/>
      <c r="Z203" s="1207"/>
      <c r="AA203" s="1207"/>
      <c r="AB203" s="1207"/>
      <c r="AC203" s="1207"/>
      <c r="AD203" s="1207"/>
      <c r="AE203" s="1207"/>
      <c r="AF203" s="1207"/>
      <c r="AG203" s="1207"/>
      <c r="AH203" s="1207"/>
      <c r="AI203" s="1207"/>
      <c r="AJ203" s="1207"/>
      <c r="AK203" s="1207"/>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07"/>
      <c r="BF203" s="1207"/>
      <c r="BG203" s="1207"/>
      <c r="BH203" s="1207"/>
      <c r="BI203" s="1207"/>
      <c r="BJ203" s="1207"/>
      <c r="BK203" s="1207"/>
      <c r="BL203" s="1207"/>
      <c r="BM203" s="1207"/>
      <c r="BN203" s="1207"/>
      <c r="BO203" s="1207"/>
      <c r="BP203" s="1207"/>
      <c r="BQ203" s="1207"/>
      <c r="BR203" s="1207"/>
      <c r="BS203" s="1207"/>
      <c r="BT203" s="1207"/>
      <c r="BU203" s="1207"/>
      <c r="BV203" s="1207"/>
      <c r="BW203" s="1207"/>
      <c r="BX203" s="1207"/>
      <c r="BY203" s="1207"/>
      <c r="BZ203" s="1207"/>
      <c r="CA203" s="1207"/>
      <c r="CB203" s="1207"/>
      <c r="CC203" s="1207"/>
      <c r="CD203" s="1207"/>
      <c r="CE203" s="1207"/>
      <c r="CF203" s="1207"/>
    </row>
    <row r="204" spans="1:84" ht="105" x14ac:dyDescent="0.25">
      <c r="A204" s="1355">
        <v>2022210</v>
      </c>
      <c r="B204" s="1172">
        <v>7655</v>
      </c>
      <c r="C204" s="1356" t="s">
        <v>668</v>
      </c>
      <c r="D204" s="1190" t="s">
        <v>671</v>
      </c>
      <c r="E204" s="1174">
        <v>80111600</v>
      </c>
      <c r="F204" s="1380" t="s">
        <v>888</v>
      </c>
      <c r="G204" s="1381">
        <v>44562</v>
      </c>
      <c r="H204" s="1381">
        <v>44592</v>
      </c>
      <c r="I204" s="1176">
        <v>11.5</v>
      </c>
      <c r="J204" s="1176" t="s">
        <v>673</v>
      </c>
      <c r="K204" s="1177" t="s">
        <v>674</v>
      </c>
      <c r="L204" s="1178" t="s">
        <v>675</v>
      </c>
      <c r="M204" s="1179">
        <f>92000000-24000000</f>
        <v>68000000</v>
      </c>
      <c r="N204" s="1382" t="s">
        <v>781</v>
      </c>
      <c r="O204" s="1174" t="s">
        <v>771</v>
      </c>
      <c r="P204" s="1207" t="s">
        <v>678</v>
      </c>
      <c r="Q204" s="1163"/>
      <c r="R204" s="1269">
        <v>68000000</v>
      </c>
      <c r="S204" s="1357">
        <v>68000000</v>
      </c>
      <c r="T204" s="1357">
        <f>+Tabla16[[#This Row],[CDPS A 31 JULIO 2022]]-Tabla16[[#This Row],[CDP]]</f>
        <v>0</v>
      </c>
      <c r="U204" s="1357">
        <v>68000000</v>
      </c>
      <c r="V204" s="1357">
        <v>37683333</v>
      </c>
      <c r="W204" s="1357"/>
      <c r="X204" s="1207"/>
      <c r="Y204" s="1207"/>
      <c r="Z204" s="1207"/>
      <c r="AA204" s="1207"/>
      <c r="AB204" s="1207"/>
      <c r="AC204" s="1207"/>
      <c r="AD204" s="1207"/>
      <c r="AE204" s="1207"/>
      <c r="AF204" s="1207"/>
      <c r="AG204" s="1207"/>
      <c r="AH204" s="1207"/>
      <c r="AI204" s="1207"/>
      <c r="AJ204" s="1207"/>
      <c r="AK204" s="1207"/>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07"/>
      <c r="BF204" s="1207"/>
      <c r="BG204" s="1207"/>
      <c r="BH204" s="1207"/>
      <c r="BI204" s="1207"/>
      <c r="BJ204" s="1207"/>
      <c r="BK204" s="1207"/>
      <c r="BL204" s="1207"/>
      <c r="BM204" s="1207"/>
      <c r="BN204" s="1207"/>
      <c r="BO204" s="1207"/>
      <c r="BP204" s="1207"/>
      <c r="BQ204" s="1207"/>
      <c r="BR204" s="1207"/>
      <c r="BS204" s="1207"/>
      <c r="BT204" s="1207"/>
      <c r="BU204" s="1207"/>
      <c r="BV204" s="1207"/>
      <c r="BW204" s="1207"/>
      <c r="BX204" s="1207"/>
      <c r="BY204" s="1207"/>
      <c r="BZ204" s="1207"/>
      <c r="CA204" s="1207"/>
      <c r="CB204" s="1207"/>
      <c r="CC204" s="1207"/>
      <c r="CD204" s="1207"/>
      <c r="CE204" s="1207"/>
      <c r="CF204" s="1207"/>
    </row>
    <row r="205" spans="1:84" ht="105" x14ac:dyDescent="0.25">
      <c r="A205" s="1355">
        <v>2022211</v>
      </c>
      <c r="B205" s="1172">
        <v>7655</v>
      </c>
      <c r="C205" s="1356" t="s">
        <v>668</v>
      </c>
      <c r="D205" s="1190" t="s">
        <v>671</v>
      </c>
      <c r="E205" s="1174">
        <v>80111600</v>
      </c>
      <c r="F205" s="1380" t="s">
        <v>889</v>
      </c>
      <c r="G205" s="1381">
        <v>44562</v>
      </c>
      <c r="H205" s="1381">
        <v>44592</v>
      </c>
      <c r="I205" s="1176">
        <v>11.5</v>
      </c>
      <c r="J205" s="1176" t="s">
        <v>673</v>
      </c>
      <c r="K205" s="1177" t="s">
        <v>674</v>
      </c>
      <c r="L205" s="1178" t="s">
        <v>675</v>
      </c>
      <c r="M205" s="1179">
        <v>80500000</v>
      </c>
      <c r="N205" s="1382" t="s">
        <v>781</v>
      </c>
      <c r="O205" s="1174" t="s">
        <v>771</v>
      </c>
      <c r="P205" s="1207" t="s">
        <v>678</v>
      </c>
      <c r="Q205" s="1163"/>
      <c r="R205" s="1269">
        <v>77000000</v>
      </c>
      <c r="S205" s="1357">
        <v>77000000</v>
      </c>
      <c r="T205" s="1357">
        <f>+Tabla16[[#This Row],[CDPS A 31 JULIO 2022]]-Tabla16[[#This Row],[CDP]]</f>
        <v>0</v>
      </c>
      <c r="U205" s="1357">
        <v>77000000</v>
      </c>
      <c r="V205" s="1357">
        <v>28000000</v>
      </c>
      <c r="W205" s="1357"/>
      <c r="X205" s="1207"/>
      <c r="Y205" s="1207"/>
      <c r="Z205" s="1207"/>
      <c r="AA205" s="1207"/>
      <c r="AB205" s="1207"/>
      <c r="AC205" s="1207"/>
      <c r="AD205" s="1207"/>
      <c r="AE205" s="1207"/>
      <c r="AF205" s="1207"/>
      <c r="AG205" s="1207"/>
      <c r="AH205" s="1207"/>
      <c r="AI205" s="1207"/>
      <c r="AJ205" s="1207"/>
      <c r="AK205" s="1207"/>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07"/>
      <c r="BF205" s="1207"/>
      <c r="BG205" s="1207"/>
      <c r="BH205" s="1207"/>
      <c r="BI205" s="1207"/>
      <c r="BJ205" s="1207"/>
      <c r="BK205" s="1207"/>
      <c r="BL205" s="1207"/>
      <c r="BM205" s="1207"/>
      <c r="BN205" s="1207"/>
      <c r="BO205" s="1207"/>
      <c r="BP205" s="1207"/>
      <c r="BQ205" s="1207"/>
      <c r="BR205" s="1207"/>
      <c r="BS205" s="1207"/>
      <c r="BT205" s="1207"/>
      <c r="BU205" s="1207"/>
      <c r="BV205" s="1207"/>
      <c r="BW205" s="1207"/>
      <c r="BX205" s="1207"/>
      <c r="BY205" s="1207"/>
      <c r="BZ205" s="1207"/>
      <c r="CA205" s="1207"/>
      <c r="CB205" s="1207"/>
      <c r="CC205" s="1207"/>
      <c r="CD205" s="1207"/>
      <c r="CE205" s="1207"/>
      <c r="CF205" s="1207"/>
    </row>
    <row r="206" spans="1:84" ht="105" x14ac:dyDescent="0.25">
      <c r="A206" s="1355">
        <v>2022212</v>
      </c>
      <c r="B206" s="1172">
        <v>7655</v>
      </c>
      <c r="C206" s="1356" t="s">
        <v>668</v>
      </c>
      <c r="D206" s="1190" t="s">
        <v>671</v>
      </c>
      <c r="E206" s="1174">
        <v>80111600</v>
      </c>
      <c r="F206" s="1380" t="s">
        <v>890</v>
      </c>
      <c r="G206" s="1381">
        <v>44562</v>
      </c>
      <c r="H206" s="1381">
        <v>44592</v>
      </c>
      <c r="I206" s="1176">
        <v>11.5</v>
      </c>
      <c r="J206" s="1176" t="s">
        <v>673</v>
      </c>
      <c r="K206" s="1177" t="s">
        <v>674</v>
      </c>
      <c r="L206" s="1178" t="s">
        <v>780</v>
      </c>
      <c r="M206" s="1179">
        <f>92000000-24000000</f>
        <v>68000000</v>
      </c>
      <c r="N206" s="1382" t="s">
        <v>781</v>
      </c>
      <c r="O206" s="1174" t="s">
        <v>771</v>
      </c>
      <c r="P206" s="1298" t="s">
        <v>678</v>
      </c>
      <c r="Q206" s="1163"/>
      <c r="R206" s="1269">
        <v>64000000</v>
      </c>
      <c r="S206" s="1357">
        <v>64000000</v>
      </c>
      <c r="T206" s="1357">
        <f>+Tabla16[[#This Row],[CDPS A 31 JULIO 2022]]-Tabla16[[#This Row],[CDP]]</f>
        <v>0</v>
      </c>
      <c r="U206" s="1357">
        <v>64000000</v>
      </c>
      <c r="V206" s="1357">
        <v>32800000</v>
      </c>
      <c r="W206" s="1357"/>
      <c r="X206" s="1207"/>
      <c r="Y206" s="1207"/>
      <c r="Z206" s="1207"/>
      <c r="AA206" s="1207"/>
      <c r="AB206" s="1207"/>
      <c r="AC206" s="1207"/>
      <c r="AD206" s="1207"/>
      <c r="AE206" s="1207"/>
      <c r="AF206" s="1207"/>
      <c r="AG206" s="1207"/>
      <c r="AH206" s="1207"/>
      <c r="AI206" s="1207"/>
      <c r="AJ206" s="1207"/>
      <c r="AK206" s="1207"/>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07"/>
      <c r="BF206" s="1207"/>
      <c r="BG206" s="1207"/>
      <c r="BH206" s="1207"/>
      <c r="BI206" s="1207"/>
      <c r="BJ206" s="1207"/>
      <c r="BK206" s="1207"/>
      <c r="BL206" s="1207"/>
      <c r="BM206" s="1207"/>
      <c r="BN206" s="1207"/>
      <c r="BO206" s="1207"/>
      <c r="BP206" s="1207"/>
      <c r="BQ206" s="1207"/>
      <c r="BR206" s="1207"/>
      <c r="BS206" s="1207"/>
      <c r="BT206" s="1207"/>
      <c r="BU206" s="1207"/>
      <c r="BV206" s="1207"/>
      <c r="BW206" s="1207"/>
      <c r="BX206" s="1207"/>
      <c r="BY206" s="1207"/>
      <c r="BZ206" s="1207"/>
      <c r="CA206" s="1207"/>
      <c r="CB206" s="1207"/>
      <c r="CC206" s="1207"/>
      <c r="CD206" s="1207"/>
      <c r="CE206" s="1207"/>
      <c r="CF206" s="1207"/>
    </row>
    <row r="207" spans="1:84" ht="105" x14ac:dyDescent="0.25">
      <c r="A207" s="1355">
        <v>2022213</v>
      </c>
      <c r="B207" s="1172">
        <v>7655</v>
      </c>
      <c r="C207" s="1356" t="s">
        <v>668</v>
      </c>
      <c r="D207" s="1190" t="s">
        <v>671</v>
      </c>
      <c r="E207" s="1174">
        <v>80111600</v>
      </c>
      <c r="F207" s="1380" t="s">
        <v>891</v>
      </c>
      <c r="G207" s="1381">
        <v>44562</v>
      </c>
      <c r="H207" s="1381">
        <v>44592</v>
      </c>
      <c r="I207" s="1176">
        <v>11.5</v>
      </c>
      <c r="J207" s="1176" t="s">
        <v>673</v>
      </c>
      <c r="K207" s="1177" t="s">
        <v>674</v>
      </c>
      <c r="L207" s="1178" t="s">
        <v>780</v>
      </c>
      <c r="M207" s="1179">
        <v>51750000</v>
      </c>
      <c r="N207" s="1382" t="s">
        <v>781</v>
      </c>
      <c r="O207" s="1174" t="s">
        <v>771</v>
      </c>
      <c r="P207" s="1207" t="s">
        <v>678</v>
      </c>
      <c r="Q207" s="1163"/>
      <c r="R207" s="1269">
        <v>49500000</v>
      </c>
      <c r="S207" s="1357">
        <v>49500000</v>
      </c>
      <c r="T207" s="1357">
        <f>+Tabla16[[#This Row],[CDPS A 31 JULIO 2022]]-Tabla16[[#This Row],[CDP]]</f>
        <v>0</v>
      </c>
      <c r="U207" s="1357">
        <v>49500000</v>
      </c>
      <c r="V207" s="1357">
        <v>18000000</v>
      </c>
      <c r="W207" s="1357"/>
      <c r="X207" s="1207"/>
      <c r="Y207" s="1207"/>
      <c r="Z207" s="1207"/>
      <c r="AA207" s="1207"/>
      <c r="AB207" s="1207"/>
      <c r="AC207" s="1207"/>
      <c r="AD207" s="1207"/>
      <c r="AE207" s="1207"/>
      <c r="AF207" s="1207"/>
      <c r="AG207" s="1207"/>
      <c r="AH207" s="1207"/>
      <c r="AI207" s="1207"/>
      <c r="AJ207" s="1207"/>
      <c r="AK207" s="1207"/>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07"/>
      <c r="BF207" s="1207"/>
      <c r="BG207" s="1207"/>
      <c r="BH207" s="1207"/>
      <c r="BI207" s="1207"/>
      <c r="BJ207" s="1207"/>
      <c r="BK207" s="1207"/>
      <c r="BL207" s="1207"/>
      <c r="BM207" s="1207"/>
      <c r="BN207" s="1207"/>
      <c r="BO207" s="1207"/>
      <c r="BP207" s="1207"/>
      <c r="BQ207" s="1207"/>
      <c r="BR207" s="1207"/>
      <c r="BS207" s="1207"/>
      <c r="BT207" s="1207"/>
      <c r="BU207" s="1207"/>
      <c r="BV207" s="1207"/>
      <c r="BW207" s="1207"/>
      <c r="BX207" s="1207"/>
      <c r="BY207" s="1207"/>
      <c r="BZ207" s="1207"/>
      <c r="CA207" s="1207"/>
      <c r="CB207" s="1207"/>
      <c r="CC207" s="1207"/>
      <c r="CD207" s="1207"/>
      <c r="CE207" s="1207"/>
      <c r="CF207" s="1207"/>
    </row>
    <row r="208" spans="1:84" ht="105" x14ac:dyDescent="0.25">
      <c r="A208" s="1355">
        <v>2022214</v>
      </c>
      <c r="B208" s="1172">
        <v>7655</v>
      </c>
      <c r="C208" s="1356" t="s">
        <v>668</v>
      </c>
      <c r="D208" s="1190" t="s">
        <v>671</v>
      </c>
      <c r="E208" s="1174">
        <v>80111600</v>
      </c>
      <c r="F208" s="1380" t="s">
        <v>892</v>
      </c>
      <c r="G208" s="1381">
        <v>44562</v>
      </c>
      <c r="H208" s="1381">
        <v>44592</v>
      </c>
      <c r="I208" s="1176">
        <v>11.5</v>
      </c>
      <c r="J208" s="1176" t="s">
        <v>673</v>
      </c>
      <c r="K208" s="1177" t="s">
        <v>674</v>
      </c>
      <c r="L208" s="1178" t="s">
        <v>675</v>
      </c>
      <c r="M208" s="1179">
        <f>(4500000*10.6666666)-12000000</f>
        <v>35999999.699999996</v>
      </c>
      <c r="N208" s="1382" t="s">
        <v>781</v>
      </c>
      <c r="O208" s="1174" t="s">
        <v>771</v>
      </c>
      <c r="P208" s="1207" t="s">
        <v>678</v>
      </c>
      <c r="Q208" s="1163"/>
      <c r="R208" s="1269">
        <v>36000000</v>
      </c>
      <c r="S208" s="1357">
        <v>36000000</v>
      </c>
      <c r="T208" s="1357">
        <f>+Tabla16[[#This Row],[CDPS A 31 JULIO 2022]]-Tabla16[[#This Row],[CDP]]</f>
        <v>0</v>
      </c>
      <c r="U208" s="1357">
        <v>36000000</v>
      </c>
      <c r="V208" s="1357">
        <v>18000000</v>
      </c>
      <c r="W208" s="1357"/>
      <c r="X208" s="1207"/>
      <c r="Y208" s="1207"/>
      <c r="Z208" s="1207"/>
      <c r="AA208" s="1207"/>
      <c r="AB208" s="1207"/>
      <c r="AC208" s="1207"/>
      <c r="AD208" s="1207"/>
      <c r="AE208" s="1207"/>
      <c r="AF208" s="1207"/>
      <c r="AG208" s="1207"/>
      <c r="AH208" s="1207"/>
      <c r="AI208" s="1207"/>
      <c r="AJ208" s="1207"/>
      <c r="AK208" s="1207"/>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07"/>
      <c r="BF208" s="1207"/>
      <c r="BG208" s="1207"/>
      <c r="BH208" s="1207"/>
      <c r="BI208" s="1207"/>
      <c r="BJ208" s="1207"/>
      <c r="BK208" s="1207"/>
      <c r="BL208" s="1207"/>
      <c r="BM208" s="1207"/>
      <c r="BN208" s="1207"/>
      <c r="BO208" s="1207"/>
      <c r="BP208" s="1207"/>
      <c r="BQ208" s="1207"/>
      <c r="BR208" s="1207"/>
      <c r="BS208" s="1207"/>
      <c r="BT208" s="1207"/>
      <c r="BU208" s="1207"/>
      <c r="BV208" s="1207"/>
      <c r="BW208" s="1207"/>
      <c r="BX208" s="1207"/>
      <c r="BY208" s="1207"/>
      <c r="BZ208" s="1207"/>
      <c r="CA208" s="1207"/>
      <c r="CB208" s="1207"/>
      <c r="CC208" s="1207"/>
      <c r="CD208" s="1207"/>
      <c r="CE208" s="1207"/>
      <c r="CF208" s="1207"/>
    </row>
    <row r="209" spans="1:84" ht="105" x14ac:dyDescent="0.25">
      <c r="A209" s="1355">
        <v>2022215</v>
      </c>
      <c r="B209" s="1172">
        <v>7655</v>
      </c>
      <c r="C209" s="1356" t="s">
        <v>668</v>
      </c>
      <c r="D209" s="1190" t="s">
        <v>671</v>
      </c>
      <c r="E209" s="1174">
        <v>80111600</v>
      </c>
      <c r="F209" s="1380" t="s">
        <v>893</v>
      </c>
      <c r="G209" s="1381">
        <v>44562</v>
      </c>
      <c r="H209" s="1381">
        <v>44592</v>
      </c>
      <c r="I209" s="1176">
        <v>11.5</v>
      </c>
      <c r="J209" s="1176" t="s">
        <v>673</v>
      </c>
      <c r="K209" s="1177" t="s">
        <v>674</v>
      </c>
      <c r="L209" s="1178" t="s">
        <v>675</v>
      </c>
      <c r="M209" s="1179">
        <f>57500000-15000000</f>
        <v>42500000</v>
      </c>
      <c r="N209" s="1382" t="s">
        <v>781</v>
      </c>
      <c r="O209" s="1174" t="s">
        <v>771</v>
      </c>
      <c r="P209" s="1207" t="s">
        <v>678</v>
      </c>
      <c r="Q209" s="1163"/>
      <c r="R209" s="1269">
        <v>40000000</v>
      </c>
      <c r="S209" s="1357">
        <v>40000000</v>
      </c>
      <c r="T209" s="1357">
        <f>+Tabla16[[#This Row],[CDPS A 31 JULIO 2022]]-Tabla16[[#This Row],[CDP]]</f>
        <v>0</v>
      </c>
      <c r="U209" s="1357">
        <v>40000000</v>
      </c>
      <c r="V209" s="1357">
        <v>20500000</v>
      </c>
      <c r="W209" s="1357"/>
      <c r="X209" s="1207"/>
      <c r="Y209" s="1207"/>
      <c r="Z209" s="1207"/>
      <c r="AA209" s="1207"/>
      <c r="AB209" s="1207"/>
      <c r="AC209" s="1207"/>
      <c r="AD209" s="1207"/>
      <c r="AE209" s="1207"/>
      <c r="AF209" s="1207"/>
      <c r="AG209" s="1207"/>
      <c r="AH209" s="1207"/>
      <c r="AI209" s="1207"/>
      <c r="AJ209" s="1207"/>
      <c r="AK209" s="1207"/>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07"/>
      <c r="BF209" s="1207"/>
      <c r="BG209" s="1207"/>
      <c r="BH209" s="1207"/>
      <c r="BI209" s="1207"/>
      <c r="BJ209" s="1207"/>
      <c r="BK209" s="1207"/>
      <c r="BL209" s="1207"/>
      <c r="BM209" s="1207"/>
      <c r="BN209" s="1207"/>
      <c r="BO209" s="1207"/>
      <c r="BP209" s="1207"/>
      <c r="BQ209" s="1207"/>
      <c r="BR209" s="1207"/>
      <c r="BS209" s="1207"/>
      <c r="BT209" s="1207"/>
      <c r="BU209" s="1207"/>
      <c r="BV209" s="1207"/>
      <c r="BW209" s="1207"/>
      <c r="BX209" s="1207"/>
      <c r="BY209" s="1207"/>
      <c r="BZ209" s="1207"/>
      <c r="CA209" s="1207"/>
      <c r="CB209" s="1207"/>
      <c r="CC209" s="1207"/>
      <c r="CD209" s="1207"/>
      <c r="CE209" s="1207"/>
      <c r="CF209" s="1207"/>
    </row>
    <row r="210" spans="1:84" ht="105" x14ac:dyDescent="0.25">
      <c r="A210" s="1355">
        <v>2022216</v>
      </c>
      <c r="B210" s="1172">
        <v>7655</v>
      </c>
      <c r="C210" s="1356" t="s">
        <v>668</v>
      </c>
      <c r="D210" s="1190" t="s">
        <v>671</v>
      </c>
      <c r="E210" s="1174">
        <v>80111600</v>
      </c>
      <c r="F210" s="1380" t="s">
        <v>894</v>
      </c>
      <c r="G210" s="1381">
        <v>44562</v>
      </c>
      <c r="H210" s="1381">
        <v>44592</v>
      </c>
      <c r="I210" s="1176">
        <v>11.5</v>
      </c>
      <c r="J210" s="1176" t="s">
        <v>673</v>
      </c>
      <c r="K210" s="1177" t="s">
        <v>674</v>
      </c>
      <c r="L210" s="1178" t="s">
        <v>675</v>
      </c>
      <c r="M210" s="1179">
        <v>80500000</v>
      </c>
      <c r="N210" s="1382" t="s">
        <v>781</v>
      </c>
      <c r="O210" s="1174" t="s">
        <v>771</v>
      </c>
      <c r="P210" s="1207" t="s">
        <v>678</v>
      </c>
      <c r="Q210" s="1163"/>
      <c r="R210" s="1269">
        <v>77000000</v>
      </c>
      <c r="S210" s="1357">
        <v>77000000</v>
      </c>
      <c r="T210" s="1357">
        <f>+Tabla16[[#This Row],[CDPS A 31 JULIO 2022]]-Tabla16[[#This Row],[CDP]]</f>
        <v>0</v>
      </c>
      <c r="U210" s="1357">
        <v>77000000</v>
      </c>
      <c r="V210" s="1357">
        <v>30566667</v>
      </c>
      <c r="W210" s="1357"/>
      <c r="X210" s="1207"/>
      <c r="Y210" s="1207"/>
      <c r="Z210" s="1207"/>
      <c r="AA210" s="1207"/>
      <c r="AB210" s="1207"/>
      <c r="AC210" s="1207"/>
      <c r="AD210" s="1207"/>
      <c r="AE210" s="1207"/>
      <c r="AF210" s="1207"/>
      <c r="AG210" s="1207"/>
      <c r="AH210" s="1207"/>
      <c r="AI210" s="1207"/>
      <c r="AJ210" s="1207"/>
      <c r="AK210" s="120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07"/>
      <c r="BF210" s="1207"/>
      <c r="BG210" s="1207"/>
      <c r="BH210" s="1207"/>
      <c r="BI210" s="1207"/>
      <c r="BJ210" s="1207"/>
      <c r="BK210" s="1207"/>
      <c r="BL210" s="1207"/>
      <c r="BM210" s="1207"/>
      <c r="BN210" s="1207"/>
      <c r="BO210" s="1207"/>
      <c r="BP210" s="1207"/>
      <c r="BQ210" s="1207"/>
      <c r="BR210" s="1207"/>
      <c r="BS210" s="1207"/>
      <c r="BT210" s="1207"/>
      <c r="BU210" s="1207"/>
      <c r="BV210" s="1207"/>
      <c r="BW210" s="1207"/>
      <c r="BX210" s="1207"/>
      <c r="BY210" s="1207"/>
      <c r="BZ210" s="1207"/>
      <c r="CA210" s="1207"/>
      <c r="CB210" s="1207"/>
      <c r="CC210" s="1207"/>
      <c r="CD210" s="1207"/>
      <c r="CE210" s="1207"/>
      <c r="CF210" s="1207"/>
    </row>
    <row r="211" spans="1:84" ht="105" x14ac:dyDescent="0.25">
      <c r="A211" s="1400">
        <v>2022217</v>
      </c>
      <c r="B211" s="1401">
        <v>7655</v>
      </c>
      <c r="C211" s="1402" t="s">
        <v>668</v>
      </c>
      <c r="D211" s="1403" t="s">
        <v>671</v>
      </c>
      <c r="E211" s="1404">
        <v>80111600</v>
      </c>
      <c r="F211" s="1405" t="s">
        <v>895</v>
      </c>
      <c r="G211" s="1406">
        <v>44562</v>
      </c>
      <c r="H211" s="1406">
        <v>44592</v>
      </c>
      <c r="I211" s="1407">
        <v>11</v>
      </c>
      <c r="J211" s="1407" t="s">
        <v>673</v>
      </c>
      <c r="K211" s="1408" t="s">
        <v>674</v>
      </c>
      <c r="L211" s="1409" t="s">
        <v>675</v>
      </c>
      <c r="M211" s="1410">
        <f>57500000-1750000</f>
        <v>55750000</v>
      </c>
      <c r="N211" s="1411" t="s">
        <v>781</v>
      </c>
      <c r="O211" s="1404" t="s">
        <v>771</v>
      </c>
      <c r="P211" s="1412" t="s">
        <v>678</v>
      </c>
      <c r="Q211" s="1163"/>
      <c r="R211" s="1269">
        <v>55000000</v>
      </c>
      <c r="S211" s="1357">
        <v>55000000</v>
      </c>
      <c r="T211" s="1357">
        <f>+Tabla16[[#This Row],[CDPS A 31 JULIO 2022]]-Tabla16[[#This Row],[CDP]]</f>
        <v>0</v>
      </c>
      <c r="U211" s="1357">
        <v>55000000</v>
      </c>
      <c r="V211" s="1357">
        <v>21000000</v>
      </c>
      <c r="W211" s="1357"/>
      <c r="X211" s="1207"/>
      <c r="Y211" s="1207"/>
      <c r="Z211" s="1207"/>
      <c r="AA211" s="1207"/>
      <c r="AB211" s="1207"/>
      <c r="AC211" s="1207"/>
      <c r="AD211" s="1207"/>
      <c r="AE211" s="1207"/>
      <c r="AF211" s="1207"/>
      <c r="AG211" s="1207"/>
      <c r="AH211" s="1207"/>
      <c r="AI211" s="1207"/>
      <c r="AJ211" s="1207"/>
      <c r="AK211" s="1207"/>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07"/>
      <c r="BF211" s="1207"/>
      <c r="BG211" s="1207"/>
      <c r="BH211" s="1207"/>
      <c r="BI211" s="1207"/>
      <c r="BJ211" s="1207"/>
      <c r="BK211" s="1207"/>
      <c r="BL211" s="1207"/>
      <c r="BM211" s="1207"/>
      <c r="BN211" s="1207"/>
      <c r="BO211" s="1207"/>
      <c r="BP211" s="1207"/>
      <c r="BQ211" s="1207"/>
      <c r="BR211" s="1207"/>
      <c r="BS211" s="1207"/>
      <c r="BT211" s="1207"/>
      <c r="BU211" s="1207"/>
      <c r="BV211" s="1207"/>
      <c r="BW211" s="1207"/>
      <c r="BX211" s="1207"/>
      <c r="BY211" s="1207"/>
      <c r="BZ211" s="1207"/>
      <c r="CA211" s="1207"/>
      <c r="CB211" s="1207"/>
      <c r="CC211" s="1207"/>
      <c r="CD211" s="1207"/>
      <c r="CE211" s="1207"/>
      <c r="CF211" s="1207"/>
    </row>
    <row r="212" spans="1:84" ht="105" x14ac:dyDescent="0.25">
      <c r="A212" s="1355">
        <v>2022218</v>
      </c>
      <c r="B212" s="1172">
        <v>7655</v>
      </c>
      <c r="C212" s="1356" t="s">
        <v>668</v>
      </c>
      <c r="D212" s="1190" t="s">
        <v>671</v>
      </c>
      <c r="E212" s="1174">
        <v>80111600</v>
      </c>
      <c r="F212" s="1380" t="s">
        <v>896</v>
      </c>
      <c r="G212" s="1381">
        <v>44562</v>
      </c>
      <c r="H212" s="1381">
        <v>44592</v>
      </c>
      <c r="I212" s="1176">
        <v>11.5</v>
      </c>
      <c r="J212" s="1176" t="s">
        <v>673</v>
      </c>
      <c r="K212" s="1177" t="s">
        <v>674</v>
      </c>
      <c r="L212" s="1178" t="s">
        <v>675</v>
      </c>
      <c r="M212" s="1179">
        <f>57500000-13500000-5750000-1500000</f>
        <v>36750000</v>
      </c>
      <c r="N212" s="1382" t="s">
        <v>781</v>
      </c>
      <c r="O212" s="1174" t="s">
        <v>771</v>
      </c>
      <c r="P212" s="1207" t="s">
        <v>678</v>
      </c>
      <c r="Q212" s="1163"/>
      <c r="R212" s="1269">
        <v>36000000</v>
      </c>
      <c r="S212" s="1357">
        <v>36000000</v>
      </c>
      <c r="T212" s="1357">
        <f>+Tabla16[[#This Row],[CDPS A 31 JULIO 2022]]-Tabla16[[#This Row],[CDP]]</f>
        <v>0</v>
      </c>
      <c r="U212" s="1357">
        <v>36000000</v>
      </c>
      <c r="V212" s="1357">
        <v>18450000</v>
      </c>
      <c r="W212" s="135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07"/>
      <c r="BF212" s="1207"/>
      <c r="BG212" s="1207"/>
      <c r="BH212" s="1207"/>
      <c r="BI212" s="1207"/>
      <c r="BJ212" s="1207"/>
      <c r="BK212" s="1207"/>
      <c r="BL212" s="1207"/>
      <c r="BM212" s="1207"/>
      <c r="BN212" s="1207"/>
      <c r="BO212" s="1207"/>
      <c r="BP212" s="1207"/>
      <c r="BQ212" s="1207"/>
      <c r="BR212" s="1207"/>
      <c r="BS212" s="1207"/>
      <c r="BT212" s="1207"/>
      <c r="BU212" s="1207"/>
      <c r="BV212" s="1207"/>
      <c r="BW212" s="1207"/>
      <c r="BX212" s="1207"/>
      <c r="BY212" s="1207"/>
      <c r="BZ212" s="1207"/>
      <c r="CA212" s="1207"/>
      <c r="CB212" s="1207"/>
      <c r="CC212" s="1207"/>
      <c r="CD212" s="1207"/>
      <c r="CE212" s="1207"/>
      <c r="CF212" s="1207"/>
    </row>
    <row r="213" spans="1:84" ht="105" x14ac:dyDescent="0.25">
      <c r="A213" s="1355">
        <v>2022219</v>
      </c>
      <c r="B213" s="1172">
        <v>7655</v>
      </c>
      <c r="C213" s="1356" t="s">
        <v>668</v>
      </c>
      <c r="D213" s="1190" t="s">
        <v>671</v>
      </c>
      <c r="E213" s="1174">
        <v>80111600</v>
      </c>
      <c r="F213" s="1380" t="s">
        <v>897</v>
      </c>
      <c r="G213" s="1381">
        <v>44562</v>
      </c>
      <c r="H213" s="1381">
        <v>44592</v>
      </c>
      <c r="I213" s="1176">
        <v>11.5</v>
      </c>
      <c r="J213" s="1176" t="s">
        <v>673</v>
      </c>
      <c r="K213" s="1177" t="s">
        <v>674</v>
      </c>
      <c r="L213" s="1178" t="s">
        <v>675</v>
      </c>
      <c r="M213" s="1179">
        <f>57500000-11000000-850000</f>
        <v>45650000</v>
      </c>
      <c r="N213" s="1382" t="s">
        <v>781</v>
      </c>
      <c r="O213" s="1174" t="s">
        <v>771</v>
      </c>
      <c r="P213" s="1207" t="s">
        <v>678</v>
      </c>
      <c r="Q213" s="1163"/>
      <c r="R213" s="1269">
        <v>40000000</v>
      </c>
      <c r="S213" s="1357">
        <v>40000000</v>
      </c>
      <c r="T213" s="1357">
        <f>+Tabla16[[#This Row],[CDPS A 31 JULIO 2022]]-Tabla16[[#This Row],[CDP]]</f>
        <v>0</v>
      </c>
      <c r="U213" s="1357">
        <v>40000000</v>
      </c>
      <c r="V213" s="1357">
        <v>20500000</v>
      </c>
      <c r="W213" s="135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07"/>
      <c r="BF213" s="1207"/>
      <c r="BG213" s="1207"/>
      <c r="BH213" s="1207"/>
      <c r="BI213" s="1207"/>
      <c r="BJ213" s="1207"/>
      <c r="BK213" s="1207"/>
      <c r="BL213" s="1207"/>
      <c r="BM213" s="1207"/>
      <c r="BN213" s="1207"/>
      <c r="BO213" s="1207"/>
      <c r="BP213" s="1207"/>
      <c r="BQ213" s="1207"/>
      <c r="BR213" s="1207"/>
      <c r="BS213" s="1207"/>
      <c r="BT213" s="1207"/>
      <c r="BU213" s="1207"/>
      <c r="BV213" s="1207"/>
      <c r="BW213" s="1207"/>
      <c r="BX213" s="1207"/>
      <c r="BY213" s="1207"/>
      <c r="BZ213" s="1207"/>
      <c r="CA213" s="1207"/>
      <c r="CB213" s="1207"/>
      <c r="CC213" s="1207"/>
      <c r="CD213" s="1207"/>
      <c r="CE213" s="1207"/>
      <c r="CF213" s="1207"/>
    </row>
    <row r="214" spans="1:84" ht="105" x14ac:dyDescent="0.25">
      <c r="A214" s="1355">
        <v>2022220</v>
      </c>
      <c r="B214" s="1172">
        <v>7655</v>
      </c>
      <c r="C214" s="1356" t="s">
        <v>668</v>
      </c>
      <c r="D214" s="1190" t="s">
        <v>671</v>
      </c>
      <c r="E214" s="1174">
        <v>80111600</v>
      </c>
      <c r="F214" s="1380" t="s">
        <v>898</v>
      </c>
      <c r="G214" s="1381">
        <v>44562</v>
      </c>
      <c r="H214" s="1381">
        <v>44592</v>
      </c>
      <c r="I214" s="1176">
        <v>6</v>
      </c>
      <c r="J214" s="1176" t="s">
        <v>673</v>
      </c>
      <c r="K214" s="1177" t="s">
        <v>674</v>
      </c>
      <c r="L214" s="1178" t="s">
        <v>675</v>
      </c>
      <c r="M214" s="1179">
        <f>(10*4500000)-13500000-4500000</f>
        <v>27000000</v>
      </c>
      <c r="N214" s="1382" t="s">
        <v>781</v>
      </c>
      <c r="O214" s="1174" t="s">
        <v>771</v>
      </c>
      <c r="P214" s="1207" t="s">
        <v>678</v>
      </c>
      <c r="Q214" s="1163"/>
      <c r="R214" s="1269">
        <v>27000000</v>
      </c>
      <c r="S214" s="1357">
        <v>27000000</v>
      </c>
      <c r="T214" s="1357">
        <f>+Tabla16[[#This Row],[CDPS A 31 JULIO 2022]]-Tabla16[[#This Row],[CDP]]</f>
        <v>0</v>
      </c>
      <c r="U214" s="1357">
        <v>27000000</v>
      </c>
      <c r="V214" s="1357">
        <v>18000000</v>
      </c>
      <c r="W214" s="135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07"/>
      <c r="BF214" s="1207"/>
      <c r="BG214" s="1207"/>
      <c r="BH214" s="1207"/>
      <c r="BI214" s="1207"/>
      <c r="BJ214" s="1207"/>
      <c r="BK214" s="1207"/>
      <c r="BL214" s="1207"/>
      <c r="BM214" s="1207"/>
      <c r="BN214" s="1207"/>
      <c r="BO214" s="1207"/>
      <c r="BP214" s="1207"/>
      <c r="BQ214" s="1207"/>
      <c r="BR214" s="1207"/>
      <c r="BS214" s="1207"/>
      <c r="BT214" s="1207"/>
      <c r="BU214" s="1207"/>
      <c r="BV214" s="1207"/>
      <c r="BW214" s="1207"/>
      <c r="BX214" s="1207"/>
      <c r="BY214" s="1207"/>
      <c r="BZ214" s="1207"/>
      <c r="CA214" s="1207"/>
      <c r="CB214" s="1207"/>
      <c r="CC214" s="1207"/>
      <c r="CD214" s="1207"/>
      <c r="CE214" s="1207"/>
      <c r="CF214" s="1207"/>
    </row>
    <row r="215" spans="1:84" ht="105" x14ac:dyDescent="0.25">
      <c r="A215" s="1355">
        <v>2022221</v>
      </c>
      <c r="B215" s="1172">
        <v>7655</v>
      </c>
      <c r="C215" s="1356" t="s">
        <v>668</v>
      </c>
      <c r="D215" s="1190" t="s">
        <v>671</v>
      </c>
      <c r="E215" s="1174">
        <v>80111600</v>
      </c>
      <c r="F215" s="1380" t="s">
        <v>899</v>
      </c>
      <c r="G215" s="1381">
        <v>44562</v>
      </c>
      <c r="H215" s="1381">
        <v>44592</v>
      </c>
      <c r="I215" s="1176">
        <v>11.5</v>
      </c>
      <c r="J215" s="1176" t="s">
        <v>673</v>
      </c>
      <c r="K215" s="1177" t="s">
        <v>674</v>
      </c>
      <c r="L215" s="1178" t="s">
        <v>675</v>
      </c>
      <c r="M215" s="1179">
        <v>57500000</v>
      </c>
      <c r="N215" s="1382" t="s">
        <v>781</v>
      </c>
      <c r="O215" s="1174" t="s">
        <v>771</v>
      </c>
      <c r="P215" s="1207" t="s">
        <v>678</v>
      </c>
      <c r="Q215" s="1163"/>
      <c r="R215" s="1269">
        <v>55000000</v>
      </c>
      <c r="S215" s="1357">
        <v>55000000</v>
      </c>
      <c r="T215" s="1357">
        <f>+Tabla16[[#This Row],[CDPS A 31 JULIO 2022]]-Tabla16[[#This Row],[CDP]]</f>
        <v>0</v>
      </c>
      <c r="U215" s="1357">
        <v>55000000</v>
      </c>
      <c r="V215" s="1357">
        <v>21666667</v>
      </c>
      <c r="W215" s="135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07"/>
      <c r="BF215" s="1207"/>
      <c r="BG215" s="1207"/>
      <c r="BH215" s="1207"/>
      <c r="BI215" s="1207"/>
      <c r="BJ215" s="1207"/>
      <c r="BK215" s="1207"/>
      <c r="BL215" s="1207"/>
      <c r="BM215" s="1207"/>
      <c r="BN215" s="1207"/>
      <c r="BO215" s="1207"/>
      <c r="BP215" s="1207"/>
      <c r="BQ215" s="1207"/>
      <c r="BR215" s="1207"/>
      <c r="BS215" s="1207"/>
      <c r="BT215" s="1207"/>
      <c r="BU215" s="1207"/>
      <c r="BV215" s="1207"/>
      <c r="BW215" s="1207"/>
      <c r="BX215" s="1207"/>
      <c r="BY215" s="1207"/>
      <c r="BZ215" s="1207"/>
      <c r="CA215" s="1207"/>
      <c r="CB215" s="1207"/>
      <c r="CC215" s="1207"/>
      <c r="CD215" s="1207"/>
      <c r="CE215" s="1207"/>
      <c r="CF215" s="1207"/>
    </row>
    <row r="216" spans="1:84" ht="105" x14ac:dyDescent="0.25">
      <c r="A216" s="1355">
        <v>2022222</v>
      </c>
      <c r="B216" s="1172">
        <v>7655</v>
      </c>
      <c r="C216" s="1356" t="s">
        <v>668</v>
      </c>
      <c r="D216" s="1190" t="s">
        <v>671</v>
      </c>
      <c r="E216" s="1174">
        <v>80111600</v>
      </c>
      <c r="F216" s="1380" t="s">
        <v>900</v>
      </c>
      <c r="G216" s="1381">
        <v>44562</v>
      </c>
      <c r="H216" s="1381">
        <v>44592</v>
      </c>
      <c r="I216" s="1176">
        <v>11.5</v>
      </c>
      <c r="J216" s="1176" t="s">
        <v>673</v>
      </c>
      <c r="K216" s="1177" t="s">
        <v>674</v>
      </c>
      <c r="L216" s="1178" t="s">
        <v>675</v>
      </c>
      <c r="M216" s="1179">
        <f>57500000-13500000-4500000</f>
        <v>39500000</v>
      </c>
      <c r="N216" s="1382" t="s">
        <v>781</v>
      </c>
      <c r="O216" s="1174" t="s">
        <v>771</v>
      </c>
      <c r="P216" s="1207" t="s">
        <v>678</v>
      </c>
      <c r="Q216" s="1163"/>
      <c r="R216" s="1269">
        <v>36000000</v>
      </c>
      <c r="S216" s="1357">
        <v>36000000</v>
      </c>
      <c r="T216" s="1357">
        <f>+Tabla16[[#This Row],[CDPS A 31 JULIO 2022]]-Tabla16[[#This Row],[CDP]]</f>
        <v>0</v>
      </c>
      <c r="U216" s="1357">
        <v>36000000</v>
      </c>
      <c r="V216" s="1357">
        <v>18000000</v>
      </c>
      <c r="W216" s="1357"/>
      <c r="X216" s="1207"/>
      <c r="Y216" s="1207"/>
      <c r="Z216" s="1207"/>
      <c r="AA216" s="1207"/>
      <c r="AB216" s="1207"/>
      <c r="AC216" s="1207"/>
      <c r="AD216" s="1207"/>
      <c r="AE216" s="1207"/>
      <c r="AF216" s="1207"/>
      <c r="AG216" s="1207"/>
      <c r="AH216" s="1207"/>
      <c r="AI216" s="1207"/>
      <c r="AJ216" s="1207"/>
      <c r="AK216" s="1207"/>
      <c r="AL216" s="1207"/>
      <c r="AM216" s="1207"/>
      <c r="AN216" s="1207"/>
      <c r="AO216" s="1207"/>
      <c r="AP216" s="1207"/>
      <c r="AQ216" s="1207"/>
      <c r="AR216" s="1207"/>
      <c r="AS216" s="1207"/>
      <c r="AT216" s="1207"/>
      <c r="AU216" s="1207"/>
      <c r="AV216" s="1207"/>
      <c r="AW216" s="1207"/>
      <c r="AX216" s="1207"/>
      <c r="AY216" s="1207"/>
      <c r="AZ216" s="1207"/>
      <c r="BA216" s="1207"/>
      <c r="BB216" s="1207"/>
      <c r="BC216" s="1207"/>
      <c r="BD216" s="1207"/>
      <c r="BE216" s="1207"/>
      <c r="BF216" s="1207"/>
      <c r="BG216" s="1207"/>
      <c r="BH216" s="1207"/>
      <c r="BI216" s="1207"/>
      <c r="BJ216" s="1207"/>
      <c r="BK216" s="1207"/>
      <c r="BL216" s="1207"/>
      <c r="BM216" s="1207"/>
      <c r="BN216" s="1207"/>
      <c r="BO216" s="1207"/>
      <c r="BP216" s="1207"/>
      <c r="BQ216" s="1207"/>
      <c r="BR216" s="1207"/>
      <c r="BS216" s="1207"/>
      <c r="BT216" s="1207"/>
      <c r="BU216" s="1207"/>
      <c r="BV216" s="1207"/>
      <c r="BW216" s="1207"/>
      <c r="BX216" s="1207"/>
      <c r="BY216" s="1207"/>
      <c r="BZ216" s="1207"/>
      <c r="CA216" s="1207"/>
      <c r="CB216" s="1207"/>
      <c r="CC216" s="1207"/>
      <c r="CD216" s="1207"/>
      <c r="CE216" s="1207"/>
      <c r="CF216" s="1207"/>
    </row>
    <row r="217" spans="1:84" ht="105" x14ac:dyDescent="0.25">
      <c r="A217" s="1355">
        <v>2022223</v>
      </c>
      <c r="B217" s="1172">
        <v>7655</v>
      </c>
      <c r="C217" s="1356" t="s">
        <v>668</v>
      </c>
      <c r="D217" s="1190" t="s">
        <v>671</v>
      </c>
      <c r="E217" s="1174">
        <v>80111600</v>
      </c>
      <c r="F217" s="1380" t="s">
        <v>901</v>
      </c>
      <c r="G217" s="1381">
        <v>44562</v>
      </c>
      <c r="H217" s="1381">
        <v>44592</v>
      </c>
      <c r="I217" s="1176">
        <v>11.5</v>
      </c>
      <c r="J217" s="1176" t="s">
        <v>673</v>
      </c>
      <c r="K217" s="1177" t="s">
        <v>674</v>
      </c>
      <c r="L217" s="1178" t="s">
        <v>675</v>
      </c>
      <c r="M217" s="1179">
        <f>72450000-3000000</f>
        <v>69450000</v>
      </c>
      <c r="N217" s="1382" t="s">
        <v>781</v>
      </c>
      <c r="O217" s="1174" t="s">
        <v>771</v>
      </c>
      <c r="P217" s="1207" t="s">
        <v>678</v>
      </c>
      <c r="Q217" s="1163"/>
      <c r="R217" s="1269">
        <v>69300000</v>
      </c>
      <c r="S217" s="1357">
        <v>69300000</v>
      </c>
      <c r="T217" s="1357">
        <f>+Tabla16[[#This Row],[CDPS A 31 JULIO 2022]]-Tabla16[[#This Row],[CDP]]</f>
        <v>0</v>
      </c>
      <c r="U217" s="1357">
        <v>69300000</v>
      </c>
      <c r="V217" s="1357">
        <v>24570000</v>
      </c>
      <c r="W217" s="1357"/>
      <c r="X217" s="1207"/>
      <c r="Y217" s="1207"/>
      <c r="Z217" s="1207"/>
      <c r="AA217" s="1207"/>
      <c r="AB217" s="1207"/>
      <c r="AC217" s="1207"/>
      <c r="AD217" s="1207"/>
      <c r="AE217" s="1207"/>
      <c r="AF217" s="1207"/>
      <c r="AG217" s="1207"/>
      <c r="AH217" s="1207"/>
      <c r="AI217" s="1207"/>
      <c r="AJ217" s="1207"/>
      <c r="AK217" s="1207"/>
      <c r="AL217" s="1207"/>
      <c r="AM217" s="1207"/>
      <c r="AN217" s="1207"/>
      <c r="AO217" s="1207"/>
      <c r="AP217" s="1207"/>
      <c r="AQ217" s="1207"/>
      <c r="AR217" s="1207"/>
      <c r="AS217" s="1207"/>
      <c r="AT217" s="1207"/>
      <c r="AU217" s="1207"/>
      <c r="AV217" s="1207"/>
      <c r="AW217" s="1207"/>
      <c r="AX217" s="1207"/>
      <c r="AY217" s="1207"/>
      <c r="AZ217" s="1207"/>
      <c r="BA217" s="1207"/>
      <c r="BB217" s="1207"/>
      <c r="BC217" s="1207"/>
      <c r="BD217" s="1207"/>
      <c r="BE217" s="1207"/>
      <c r="BF217" s="1207"/>
      <c r="BG217" s="1207"/>
      <c r="BH217" s="1207"/>
      <c r="BI217" s="1207"/>
      <c r="BJ217" s="1207"/>
      <c r="BK217" s="1207"/>
      <c r="BL217" s="1207"/>
      <c r="BM217" s="1207"/>
      <c r="BN217" s="1207"/>
      <c r="BO217" s="1207"/>
      <c r="BP217" s="1207"/>
      <c r="BQ217" s="1207"/>
      <c r="BR217" s="1207"/>
      <c r="BS217" s="1207"/>
      <c r="BT217" s="1207"/>
      <c r="BU217" s="1207"/>
      <c r="BV217" s="1207"/>
      <c r="BW217" s="1207"/>
      <c r="BX217" s="1207"/>
      <c r="BY217" s="1207"/>
      <c r="BZ217" s="1207"/>
      <c r="CA217" s="1207"/>
      <c r="CB217" s="1207"/>
      <c r="CC217" s="1207"/>
      <c r="CD217" s="1207"/>
      <c r="CE217" s="1207"/>
      <c r="CF217" s="1207"/>
    </row>
    <row r="218" spans="1:84" ht="105" x14ac:dyDescent="0.25">
      <c r="A218" s="1355">
        <v>2022224</v>
      </c>
      <c r="B218" s="1172">
        <v>7655</v>
      </c>
      <c r="C218" s="1356" t="s">
        <v>668</v>
      </c>
      <c r="D218" s="1190" t="s">
        <v>671</v>
      </c>
      <c r="E218" s="1174">
        <v>80111600</v>
      </c>
      <c r="F218" s="1380" t="s">
        <v>902</v>
      </c>
      <c r="G218" s="1381">
        <v>44562</v>
      </c>
      <c r="H218" s="1381">
        <v>44592</v>
      </c>
      <c r="I218" s="1176">
        <v>11.5</v>
      </c>
      <c r="J218" s="1176" t="s">
        <v>673</v>
      </c>
      <c r="K218" s="1177" t="s">
        <v>674</v>
      </c>
      <c r="L218" s="1178" t="s">
        <v>675</v>
      </c>
      <c r="M218" s="1179">
        <f>59800000-1407535</f>
        <v>58392465</v>
      </c>
      <c r="N218" s="1382" t="s">
        <v>781</v>
      </c>
      <c r="O218" s="1174" t="s">
        <v>771</v>
      </c>
      <c r="P218" s="1207" t="s">
        <v>678</v>
      </c>
      <c r="Q218" s="1163"/>
      <c r="R218" s="1269">
        <v>57200000</v>
      </c>
      <c r="S218" s="1357">
        <v>57200000</v>
      </c>
      <c r="T218" s="1357">
        <f>+Tabla16[[#This Row],[CDPS A 31 JULIO 2022]]-Tabla16[[#This Row],[CDP]]</f>
        <v>0</v>
      </c>
      <c r="U218" s="1357">
        <v>57200000</v>
      </c>
      <c r="V218" s="1357">
        <v>21320000</v>
      </c>
      <c r="W218" s="1357"/>
      <c r="X218" s="1207"/>
      <c r="Y218" s="1207"/>
      <c r="Z218" s="1207"/>
      <c r="AA218" s="1207"/>
      <c r="AB218" s="1207"/>
      <c r="AC218" s="1207"/>
      <c r="AD218" s="1207"/>
      <c r="AE218" s="1207"/>
      <c r="AF218" s="1207"/>
      <c r="AG218" s="1207"/>
      <c r="AH218" s="1207"/>
      <c r="AI218" s="1207"/>
      <c r="AJ218" s="1207"/>
      <c r="AK218" s="1207"/>
      <c r="AL218" s="1207"/>
      <c r="AM218" s="1207"/>
      <c r="AN218" s="1207"/>
      <c r="AO218" s="1207"/>
      <c r="AP218" s="1207"/>
      <c r="AQ218" s="1207"/>
      <c r="AR218" s="1207"/>
      <c r="AS218" s="1207"/>
      <c r="AT218" s="1207"/>
      <c r="AU218" s="1207"/>
      <c r="AV218" s="1207"/>
      <c r="AW218" s="1207"/>
      <c r="AX218" s="1207"/>
      <c r="AY218" s="1207"/>
      <c r="AZ218" s="1207"/>
      <c r="BA218" s="1207"/>
      <c r="BB218" s="1207"/>
      <c r="BC218" s="1207"/>
      <c r="BD218" s="1207"/>
      <c r="BE218" s="1207"/>
      <c r="BF218" s="1207"/>
      <c r="BG218" s="1207"/>
      <c r="BH218" s="1207"/>
      <c r="BI218" s="1207"/>
      <c r="BJ218" s="1207"/>
      <c r="BK218" s="1207"/>
      <c r="BL218" s="1207"/>
      <c r="BM218" s="1207"/>
      <c r="BN218" s="1207"/>
      <c r="BO218" s="1207"/>
      <c r="BP218" s="1207"/>
      <c r="BQ218" s="1207"/>
      <c r="BR218" s="1207"/>
      <c r="BS218" s="1207"/>
      <c r="BT218" s="1207"/>
      <c r="BU218" s="1207"/>
      <c r="BV218" s="1207"/>
      <c r="BW218" s="1207"/>
      <c r="BX218" s="1207"/>
      <c r="BY218" s="1207"/>
      <c r="BZ218" s="1207"/>
      <c r="CA218" s="1207"/>
      <c r="CB218" s="1207"/>
      <c r="CC218" s="1207"/>
      <c r="CD218" s="1207"/>
      <c r="CE218" s="1207"/>
      <c r="CF218" s="1207"/>
    </row>
    <row r="219" spans="1:84" ht="105" x14ac:dyDescent="0.25">
      <c r="A219" s="1355">
        <v>2022225</v>
      </c>
      <c r="B219" s="1172">
        <v>7655</v>
      </c>
      <c r="C219" s="1356" t="s">
        <v>668</v>
      </c>
      <c r="D219" s="1190" t="s">
        <v>671</v>
      </c>
      <c r="E219" s="1174">
        <v>80111600</v>
      </c>
      <c r="F219" s="1380" t="s">
        <v>903</v>
      </c>
      <c r="G219" s="1381">
        <v>44562</v>
      </c>
      <c r="H219" s="1381">
        <v>44592</v>
      </c>
      <c r="I219" s="1176">
        <v>9.5</v>
      </c>
      <c r="J219" s="1176" t="s">
        <v>673</v>
      </c>
      <c r="K219" s="1177" t="s">
        <v>674</v>
      </c>
      <c r="L219" s="1178" t="s">
        <v>675</v>
      </c>
      <c r="M219" s="1179">
        <f>57000000-14400000-31000000</f>
        <v>11600000</v>
      </c>
      <c r="N219" s="1382" t="s">
        <v>781</v>
      </c>
      <c r="O219" s="1174" t="s">
        <v>771</v>
      </c>
      <c r="P219" s="1207" t="s">
        <v>678</v>
      </c>
      <c r="Q219" s="1163"/>
      <c r="R219" s="1269">
        <v>40000000</v>
      </c>
      <c r="S219" s="1357">
        <v>40000000</v>
      </c>
      <c r="T219" s="1357">
        <f>+Tabla16[[#This Row],[CDPS A 31 JULIO 2022]]-Tabla16[[#This Row],[CDP]]</f>
        <v>0</v>
      </c>
      <c r="U219" s="1357">
        <v>40000000</v>
      </c>
      <c r="V219" s="1357">
        <v>5000000</v>
      </c>
      <c r="W219" s="1357"/>
      <c r="X219" s="1207"/>
      <c r="Y219" s="1207"/>
      <c r="Z219" s="1207"/>
      <c r="AA219" s="1207"/>
      <c r="AB219" s="1207"/>
      <c r="AC219" s="1207"/>
      <c r="AD219" s="1207"/>
      <c r="AE219" s="1207"/>
      <c r="AF219" s="1207"/>
      <c r="AG219" s="1207"/>
      <c r="AH219" s="1207"/>
      <c r="AI219" s="1207"/>
      <c r="AJ219" s="1207"/>
      <c r="AK219" s="1207"/>
      <c r="AL219" s="1207"/>
      <c r="AM219" s="1207"/>
      <c r="AN219" s="1207"/>
      <c r="AO219" s="1207"/>
      <c r="AP219" s="1207"/>
      <c r="AQ219" s="1207"/>
      <c r="AR219" s="1207"/>
      <c r="AS219" s="1207"/>
      <c r="AT219" s="1207"/>
      <c r="AU219" s="1207"/>
      <c r="AV219" s="1207"/>
      <c r="AW219" s="1207"/>
      <c r="AX219" s="1207"/>
      <c r="AY219" s="1207"/>
      <c r="AZ219" s="1207"/>
      <c r="BA219" s="1207"/>
      <c r="BB219" s="1207"/>
      <c r="BC219" s="1207"/>
      <c r="BD219" s="1207"/>
      <c r="BE219" s="1207"/>
      <c r="BF219" s="1207"/>
      <c r="BG219" s="1207"/>
      <c r="BH219" s="1207"/>
      <c r="BI219" s="1207"/>
      <c r="BJ219" s="1207"/>
      <c r="BK219" s="1207"/>
      <c r="BL219" s="1207"/>
      <c r="BM219" s="1207"/>
      <c r="BN219" s="1207"/>
      <c r="BO219" s="1207"/>
      <c r="BP219" s="1207"/>
      <c r="BQ219" s="1207"/>
      <c r="BR219" s="1207"/>
      <c r="BS219" s="1207"/>
      <c r="BT219" s="1207"/>
      <c r="BU219" s="1207"/>
      <c r="BV219" s="1207"/>
      <c r="BW219" s="1207"/>
      <c r="BX219" s="1207"/>
      <c r="BY219" s="1207"/>
      <c r="BZ219" s="1207"/>
      <c r="CA219" s="1207"/>
      <c r="CB219" s="1207"/>
      <c r="CC219" s="1207"/>
      <c r="CD219" s="1207"/>
      <c r="CE219" s="1207"/>
      <c r="CF219" s="1207"/>
    </row>
    <row r="220" spans="1:84" ht="105" x14ac:dyDescent="0.25">
      <c r="A220" s="1355">
        <v>2022226</v>
      </c>
      <c r="B220" s="1172">
        <v>7655</v>
      </c>
      <c r="C220" s="1356" t="s">
        <v>668</v>
      </c>
      <c r="D220" s="1190" t="s">
        <v>671</v>
      </c>
      <c r="E220" s="1174">
        <v>80111600</v>
      </c>
      <c r="F220" s="1380" t="s">
        <v>904</v>
      </c>
      <c r="G220" s="1381"/>
      <c r="H220" s="1381"/>
      <c r="I220" s="1176"/>
      <c r="J220" s="1176" t="s">
        <v>673</v>
      </c>
      <c r="K220" s="1177" t="s">
        <v>674</v>
      </c>
      <c r="L220" s="1178" t="s">
        <v>675</v>
      </c>
      <c r="M220" s="1179">
        <v>13800000</v>
      </c>
      <c r="N220" s="1382" t="s">
        <v>781</v>
      </c>
      <c r="O220" s="1174" t="s">
        <v>771</v>
      </c>
      <c r="P220" s="1207" t="s">
        <v>748</v>
      </c>
      <c r="Q220" s="1163"/>
      <c r="R220" s="1269">
        <v>0</v>
      </c>
      <c r="S220" s="1357"/>
      <c r="T220" s="1357">
        <f>+Tabla16[[#This Row],[CDPS A 31 JULIO 2022]]-Tabla16[[#This Row],[CDP]]</f>
        <v>0</v>
      </c>
      <c r="U220" s="1357"/>
      <c r="V220" s="1357"/>
      <c r="W220" s="135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07"/>
      <c r="BE220" s="1207"/>
      <c r="BF220" s="1207"/>
      <c r="BG220" s="1207"/>
      <c r="BH220" s="1207"/>
      <c r="BI220" s="1207"/>
      <c r="BJ220" s="1207"/>
      <c r="BK220" s="1207"/>
      <c r="BL220" s="1207"/>
      <c r="BM220" s="1207"/>
      <c r="BN220" s="1207"/>
      <c r="BO220" s="1207"/>
      <c r="BP220" s="1207"/>
      <c r="BQ220" s="1207"/>
      <c r="BR220" s="1207"/>
      <c r="BS220" s="1207"/>
      <c r="BT220" s="1207"/>
      <c r="BU220" s="1207"/>
      <c r="BV220" s="1207"/>
      <c r="BW220" s="1207"/>
      <c r="BX220" s="1207"/>
      <c r="BY220" s="1207"/>
      <c r="BZ220" s="1207"/>
      <c r="CA220" s="1207"/>
      <c r="CB220" s="1207"/>
      <c r="CC220" s="1207"/>
      <c r="CD220" s="1207"/>
      <c r="CE220" s="1207"/>
      <c r="CF220" s="1207"/>
    </row>
    <row r="221" spans="1:84" ht="105" x14ac:dyDescent="0.25">
      <c r="A221" s="1355">
        <v>2022227</v>
      </c>
      <c r="B221" s="1172">
        <v>7655</v>
      </c>
      <c r="C221" s="1356" t="s">
        <v>668</v>
      </c>
      <c r="D221" s="1190" t="s">
        <v>669</v>
      </c>
      <c r="E221" s="1174">
        <v>80111600</v>
      </c>
      <c r="F221" s="1380" t="s">
        <v>905</v>
      </c>
      <c r="G221" s="1381">
        <v>44562</v>
      </c>
      <c r="H221" s="1381">
        <v>44592</v>
      </c>
      <c r="I221" s="1176">
        <v>11</v>
      </c>
      <c r="J221" s="1176" t="s">
        <v>673</v>
      </c>
      <c r="K221" s="1177" t="s">
        <v>674</v>
      </c>
      <c r="L221" s="1178" t="s">
        <v>675</v>
      </c>
      <c r="M221" s="1179">
        <f>29920000-2920000</f>
        <v>27000000</v>
      </c>
      <c r="N221" s="1382" t="s">
        <v>781</v>
      </c>
      <c r="O221" s="1174" t="s">
        <v>771</v>
      </c>
      <c r="P221" s="1207" t="s">
        <v>678</v>
      </c>
      <c r="Q221" s="1163"/>
      <c r="R221" s="1269">
        <v>27000000</v>
      </c>
      <c r="S221" s="1357">
        <v>27000000</v>
      </c>
      <c r="T221" s="1357">
        <f>+Tabla16[[#This Row],[CDPS A 31 JULIO 2022]]-Tabla16[[#This Row],[CDP]]</f>
        <v>0</v>
      </c>
      <c r="U221" s="1357">
        <v>27000000</v>
      </c>
      <c r="V221" s="1357">
        <v>13300000</v>
      </c>
      <c r="W221" s="1357"/>
      <c r="X221" s="1207"/>
      <c r="Y221" s="1207"/>
      <c r="Z221" s="1207"/>
      <c r="AA221" s="1207"/>
      <c r="AB221" s="1207"/>
      <c r="AC221" s="1207"/>
      <c r="AD221" s="1207"/>
      <c r="AE221" s="1207"/>
      <c r="AF221" s="1207"/>
      <c r="AG221" s="1207"/>
      <c r="AH221" s="1207"/>
      <c r="AI221" s="1207"/>
      <c r="AJ221" s="1207"/>
      <c r="AK221" s="1207"/>
      <c r="AL221" s="1207"/>
      <c r="AM221" s="1207"/>
      <c r="AN221" s="1207"/>
      <c r="AO221" s="1207"/>
      <c r="AP221" s="1207"/>
      <c r="AQ221" s="1207"/>
      <c r="AR221" s="1207"/>
      <c r="AS221" s="1207"/>
      <c r="AT221" s="1207"/>
      <c r="AU221" s="1207"/>
      <c r="AV221" s="1207"/>
      <c r="AW221" s="1207"/>
      <c r="AX221" s="1207"/>
      <c r="AY221" s="1207"/>
      <c r="AZ221" s="1207"/>
      <c r="BA221" s="1207"/>
      <c r="BB221" s="1207"/>
      <c r="BC221" s="1207"/>
      <c r="BD221" s="1207"/>
      <c r="BE221" s="1207"/>
      <c r="BF221" s="1207"/>
      <c r="BG221" s="1207"/>
      <c r="BH221" s="1207"/>
      <c r="BI221" s="1207"/>
      <c r="BJ221" s="1207"/>
      <c r="BK221" s="1207"/>
      <c r="BL221" s="1207"/>
      <c r="BM221" s="1207"/>
      <c r="BN221" s="1207"/>
      <c r="BO221" s="1207"/>
      <c r="BP221" s="1207"/>
      <c r="BQ221" s="1207"/>
      <c r="BR221" s="1207"/>
      <c r="BS221" s="1207"/>
      <c r="BT221" s="1207"/>
      <c r="BU221" s="1207"/>
      <c r="BV221" s="1207"/>
      <c r="BW221" s="1207"/>
      <c r="BX221" s="1207"/>
      <c r="BY221" s="1207"/>
      <c r="BZ221" s="1207"/>
      <c r="CA221" s="1207"/>
      <c r="CB221" s="1207"/>
      <c r="CC221" s="1207"/>
      <c r="CD221" s="1207"/>
      <c r="CE221" s="1207"/>
      <c r="CF221" s="1207"/>
    </row>
    <row r="222" spans="1:84" ht="105" x14ac:dyDescent="0.25">
      <c r="A222" s="1355">
        <v>2022228</v>
      </c>
      <c r="B222" s="1172">
        <v>7655</v>
      </c>
      <c r="C222" s="1356" t="s">
        <v>668</v>
      </c>
      <c r="D222" s="1190" t="s">
        <v>669</v>
      </c>
      <c r="E222" s="1174">
        <v>80111600</v>
      </c>
      <c r="F222" s="1380" t="s">
        <v>906</v>
      </c>
      <c r="G222" s="1381">
        <v>44562</v>
      </c>
      <c r="H222" s="1381">
        <v>44592</v>
      </c>
      <c r="I222" s="1176">
        <v>11</v>
      </c>
      <c r="J222" s="1176" t="s">
        <v>673</v>
      </c>
      <c r="K222" s="1177" t="s">
        <v>674</v>
      </c>
      <c r="L222" s="1178" t="s">
        <v>675</v>
      </c>
      <c r="M222" s="1179">
        <v>30800000</v>
      </c>
      <c r="N222" s="1382" t="s">
        <v>781</v>
      </c>
      <c r="O222" s="1174" t="s">
        <v>771</v>
      </c>
      <c r="P222" s="1207" t="s">
        <v>678</v>
      </c>
      <c r="Q222" s="1163"/>
      <c r="R222" s="1269">
        <v>30800000</v>
      </c>
      <c r="S222" s="1357">
        <v>30800000</v>
      </c>
      <c r="T222" s="1357">
        <f>+Tabla16[[#This Row],[CDPS A 31 JULIO 2022]]-Tabla16[[#This Row],[CDP]]</f>
        <v>0</v>
      </c>
      <c r="U222" s="1357">
        <v>30800000</v>
      </c>
      <c r="V222" s="1357">
        <v>11760000</v>
      </c>
      <c r="W222" s="135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07"/>
      <c r="BE222" s="1207"/>
      <c r="BF222" s="1207"/>
      <c r="BG222" s="1207"/>
      <c r="BH222" s="1207"/>
      <c r="BI222" s="1207"/>
      <c r="BJ222" s="1207"/>
      <c r="BK222" s="1207"/>
      <c r="BL222" s="1207"/>
      <c r="BM222" s="1207"/>
      <c r="BN222" s="1207"/>
      <c r="BO222" s="1207"/>
      <c r="BP222" s="1207"/>
      <c r="BQ222" s="1207"/>
      <c r="BR222" s="1207"/>
      <c r="BS222" s="1207"/>
      <c r="BT222" s="1207"/>
      <c r="BU222" s="1207"/>
      <c r="BV222" s="1207"/>
      <c r="BW222" s="1207"/>
      <c r="BX222" s="1207"/>
      <c r="BY222" s="1207"/>
      <c r="BZ222" s="1207"/>
      <c r="CA222" s="1207"/>
      <c r="CB222" s="1207"/>
      <c r="CC222" s="1207"/>
      <c r="CD222" s="1207"/>
      <c r="CE222" s="1207"/>
      <c r="CF222" s="1207"/>
    </row>
    <row r="223" spans="1:84" ht="105" x14ac:dyDescent="0.25">
      <c r="A223" s="1355">
        <v>2022229</v>
      </c>
      <c r="B223" s="1172">
        <v>7655</v>
      </c>
      <c r="C223" s="1356" t="s">
        <v>668</v>
      </c>
      <c r="D223" s="1190" t="s">
        <v>669</v>
      </c>
      <c r="E223" s="1174">
        <v>80111600</v>
      </c>
      <c r="F223" s="1380" t="s">
        <v>907</v>
      </c>
      <c r="G223" s="1381">
        <v>44562</v>
      </c>
      <c r="H223" s="1381">
        <v>44592</v>
      </c>
      <c r="I223" s="1176">
        <v>11</v>
      </c>
      <c r="J223" s="1176" t="s">
        <v>673</v>
      </c>
      <c r="K223" s="1177" t="s">
        <v>674</v>
      </c>
      <c r="L223" s="1178" t="s">
        <v>675</v>
      </c>
      <c r="M223" s="1179">
        <f>78320000-35600000</f>
        <v>42720000</v>
      </c>
      <c r="N223" s="1382" t="s">
        <v>781</v>
      </c>
      <c r="O223" s="1174" t="s">
        <v>771</v>
      </c>
      <c r="P223" s="1207" t="s">
        <v>678</v>
      </c>
      <c r="Q223" s="1163"/>
      <c r="R223" s="1269">
        <v>42720000</v>
      </c>
      <c r="S223" s="1357">
        <v>42720000</v>
      </c>
      <c r="T223" s="1357">
        <f>+Tabla16[[#This Row],[CDPS A 31 JULIO 2022]]-Tabla16[[#This Row],[CDP]]</f>
        <v>0</v>
      </c>
      <c r="U223" s="1357">
        <v>42720000</v>
      </c>
      <c r="V223" s="1357">
        <v>31802667</v>
      </c>
      <c r="W223" s="135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07"/>
      <c r="BE223" s="1207"/>
      <c r="BF223" s="1207"/>
      <c r="BG223" s="1207"/>
      <c r="BH223" s="1207"/>
      <c r="BI223" s="1207"/>
      <c r="BJ223" s="1207"/>
      <c r="BK223" s="1207"/>
      <c r="BL223" s="1207"/>
      <c r="BM223" s="1207"/>
      <c r="BN223" s="1207"/>
      <c r="BO223" s="1207"/>
      <c r="BP223" s="1207"/>
      <c r="BQ223" s="1207"/>
      <c r="BR223" s="1207"/>
      <c r="BS223" s="1207"/>
      <c r="BT223" s="1207"/>
      <c r="BU223" s="1207"/>
      <c r="BV223" s="1207"/>
      <c r="BW223" s="1207"/>
      <c r="BX223" s="1207"/>
      <c r="BY223" s="1207"/>
      <c r="BZ223" s="1207"/>
      <c r="CA223" s="1207"/>
      <c r="CB223" s="1207"/>
      <c r="CC223" s="1207"/>
      <c r="CD223" s="1207"/>
      <c r="CE223" s="1207"/>
      <c r="CF223" s="1207"/>
    </row>
    <row r="224" spans="1:84" ht="105" x14ac:dyDescent="0.25">
      <c r="A224" s="1355">
        <v>2022230</v>
      </c>
      <c r="B224" s="1172">
        <v>7655</v>
      </c>
      <c r="C224" s="1356" t="s">
        <v>668</v>
      </c>
      <c r="D224" s="1190" t="s">
        <v>669</v>
      </c>
      <c r="E224" s="1174">
        <v>80111600</v>
      </c>
      <c r="F224" s="1380" t="s">
        <v>908</v>
      </c>
      <c r="G224" s="1381">
        <v>44562</v>
      </c>
      <c r="H224" s="1381">
        <v>44592</v>
      </c>
      <c r="I224" s="1176">
        <v>11</v>
      </c>
      <c r="J224" s="1176" t="s">
        <v>673</v>
      </c>
      <c r="K224" s="1177" t="s">
        <v>674</v>
      </c>
      <c r="L224" s="1178" t="s">
        <v>675</v>
      </c>
      <c r="M224" s="1179">
        <v>102520000</v>
      </c>
      <c r="N224" s="1382" t="s">
        <v>781</v>
      </c>
      <c r="O224" s="1174" t="s">
        <v>771</v>
      </c>
      <c r="P224" s="1207" t="s">
        <v>678</v>
      </c>
      <c r="Q224" s="1163"/>
      <c r="R224" s="1269">
        <v>205040000</v>
      </c>
      <c r="S224" s="1357">
        <v>205040000</v>
      </c>
      <c r="T224" s="1357">
        <f>+Tabla16[[#This Row],[CDPS A 31 JULIO 2022]]-Tabla16[[#This Row],[CDP]]</f>
        <v>0</v>
      </c>
      <c r="U224" s="1357">
        <v>102520000</v>
      </c>
      <c r="V224" s="1357">
        <v>41008000</v>
      </c>
      <c r="W224" s="135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07"/>
      <c r="BE224" s="1207"/>
      <c r="BF224" s="1207"/>
      <c r="BG224" s="1207"/>
      <c r="BH224" s="1207"/>
      <c r="BI224" s="1207"/>
      <c r="BJ224" s="1207"/>
      <c r="BK224" s="1207"/>
      <c r="BL224" s="1207"/>
      <c r="BM224" s="1207"/>
      <c r="BN224" s="1207"/>
      <c r="BO224" s="1207"/>
      <c r="BP224" s="1207"/>
      <c r="BQ224" s="1207"/>
      <c r="BR224" s="1207"/>
      <c r="BS224" s="1207"/>
      <c r="BT224" s="1207"/>
      <c r="BU224" s="1207"/>
      <c r="BV224" s="1207"/>
      <c r="BW224" s="1207"/>
      <c r="BX224" s="1207"/>
      <c r="BY224" s="1207"/>
      <c r="BZ224" s="1207"/>
      <c r="CA224" s="1207"/>
      <c r="CB224" s="1207"/>
      <c r="CC224" s="1207"/>
      <c r="CD224" s="1207"/>
      <c r="CE224" s="1207"/>
      <c r="CF224" s="1207"/>
    </row>
    <row r="225" spans="1:84" ht="105" x14ac:dyDescent="0.25">
      <c r="A225" s="1355">
        <v>2022231</v>
      </c>
      <c r="B225" s="1172">
        <v>7655</v>
      </c>
      <c r="C225" s="1356" t="s">
        <v>668</v>
      </c>
      <c r="D225" s="1190" t="s">
        <v>669</v>
      </c>
      <c r="E225" s="1174">
        <v>80111600</v>
      </c>
      <c r="F225" s="1380" t="s">
        <v>909</v>
      </c>
      <c r="G225" s="1381">
        <v>44562</v>
      </c>
      <c r="H225" s="1381">
        <v>44592</v>
      </c>
      <c r="I225" s="1176">
        <v>11</v>
      </c>
      <c r="J225" s="1176" t="s">
        <v>673</v>
      </c>
      <c r="K225" s="1177" t="s">
        <v>674</v>
      </c>
      <c r="L225" s="1178" t="s">
        <v>675</v>
      </c>
      <c r="M225" s="1179">
        <f>101200000-8800000-19200000</f>
        <v>73200000</v>
      </c>
      <c r="N225" s="1382" t="s">
        <v>781</v>
      </c>
      <c r="O225" s="1174" t="s">
        <v>771</v>
      </c>
      <c r="P225" s="1207" t="s">
        <v>678</v>
      </c>
      <c r="Q225" s="1163"/>
      <c r="R225" s="1269">
        <v>55200000</v>
      </c>
      <c r="S225" s="1357">
        <v>55200000</v>
      </c>
      <c r="T225" s="1357">
        <f>+Tabla16[[#This Row],[CDPS A 31 JULIO 2022]]-Tabla16[[#This Row],[CDP]]</f>
        <v>0</v>
      </c>
      <c r="U225" s="1357">
        <v>55200000</v>
      </c>
      <c r="V225" s="1357">
        <v>40786667</v>
      </c>
      <c r="W225" s="1357"/>
      <c r="X225" s="1207"/>
      <c r="Y225" s="1207"/>
      <c r="Z225" s="1207"/>
      <c r="AA225" s="1207"/>
      <c r="AB225" s="1207"/>
      <c r="AC225" s="1207"/>
      <c r="AD225" s="1207"/>
      <c r="AE225" s="1207"/>
      <c r="AF225" s="1207"/>
      <c r="AG225" s="1207"/>
      <c r="AH225" s="1207"/>
      <c r="AI225" s="1207"/>
      <c r="AJ225" s="1207"/>
      <c r="AK225" s="1207"/>
      <c r="AL225" s="1207"/>
      <c r="AM225" s="1207"/>
      <c r="AN225" s="1207"/>
      <c r="AO225" s="1207"/>
      <c r="AP225" s="1207"/>
      <c r="AQ225" s="1207"/>
      <c r="AR225" s="1207"/>
      <c r="AS225" s="1207"/>
      <c r="AT225" s="1207"/>
      <c r="AU225" s="1207"/>
      <c r="AV225" s="1207"/>
      <c r="AW225" s="1207"/>
      <c r="AX225" s="1207"/>
      <c r="AY225" s="1207"/>
      <c r="AZ225" s="1207"/>
      <c r="BA225" s="1207"/>
      <c r="BB225" s="1207"/>
      <c r="BC225" s="1207"/>
      <c r="BD225" s="1207"/>
      <c r="BE225" s="1207"/>
      <c r="BF225" s="1207"/>
      <c r="BG225" s="1207"/>
      <c r="BH225" s="1207"/>
      <c r="BI225" s="1207"/>
      <c r="BJ225" s="1207"/>
      <c r="BK225" s="1207"/>
      <c r="BL225" s="1207"/>
      <c r="BM225" s="1207"/>
      <c r="BN225" s="1207"/>
      <c r="BO225" s="1207"/>
      <c r="BP225" s="1207"/>
      <c r="BQ225" s="1207"/>
      <c r="BR225" s="1207"/>
      <c r="BS225" s="1207"/>
      <c r="BT225" s="1207"/>
      <c r="BU225" s="1207"/>
      <c r="BV225" s="1207"/>
      <c r="BW225" s="1207"/>
      <c r="BX225" s="1207"/>
      <c r="BY225" s="1207"/>
      <c r="BZ225" s="1207"/>
      <c r="CA225" s="1207"/>
      <c r="CB225" s="1207"/>
      <c r="CC225" s="1207"/>
      <c r="CD225" s="1207"/>
      <c r="CE225" s="1207"/>
      <c r="CF225" s="1207"/>
    </row>
    <row r="226" spans="1:84" ht="105" x14ac:dyDescent="0.25">
      <c r="A226" s="1355">
        <v>2022232</v>
      </c>
      <c r="B226" s="1172">
        <v>7655</v>
      </c>
      <c r="C226" s="1356" t="s">
        <v>668</v>
      </c>
      <c r="D226" s="1190" t="s">
        <v>669</v>
      </c>
      <c r="E226" s="1174">
        <v>80111600</v>
      </c>
      <c r="F226" s="1380" t="s">
        <v>910</v>
      </c>
      <c r="G226" s="1381">
        <v>44562</v>
      </c>
      <c r="H226" s="1381">
        <v>44592</v>
      </c>
      <c r="I226" s="1176">
        <v>11</v>
      </c>
      <c r="J226" s="1176" t="s">
        <v>673</v>
      </c>
      <c r="K226" s="1177" t="s">
        <v>674</v>
      </c>
      <c r="L226" s="1178" t="s">
        <v>675</v>
      </c>
      <c r="M226" s="1179">
        <v>58080000</v>
      </c>
      <c r="N226" s="1382" t="s">
        <v>781</v>
      </c>
      <c r="O226" s="1174" t="s">
        <v>771</v>
      </c>
      <c r="P226" s="1207" t="s">
        <v>678</v>
      </c>
      <c r="Q226" s="1163"/>
      <c r="R226" s="1269">
        <v>58080000</v>
      </c>
      <c r="S226" s="1357">
        <v>58080000</v>
      </c>
      <c r="T226" s="1357">
        <f>+Tabla16[[#This Row],[CDPS A 31 JULIO 2022]]-Tabla16[[#This Row],[CDP]]</f>
        <v>0</v>
      </c>
      <c r="U226" s="1357">
        <v>58080000</v>
      </c>
      <c r="V226" s="1357">
        <v>24112000</v>
      </c>
      <c r="W226" s="135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07"/>
      <c r="BE226" s="1207"/>
      <c r="BF226" s="1207"/>
      <c r="BG226" s="1207"/>
      <c r="BH226" s="1207"/>
      <c r="BI226" s="1207"/>
      <c r="BJ226" s="1207"/>
      <c r="BK226" s="1207"/>
      <c r="BL226" s="1207"/>
      <c r="BM226" s="1207"/>
      <c r="BN226" s="1207"/>
      <c r="BO226" s="1207"/>
      <c r="BP226" s="1207"/>
      <c r="BQ226" s="1207"/>
      <c r="BR226" s="1207"/>
      <c r="BS226" s="1207"/>
      <c r="BT226" s="1207"/>
      <c r="BU226" s="1207"/>
      <c r="BV226" s="1207"/>
      <c r="BW226" s="1207"/>
      <c r="BX226" s="1207"/>
      <c r="BY226" s="1207"/>
      <c r="BZ226" s="1207"/>
      <c r="CA226" s="1207"/>
      <c r="CB226" s="1207"/>
      <c r="CC226" s="1207"/>
      <c r="CD226" s="1207"/>
      <c r="CE226" s="1207"/>
      <c r="CF226" s="1207"/>
    </row>
    <row r="227" spans="1:84" ht="105" x14ac:dyDescent="0.25">
      <c r="A227" s="1355">
        <v>2022233</v>
      </c>
      <c r="B227" s="1172">
        <v>7655</v>
      </c>
      <c r="C227" s="1356" t="s">
        <v>668</v>
      </c>
      <c r="D227" s="1190" t="s">
        <v>669</v>
      </c>
      <c r="E227" s="1174">
        <v>80111600</v>
      </c>
      <c r="F227" s="1380" t="s">
        <v>911</v>
      </c>
      <c r="G227" s="1381">
        <v>44562</v>
      </c>
      <c r="H227" s="1381">
        <v>44592</v>
      </c>
      <c r="I227" s="1176">
        <v>11</v>
      </c>
      <c r="J227" s="1176" t="s">
        <v>673</v>
      </c>
      <c r="K227" s="1177" t="s">
        <v>674</v>
      </c>
      <c r="L227" s="1178" t="s">
        <v>675</v>
      </c>
      <c r="M227" s="1179">
        <v>42350000</v>
      </c>
      <c r="N227" s="1382" t="s">
        <v>781</v>
      </c>
      <c r="O227" s="1174" t="s">
        <v>771</v>
      </c>
      <c r="P227" s="1207" t="s">
        <v>678</v>
      </c>
      <c r="Q227" s="1163"/>
      <c r="R227" s="1269">
        <v>42350000</v>
      </c>
      <c r="S227" s="1357">
        <v>42350000</v>
      </c>
      <c r="T227" s="1357">
        <f>+Tabla16[[#This Row],[CDPS A 31 JULIO 2022]]-Tabla16[[#This Row],[CDP]]</f>
        <v>0</v>
      </c>
      <c r="U227" s="1357">
        <v>42350000</v>
      </c>
      <c r="V227" s="1357">
        <v>17068333</v>
      </c>
      <c r="W227" s="1357"/>
      <c r="X227" s="1207"/>
      <c r="Y227" s="1207"/>
      <c r="Z227" s="1207"/>
      <c r="AA227" s="1207"/>
      <c r="AB227" s="1207"/>
      <c r="AC227" s="1207"/>
      <c r="AD227" s="1207"/>
      <c r="AE227" s="1207"/>
      <c r="AF227" s="1207"/>
      <c r="AG227" s="1207"/>
      <c r="AH227" s="1207"/>
      <c r="AI227" s="1207"/>
      <c r="AJ227" s="1207"/>
      <c r="AK227" s="1207"/>
      <c r="AL227" s="1207"/>
      <c r="AM227" s="1207"/>
      <c r="AN227" s="1207"/>
      <c r="AO227" s="1207"/>
      <c r="AP227" s="1207"/>
      <c r="AQ227" s="1207"/>
      <c r="AR227" s="1207"/>
      <c r="AS227" s="1207"/>
      <c r="AT227" s="1207"/>
      <c r="AU227" s="1207"/>
      <c r="AV227" s="1207"/>
      <c r="AW227" s="1207"/>
      <c r="AX227" s="1207"/>
      <c r="AY227" s="1207"/>
      <c r="AZ227" s="1207"/>
      <c r="BA227" s="1207"/>
      <c r="BB227" s="1207"/>
      <c r="BC227" s="1207"/>
      <c r="BD227" s="1207"/>
      <c r="BE227" s="1207"/>
      <c r="BF227" s="1207"/>
      <c r="BG227" s="1207"/>
      <c r="BH227" s="1207"/>
      <c r="BI227" s="1207"/>
      <c r="BJ227" s="1207"/>
      <c r="BK227" s="1207"/>
      <c r="BL227" s="1207"/>
      <c r="BM227" s="1207"/>
      <c r="BN227" s="1207"/>
      <c r="BO227" s="1207"/>
      <c r="BP227" s="1207"/>
      <c r="BQ227" s="1207"/>
      <c r="BR227" s="1207"/>
      <c r="BS227" s="1207"/>
      <c r="BT227" s="1207"/>
      <c r="BU227" s="1207"/>
      <c r="BV227" s="1207"/>
      <c r="BW227" s="1207"/>
      <c r="BX227" s="1207"/>
      <c r="BY227" s="1207"/>
      <c r="BZ227" s="1207"/>
      <c r="CA227" s="1207"/>
      <c r="CB227" s="1207"/>
      <c r="CC227" s="1207"/>
      <c r="CD227" s="1207"/>
      <c r="CE227" s="1207"/>
      <c r="CF227" s="1207"/>
    </row>
    <row r="228" spans="1:84" ht="105" x14ac:dyDescent="0.25">
      <c r="A228" s="1355">
        <v>2022234</v>
      </c>
      <c r="B228" s="1172">
        <v>7655</v>
      </c>
      <c r="C228" s="1356" t="s">
        <v>668</v>
      </c>
      <c r="D228" s="1190" t="s">
        <v>669</v>
      </c>
      <c r="E228" s="1174">
        <v>80111600</v>
      </c>
      <c r="F228" s="1380" t="s">
        <v>912</v>
      </c>
      <c r="G228" s="1381">
        <v>44562</v>
      </c>
      <c r="H228" s="1381">
        <v>44592</v>
      </c>
      <c r="I228" s="1176">
        <v>11</v>
      </c>
      <c r="J228" s="1176" t="s">
        <v>673</v>
      </c>
      <c r="K228" s="1177" t="s">
        <v>674</v>
      </c>
      <c r="L228" s="1178" t="s">
        <v>675</v>
      </c>
      <c r="M228" s="1179">
        <f>39600000-11500000-5480000</f>
        <v>22620000</v>
      </c>
      <c r="N228" s="1382" t="s">
        <v>781</v>
      </c>
      <c r="O228" s="1174" t="s">
        <v>771</v>
      </c>
      <c r="P228" s="1207" t="s">
        <v>678</v>
      </c>
      <c r="Q228" s="1163"/>
      <c r="R228" s="1269">
        <v>13800000</v>
      </c>
      <c r="S228" s="1357">
        <v>13800000</v>
      </c>
      <c r="T228" s="1357">
        <f>+Tabla16[[#This Row],[CDPS A 31 JULIO 2022]]-Tabla16[[#This Row],[CDP]]</f>
        <v>0</v>
      </c>
      <c r="U228" s="1357">
        <v>13800000</v>
      </c>
      <c r="V228" s="1357">
        <v>9046667</v>
      </c>
      <c r="W228" s="1357"/>
      <c r="X228" s="1207"/>
      <c r="Y228" s="1207"/>
      <c r="Z228" s="1207"/>
      <c r="AA228" s="1207"/>
      <c r="AB228" s="1207"/>
      <c r="AC228" s="1207"/>
      <c r="AD228" s="1207"/>
      <c r="AE228" s="1207"/>
      <c r="AF228" s="1207"/>
      <c r="AG228" s="1207"/>
      <c r="AH228" s="1207"/>
      <c r="AI228" s="1207"/>
      <c r="AJ228" s="1207"/>
      <c r="AK228" s="1207"/>
      <c r="AL228" s="1207"/>
      <c r="AM228" s="1207"/>
      <c r="AN228" s="1207"/>
      <c r="AO228" s="1207"/>
      <c r="AP228" s="1207"/>
      <c r="AQ228" s="1207"/>
      <c r="AR228" s="1207"/>
      <c r="AS228" s="1207"/>
      <c r="AT228" s="1207"/>
      <c r="AU228" s="1207"/>
      <c r="AV228" s="1207"/>
      <c r="AW228" s="1207"/>
      <c r="AX228" s="1207"/>
      <c r="AY228" s="1207"/>
      <c r="AZ228" s="1207"/>
      <c r="BA228" s="1207"/>
      <c r="BB228" s="1207"/>
      <c r="BC228" s="1207"/>
      <c r="BD228" s="1207"/>
      <c r="BE228" s="1207"/>
      <c r="BF228" s="1207"/>
      <c r="BG228" s="1207"/>
      <c r="BH228" s="1207"/>
      <c r="BI228" s="1207"/>
      <c r="BJ228" s="1207"/>
      <c r="BK228" s="1207"/>
      <c r="BL228" s="1207"/>
      <c r="BM228" s="1207"/>
      <c r="BN228" s="1207"/>
      <c r="BO228" s="1207"/>
      <c r="BP228" s="1207"/>
      <c r="BQ228" s="1207"/>
      <c r="BR228" s="1207"/>
      <c r="BS228" s="1207"/>
      <c r="BT228" s="1207"/>
      <c r="BU228" s="1207"/>
      <c r="BV228" s="1207"/>
      <c r="BW228" s="1207"/>
      <c r="BX228" s="1207"/>
      <c r="BY228" s="1207"/>
      <c r="BZ228" s="1207"/>
      <c r="CA228" s="1207"/>
      <c r="CB228" s="1207"/>
      <c r="CC228" s="1207"/>
      <c r="CD228" s="1207"/>
      <c r="CE228" s="1207"/>
      <c r="CF228" s="1207"/>
    </row>
    <row r="229" spans="1:84" ht="105" x14ac:dyDescent="0.25">
      <c r="A229" s="1355">
        <v>2022235</v>
      </c>
      <c r="B229" s="1172">
        <v>7655</v>
      </c>
      <c r="C229" s="1356" t="s">
        <v>668</v>
      </c>
      <c r="D229" s="1190" t="s">
        <v>669</v>
      </c>
      <c r="E229" s="1174">
        <v>80111600</v>
      </c>
      <c r="F229" s="1380" t="s">
        <v>913</v>
      </c>
      <c r="G229" s="1381">
        <v>44562</v>
      </c>
      <c r="H229" s="1381">
        <v>44592</v>
      </c>
      <c r="I229" s="1176">
        <v>11</v>
      </c>
      <c r="J229" s="1176" t="s">
        <v>673</v>
      </c>
      <c r="K229" s="1177" t="s">
        <v>674</v>
      </c>
      <c r="L229" s="1178" t="s">
        <v>675</v>
      </c>
      <c r="M229" s="1179">
        <v>39600000</v>
      </c>
      <c r="N229" s="1382" t="s">
        <v>781</v>
      </c>
      <c r="O229" s="1174" t="s">
        <v>771</v>
      </c>
      <c r="P229" s="1207" t="s">
        <v>678</v>
      </c>
      <c r="Q229" s="1163"/>
      <c r="R229" s="1269">
        <v>39600000</v>
      </c>
      <c r="S229" s="1357">
        <v>39600000</v>
      </c>
      <c r="T229" s="1357">
        <f>+Tabla16[[#This Row],[CDPS A 31 JULIO 2022]]-Tabla16[[#This Row],[CDP]]</f>
        <v>0</v>
      </c>
      <c r="U229" s="1357">
        <v>39600000</v>
      </c>
      <c r="V229" s="1357">
        <v>15840000</v>
      </c>
      <c r="W229" s="1357"/>
      <c r="X229" s="1207"/>
      <c r="Y229" s="1207"/>
      <c r="Z229" s="1207"/>
      <c r="AA229" s="1207"/>
      <c r="AB229" s="1207"/>
      <c r="AC229" s="1207"/>
      <c r="AD229" s="1207"/>
      <c r="AE229" s="1207"/>
      <c r="AF229" s="1207"/>
      <c r="AG229" s="1207"/>
      <c r="AH229" s="1207"/>
      <c r="AI229" s="1207"/>
      <c r="AJ229" s="1207"/>
      <c r="AK229" s="1207"/>
      <c r="AL229" s="1207"/>
      <c r="AM229" s="1207"/>
      <c r="AN229" s="1207"/>
      <c r="AO229" s="1207"/>
      <c r="AP229" s="1207"/>
      <c r="AQ229" s="1207"/>
      <c r="AR229" s="1207"/>
      <c r="AS229" s="1207"/>
      <c r="AT229" s="1207"/>
      <c r="AU229" s="1207"/>
      <c r="AV229" s="1207"/>
      <c r="AW229" s="1207"/>
      <c r="AX229" s="1207"/>
      <c r="AY229" s="1207"/>
      <c r="AZ229" s="1207"/>
      <c r="BA229" s="1207"/>
      <c r="BB229" s="1207"/>
      <c r="BC229" s="1207"/>
      <c r="BD229" s="1207"/>
      <c r="BE229" s="1207"/>
      <c r="BF229" s="1207"/>
      <c r="BG229" s="1207"/>
      <c r="BH229" s="1207"/>
      <c r="BI229" s="1207"/>
      <c r="BJ229" s="1207"/>
      <c r="BK229" s="1207"/>
      <c r="BL229" s="1207"/>
      <c r="BM229" s="1207"/>
      <c r="BN229" s="1207"/>
      <c r="BO229" s="1207"/>
      <c r="BP229" s="1207"/>
      <c r="BQ229" s="1207"/>
      <c r="BR229" s="1207"/>
      <c r="BS229" s="1207"/>
      <c r="BT229" s="1207"/>
      <c r="BU229" s="1207"/>
      <c r="BV229" s="1207"/>
      <c r="BW229" s="1207"/>
      <c r="BX229" s="1207"/>
      <c r="BY229" s="1207"/>
      <c r="BZ229" s="1207"/>
      <c r="CA229" s="1207"/>
      <c r="CB229" s="1207"/>
      <c r="CC229" s="1207"/>
      <c r="CD229" s="1207"/>
      <c r="CE229" s="1207"/>
      <c r="CF229" s="1207"/>
    </row>
    <row r="230" spans="1:84" ht="135" x14ac:dyDescent="0.25">
      <c r="A230" s="1355">
        <v>2022236</v>
      </c>
      <c r="B230" s="1172">
        <v>7658</v>
      </c>
      <c r="C230" s="1356" t="s">
        <v>679</v>
      </c>
      <c r="D230" s="1190" t="s">
        <v>698</v>
      </c>
      <c r="E230" s="1174">
        <v>80111600</v>
      </c>
      <c r="F230" s="1380" t="s">
        <v>914</v>
      </c>
      <c r="G230" s="1381">
        <v>44562</v>
      </c>
      <c r="H230" s="1381">
        <v>44592</v>
      </c>
      <c r="I230" s="1176">
        <v>11.5</v>
      </c>
      <c r="J230" s="1176" t="s">
        <v>673</v>
      </c>
      <c r="K230" s="1177" t="s">
        <v>674</v>
      </c>
      <c r="L230" s="1178" t="s">
        <v>675</v>
      </c>
      <c r="M230" s="1179">
        <f>39100000-1700000</f>
        <v>37400000</v>
      </c>
      <c r="N230" s="1382" t="s">
        <v>775</v>
      </c>
      <c r="O230" s="1174" t="s">
        <v>915</v>
      </c>
      <c r="P230" s="1163" t="s">
        <v>678</v>
      </c>
      <c r="Q230" s="1163"/>
      <c r="R230" s="1357">
        <v>37400000</v>
      </c>
      <c r="S230" s="1357">
        <v>37400000</v>
      </c>
      <c r="T230" s="1357">
        <f>+Tabla16[[#This Row],[CDPS A 31 JULIO 2022]]-Tabla16[[#This Row],[CDP]]</f>
        <v>0</v>
      </c>
      <c r="U230" s="1357">
        <v>37400000</v>
      </c>
      <c r="V230" s="1357">
        <v>14053333</v>
      </c>
      <c r="W230" s="1357"/>
      <c r="X230" s="1207"/>
      <c r="Y230" s="1207"/>
      <c r="Z230" s="1207"/>
      <c r="AA230" s="1207"/>
      <c r="AB230" s="1207"/>
      <c r="AC230" s="1207"/>
      <c r="AD230" s="1207"/>
      <c r="AE230" s="1207"/>
      <c r="AF230" s="1207"/>
      <c r="AG230" s="1207"/>
      <c r="AH230" s="1207"/>
      <c r="AI230" s="1207"/>
      <c r="AJ230" s="1207"/>
      <c r="AK230" s="1207"/>
      <c r="AL230" s="1207"/>
      <c r="AM230" s="1207"/>
      <c r="AN230" s="1207"/>
      <c r="AO230" s="1207"/>
      <c r="AP230" s="1207"/>
      <c r="AQ230" s="1207"/>
      <c r="AR230" s="1207"/>
      <c r="AS230" s="1207"/>
      <c r="AT230" s="1207"/>
      <c r="AU230" s="1207"/>
      <c r="AV230" s="1207"/>
      <c r="AW230" s="1207"/>
      <c r="AX230" s="1207"/>
      <c r="AY230" s="1207"/>
      <c r="AZ230" s="1207"/>
      <c r="BA230" s="1207"/>
      <c r="BB230" s="1207"/>
      <c r="BC230" s="1207"/>
      <c r="BD230" s="1207"/>
      <c r="BE230" s="1207"/>
      <c r="BF230" s="1207"/>
      <c r="BG230" s="1207"/>
      <c r="BH230" s="1207"/>
      <c r="BI230" s="1207"/>
      <c r="BJ230" s="1207"/>
      <c r="BK230" s="1207"/>
      <c r="BL230" s="1207"/>
      <c r="BM230" s="1207"/>
      <c r="BN230" s="1207"/>
      <c r="BO230" s="1207"/>
      <c r="BP230" s="1207"/>
      <c r="BQ230" s="1207"/>
      <c r="BR230" s="1207"/>
      <c r="BS230" s="1207"/>
      <c r="BT230" s="1207"/>
      <c r="BU230" s="1207"/>
      <c r="BV230" s="1207"/>
      <c r="BW230" s="1207"/>
      <c r="BX230" s="1207"/>
      <c r="BY230" s="1207"/>
      <c r="BZ230" s="1207"/>
      <c r="CA230" s="1207"/>
      <c r="CB230" s="1207"/>
      <c r="CC230" s="1207"/>
      <c r="CD230" s="1207"/>
      <c r="CE230" s="1207"/>
      <c r="CF230" s="1207"/>
    </row>
    <row r="231" spans="1:84" ht="105" x14ac:dyDescent="0.25">
      <c r="A231" s="1400">
        <v>2022237</v>
      </c>
      <c r="B231" s="1401">
        <v>7655</v>
      </c>
      <c r="C231" s="1402" t="s">
        <v>668</v>
      </c>
      <c r="D231" s="1403" t="s">
        <v>669</v>
      </c>
      <c r="E231" s="1404">
        <v>80111600</v>
      </c>
      <c r="F231" s="1405" t="s">
        <v>916</v>
      </c>
      <c r="G231" s="1406">
        <v>44562</v>
      </c>
      <c r="H231" s="1406">
        <v>44592</v>
      </c>
      <c r="I231" s="1407">
        <v>11</v>
      </c>
      <c r="J231" s="1407" t="s">
        <v>673</v>
      </c>
      <c r="K231" s="1408" t="s">
        <v>674</v>
      </c>
      <c r="L231" s="1409" t="s">
        <v>675</v>
      </c>
      <c r="M231" s="1410">
        <f>48735000-19500000</f>
        <v>29235000</v>
      </c>
      <c r="N231" s="1411" t="s">
        <v>781</v>
      </c>
      <c r="O231" s="1404" t="s">
        <v>771</v>
      </c>
      <c r="P231" s="1413" t="s">
        <v>678</v>
      </c>
      <c r="Q231" s="1163"/>
      <c r="R231" s="1269">
        <v>0</v>
      </c>
      <c r="S231" s="1357"/>
      <c r="T231" s="1357">
        <f>+Tabla16[[#This Row],[CDPS A 31 JULIO 2022]]-Tabla16[[#This Row],[CDP]]</f>
        <v>0</v>
      </c>
      <c r="U231" s="1357"/>
      <c r="V231" s="1357"/>
      <c r="W231" s="135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07"/>
      <c r="BE231" s="1207"/>
      <c r="BF231" s="1207"/>
      <c r="BG231" s="1207"/>
      <c r="BH231" s="1207"/>
      <c r="BI231" s="1207"/>
      <c r="BJ231" s="1207"/>
      <c r="BK231" s="1207"/>
      <c r="BL231" s="1207"/>
      <c r="BM231" s="1207"/>
      <c r="BN231" s="1207"/>
      <c r="BO231" s="1207"/>
      <c r="BP231" s="1207"/>
      <c r="BQ231" s="1207"/>
      <c r="BR231" s="1207"/>
      <c r="BS231" s="1207"/>
      <c r="BT231" s="1207"/>
      <c r="BU231" s="1207"/>
      <c r="BV231" s="1207"/>
      <c r="BW231" s="1207"/>
      <c r="BX231" s="1207"/>
      <c r="BY231" s="1207"/>
      <c r="BZ231" s="1207"/>
      <c r="CA231" s="1207"/>
      <c r="CB231" s="1207"/>
      <c r="CC231" s="1207"/>
      <c r="CD231" s="1207"/>
      <c r="CE231" s="1207"/>
      <c r="CF231" s="1207"/>
    </row>
    <row r="232" spans="1:84" ht="105" x14ac:dyDescent="0.25">
      <c r="A232" s="1355">
        <v>2022238</v>
      </c>
      <c r="B232" s="1172">
        <v>7655</v>
      </c>
      <c r="C232" s="1356" t="s">
        <v>668</v>
      </c>
      <c r="D232" s="1190" t="s">
        <v>669</v>
      </c>
      <c r="E232" s="1174">
        <v>80111600</v>
      </c>
      <c r="F232" s="1380" t="s">
        <v>917</v>
      </c>
      <c r="G232" s="1381">
        <v>44562</v>
      </c>
      <c r="H232" s="1381">
        <v>44592</v>
      </c>
      <c r="I232" s="1176">
        <v>11</v>
      </c>
      <c r="J232" s="1176" t="s">
        <v>673</v>
      </c>
      <c r="K232" s="1177" t="s">
        <v>674</v>
      </c>
      <c r="L232" s="1178" t="s">
        <v>675</v>
      </c>
      <c r="M232" s="1179">
        <f>44000000+8800000-24000000</f>
        <v>28800000</v>
      </c>
      <c r="N232" s="1382" t="s">
        <v>781</v>
      </c>
      <c r="O232" s="1174" t="s">
        <v>771</v>
      </c>
      <c r="P232" s="1163" t="s">
        <v>678</v>
      </c>
      <c r="Q232" s="1163"/>
      <c r="R232" s="1269">
        <v>28800000</v>
      </c>
      <c r="S232" s="1357">
        <v>28800000</v>
      </c>
      <c r="T232" s="1357">
        <f>+Tabla16[[#This Row],[CDPS A 31 JULIO 2022]]-Tabla16[[#This Row],[CDP]]</f>
        <v>0</v>
      </c>
      <c r="U232" s="1357">
        <v>28800000</v>
      </c>
      <c r="V232" s="1357">
        <v>18880000</v>
      </c>
      <c r="W232" s="1357"/>
      <c r="X232" s="1207"/>
      <c r="Y232" s="1207"/>
      <c r="Z232" s="1207"/>
      <c r="AA232" s="1207"/>
      <c r="AB232" s="1207"/>
      <c r="AC232" s="1207"/>
      <c r="AD232" s="1207"/>
      <c r="AE232" s="1207"/>
      <c r="AF232" s="1207"/>
      <c r="AG232" s="1207"/>
      <c r="AH232" s="1207"/>
      <c r="AI232" s="1207"/>
      <c r="AJ232" s="1207"/>
      <c r="AK232" s="1207"/>
      <c r="AL232" s="1207"/>
      <c r="AM232" s="1207"/>
      <c r="AN232" s="1207"/>
      <c r="AO232" s="1207"/>
      <c r="AP232" s="1207"/>
      <c r="AQ232" s="1207"/>
      <c r="AR232" s="1207"/>
      <c r="AS232" s="1207"/>
      <c r="AT232" s="1207"/>
      <c r="AU232" s="1207"/>
      <c r="AV232" s="1207"/>
      <c r="AW232" s="1207"/>
      <c r="AX232" s="1207"/>
      <c r="AY232" s="1207"/>
      <c r="AZ232" s="1207"/>
      <c r="BA232" s="1207"/>
      <c r="BB232" s="1207"/>
      <c r="BC232" s="1207"/>
      <c r="BD232" s="1207"/>
      <c r="BE232" s="1207"/>
      <c r="BF232" s="1207"/>
      <c r="BG232" s="1207"/>
      <c r="BH232" s="1207"/>
      <c r="BI232" s="1207"/>
      <c r="BJ232" s="1207"/>
      <c r="BK232" s="1207"/>
      <c r="BL232" s="1207"/>
      <c r="BM232" s="1207"/>
      <c r="BN232" s="1207"/>
      <c r="BO232" s="1207"/>
      <c r="BP232" s="1207"/>
      <c r="BQ232" s="1207"/>
      <c r="BR232" s="1207"/>
      <c r="BS232" s="1207"/>
      <c r="BT232" s="1207"/>
      <c r="BU232" s="1207"/>
      <c r="BV232" s="1207"/>
      <c r="BW232" s="1207"/>
      <c r="BX232" s="1207"/>
      <c r="BY232" s="1207"/>
      <c r="BZ232" s="1207"/>
      <c r="CA232" s="1207"/>
      <c r="CB232" s="1207"/>
      <c r="CC232" s="1207"/>
      <c r="CD232" s="1207"/>
      <c r="CE232" s="1207"/>
      <c r="CF232" s="1207"/>
    </row>
    <row r="233" spans="1:84" ht="105" x14ac:dyDescent="0.25">
      <c r="A233" s="1355">
        <v>2022239</v>
      </c>
      <c r="B233" s="1172">
        <v>7655</v>
      </c>
      <c r="C233" s="1356" t="s">
        <v>668</v>
      </c>
      <c r="D233" s="1190" t="s">
        <v>644</v>
      </c>
      <c r="E233" s="1174">
        <v>80111600</v>
      </c>
      <c r="F233" s="1380" t="s">
        <v>918</v>
      </c>
      <c r="G233" s="1381">
        <v>44562</v>
      </c>
      <c r="H233" s="1381">
        <v>44592</v>
      </c>
      <c r="I233" s="1176">
        <v>11</v>
      </c>
      <c r="J233" s="1176" t="s">
        <v>673</v>
      </c>
      <c r="K233" s="1177" t="s">
        <v>674</v>
      </c>
      <c r="L233" s="1178" t="s">
        <v>675</v>
      </c>
      <c r="M233" s="1179">
        <v>102520000</v>
      </c>
      <c r="N233" s="1382" t="s">
        <v>781</v>
      </c>
      <c r="O233" s="1174" t="s">
        <v>771</v>
      </c>
      <c r="P233" s="1163" t="s">
        <v>678</v>
      </c>
      <c r="Q233" s="1163"/>
      <c r="R233" s="1269">
        <v>102520000</v>
      </c>
      <c r="S233" s="1357">
        <v>102520000</v>
      </c>
      <c r="T233" s="1357">
        <f>+Tabla16[[#This Row],[CDPS A 31 JULIO 2022]]-Tabla16[[#This Row],[CDP]]</f>
        <v>0</v>
      </c>
      <c r="U233" s="1357">
        <v>102520000</v>
      </c>
      <c r="V233" s="1357">
        <v>37901334</v>
      </c>
      <c r="W233" s="1357"/>
      <c r="X233" s="1207"/>
      <c r="Y233" s="1207"/>
      <c r="Z233" s="1207"/>
      <c r="AA233" s="1207"/>
      <c r="AB233" s="1207"/>
      <c r="AC233" s="1207"/>
      <c r="AD233" s="1207"/>
      <c r="AE233" s="1207"/>
      <c r="AF233" s="1207"/>
      <c r="AG233" s="1207"/>
      <c r="AH233" s="1207"/>
      <c r="AI233" s="1207"/>
      <c r="AJ233" s="1207"/>
      <c r="AK233" s="1207"/>
      <c r="AL233" s="1207"/>
      <c r="AM233" s="1207"/>
      <c r="AN233" s="1207"/>
      <c r="AO233" s="1207"/>
      <c r="AP233" s="1207"/>
      <c r="AQ233" s="1207"/>
      <c r="AR233" s="1207"/>
      <c r="AS233" s="1207"/>
      <c r="AT233" s="1207"/>
      <c r="AU233" s="1207"/>
      <c r="AV233" s="1207"/>
      <c r="AW233" s="1207"/>
      <c r="AX233" s="1207"/>
      <c r="AY233" s="1207"/>
      <c r="AZ233" s="1207"/>
      <c r="BA233" s="1207"/>
      <c r="BB233" s="1207"/>
      <c r="BC233" s="1207"/>
      <c r="BD233" s="1207"/>
      <c r="BE233" s="1207"/>
      <c r="BF233" s="1207"/>
      <c r="BG233" s="1207"/>
      <c r="BH233" s="1207"/>
      <c r="BI233" s="1207"/>
      <c r="BJ233" s="1207"/>
      <c r="BK233" s="1207"/>
      <c r="BL233" s="1207"/>
      <c r="BM233" s="1207"/>
      <c r="BN233" s="1207"/>
      <c r="BO233" s="1207"/>
      <c r="BP233" s="1207"/>
      <c r="BQ233" s="1207"/>
      <c r="BR233" s="1207"/>
      <c r="BS233" s="1207"/>
      <c r="BT233" s="1207"/>
      <c r="BU233" s="1207"/>
      <c r="BV233" s="1207"/>
      <c r="BW233" s="1207"/>
      <c r="BX233" s="1207"/>
      <c r="BY233" s="1207"/>
      <c r="BZ233" s="1207"/>
      <c r="CA233" s="1207"/>
      <c r="CB233" s="1207"/>
      <c r="CC233" s="1207"/>
      <c r="CD233" s="1207"/>
      <c r="CE233" s="1207"/>
      <c r="CF233" s="1207"/>
    </row>
    <row r="234" spans="1:84" ht="105" x14ac:dyDescent="0.25">
      <c r="A234" s="1355">
        <v>2022240</v>
      </c>
      <c r="B234" s="1172">
        <v>7655</v>
      </c>
      <c r="C234" s="1356" t="s">
        <v>668</v>
      </c>
      <c r="D234" s="1190" t="s">
        <v>644</v>
      </c>
      <c r="E234" s="1174">
        <v>80111600</v>
      </c>
      <c r="F234" s="1380" t="s">
        <v>919</v>
      </c>
      <c r="G234" s="1381">
        <v>44562</v>
      </c>
      <c r="H234" s="1381">
        <v>44592</v>
      </c>
      <c r="I234" s="1176">
        <v>11</v>
      </c>
      <c r="J234" s="1176" t="s">
        <v>673</v>
      </c>
      <c r="K234" s="1177" t="s">
        <v>674</v>
      </c>
      <c r="L234" s="1178" t="s">
        <v>675</v>
      </c>
      <c r="M234" s="1179">
        <v>90200000</v>
      </c>
      <c r="N234" s="1382" t="s">
        <v>781</v>
      </c>
      <c r="O234" s="1174" t="s">
        <v>771</v>
      </c>
      <c r="P234" s="1163" t="s">
        <v>678</v>
      </c>
      <c r="Q234" s="1163"/>
      <c r="R234" s="1269">
        <v>90200000</v>
      </c>
      <c r="S234" s="1357">
        <v>90200000</v>
      </c>
      <c r="T234" s="1357">
        <f>+Tabla16[[#This Row],[CDPS A 31 JULIO 2022]]-Tabla16[[#This Row],[CDP]]</f>
        <v>0</v>
      </c>
      <c r="U234" s="1357">
        <v>90200000</v>
      </c>
      <c r="V234" s="1357">
        <v>37720000</v>
      </c>
      <c r="W234" s="1357"/>
      <c r="X234" s="1207"/>
      <c r="Y234" s="1207"/>
      <c r="Z234" s="1207"/>
      <c r="AA234" s="1207"/>
      <c r="AB234" s="1207"/>
      <c r="AC234" s="1207"/>
      <c r="AD234" s="1207"/>
      <c r="AE234" s="1207"/>
      <c r="AF234" s="1207"/>
      <c r="AG234" s="1207"/>
      <c r="AH234" s="1207"/>
      <c r="AI234" s="1207"/>
      <c r="AJ234" s="1207"/>
      <c r="AK234" s="1207"/>
      <c r="AL234" s="1207"/>
      <c r="AM234" s="1207"/>
      <c r="AN234" s="1207"/>
      <c r="AO234" s="1207"/>
      <c r="AP234" s="1207"/>
      <c r="AQ234" s="1207"/>
      <c r="AR234" s="1207"/>
      <c r="AS234" s="1207"/>
      <c r="AT234" s="1207"/>
      <c r="AU234" s="1207"/>
      <c r="AV234" s="1207"/>
      <c r="AW234" s="1207"/>
      <c r="AX234" s="1207"/>
      <c r="AY234" s="1207"/>
      <c r="AZ234" s="1207"/>
      <c r="BA234" s="1207"/>
      <c r="BB234" s="1207"/>
      <c r="BC234" s="1207"/>
      <c r="BD234" s="1207"/>
      <c r="BE234" s="1207"/>
      <c r="BF234" s="1207"/>
      <c r="BG234" s="1207"/>
      <c r="BH234" s="1207"/>
      <c r="BI234" s="1207"/>
      <c r="BJ234" s="1207"/>
      <c r="BK234" s="1207"/>
      <c r="BL234" s="1207"/>
      <c r="BM234" s="1207"/>
      <c r="BN234" s="1207"/>
      <c r="BO234" s="1207"/>
      <c r="BP234" s="1207"/>
      <c r="BQ234" s="1207"/>
      <c r="BR234" s="1207"/>
      <c r="BS234" s="1207"/>
      <c r="BT234" s="1207"/>
      <c r="BU234" s="1207"/>
      <c r="BV234" s="1207"/>
      <c r="BW234" s="1207"/>
      <c r="BX234" s="1207"/>
      <c r="BY234" s="1207"/>
      <c r="BZ234" s="1207"/>
      <c r="CA234" s="1207"/>
      <c r="CB234" s="1207"/>
      <c r="CC234" s="1207"/>
      <c r="CD234" s="1207"/>
      <c r="CE234" s="1207"/>
      <c r="CF234" s="1207"/>
    </row>
    <row r="235" spans="1:84" ht="105" x14ac:dyDescent="0.25">
      <c r="A235" s="1355">
        <v>2022241</v>
      </c>
      <c r="B235" s="1172">
        <v>7655</v>
      </c>
      <c r="C235" s="1356" t="s">
        <v>668</v>
      </c>
      <c r="D235" s="1190" t="s">
        <v>644</v>
      </c>
      <c r="E235" s="1174">
        <v>80111600</v>
      </c>
      <c r="F235" s="1380" t="s">
        <v>920</v>
      </c>
      <c r="G235" s="1381">
        <v>44562</v>
      </c>
      <c r="H235" s="1381">
        <v>44592</v>
      </c>
      <c r="I235" s="1176">
        <v>11</v>
      </c>
      <c r="J235" s="1176" t="s">
        <v>673</v>
      </c>
      <c r="K235" s="1177" t="s">
        <v>674</v>
      </c>
      <c r="L235" s="1178" t="s">
        <v>675</v>
      </c>
      <c r="M235" s="1179">
        <v>82500000</v>
      </c>
      <c r="N235" s="1382" t="s">
        <v>781</v>
      </c>
      <c r="O235" s="1174" t="s">
        <v>771</v>
      </c>
      <c r="P235" s="1163" t="s">
        <v>678</v>
      </c>
      <c r="Q235" s="1163"/>
      <c r="R235" s="1269">
        <v>82500000</v>
      </c>
      <c r="S235" s="1357">
        <v>82500000</v>
      </c>
      <c r="T235" s="1357">
        <f>+Tabla16[[#This Row],[CDPS A 31 JULIO 2022]]-Tabla16[[#This Row],[CDP]]</f>
        <v>0</v>
      </c>
      <c r="U235" s="1357">
        <v>82500000</v>
      </c>
      <c r="V235" s="1357">
        <v>32750000</v>
      </c>
      <c r="W235" s="1357"/>
      <c r="X235" s="1207"/>
      <c r="Y235" s="1207"/>
      <c r="Z235" s="1207"/>
      <c r="AA235" s="1207"/>
      <c r="AB235" s="1207"/>
      <c r="AC235" s="1207"/>
      <c r="AD235" s="1207"/>
      <c r="AE235" s="1207"/>
      <c r="AF235" s="1207"/>
      <c r="AG235" s="1207"/>
      <c r="AH235" s="1207"/>
      <c r="AI235" s="1207"/>
      <c r="AJ235" s="1207"/>
      <c r="AK235" s="1207"/>
      <c r="AL235" s="1207"/>
      <c r="AM235" s="1207"/>
      <c r="AN235" s="1207"/>
      <c r="AO235" s="1207"/>
      <c r="AP235" s="1207"/>
      <c r="AQ235" s="1207"/>
      <c r="AR235" s="1207"/>
      <c r="AS235" s="1207"/>
      <c r="AT235" s="1207"/>
      <c r="AU235" s="1207"/>
      <c r="AV235" s="1207"/>
      <c r="AW235" s="1207"/>
      <c r="AX235" s="1207"/>
      <c r="AY235" s="1207"/>
      <c r="AZ235" s="1207"/>
      <c r="BA235" s="1207"/>
      <c r="BB235" s="1207"/>
      <c r="BC235" s="1207"/>
      <c r="BD235" s="1207"/>
      <c r="BE235" s="1207"/>
      <c r="BF235" s="1207"/>
      <c r="BG235" s="1207"/>
      <c r="BH235" s="1207"/>
      <c r="BI235" s="1207"/>
      <c r="BJ235" s="1207"/>
      <c r="BK235" s="1207"/>
      <c r="BL235" s="1207"/>
      <c r="BM235" s="1207"/>
      <c r="BN235" s="1207"/>
      <c r="BO235" s="1207"/>
      <c r="BP235" s="1207"/>
      <c r="BQ235" s="1207"/>
      <c r="BR235" s="1207"/>
      <c r="BS235" s="1207"/>
      <c r="BT235" s="1207"/>
      <c r="BU235" s="1207"/>
      <c r="BV235" s="1207"/>
      <c r="BW235" s="1207"/>
      <c r="BX235" s="1207"/>
      <c r="BY235" s="1207"/>
      <c r="BZ235" s="1207"/>
      <c r="CA235" s="1207"/>
      <c r="CB235" s="1207"/>
      <c r="CC235" s="1207"/>
      <c r="CD235" s="1207"/>
      <c r="CE235" s="1207"/>
      <c r="CF235" s="1207"/>
    </row>
    <row r="236" spans="1:84" ht="105" x14ac:dyDescent="0.25">
      <c r="A236" s="1355">
        <v>2022242</v>
      </c>
      <c r="B236" s="1172">
        <v>7655</v>
      </c>
      <c r="C236" s="1356" t="s">
        <v>668</v>
      </c>
      <c r="D236" s="1190" t="s">
        <v>644</v>
      </c>
      <c r="E236" s="1174">
        <v>80111600</v>
      </c>
      <c r="F236" s="1380" t="s">
        <v>921</v>
      </c>
      <c r="G236" s="1381">
        <v>44562</v>
      </c>
      <c r="H236" s="1381">
        <v>44592</v>
      </c>
      <c r="I236" s="1176">
        <v>11</v>
      </c>
      <c r="J236" s="1176" t="s">
        <v>673</v>
      </c>
      <c r="K236" s="1177" t="s">
        <v>674</v>
      </c>
      <c r="L236" s="1178" t="s">
        <v>675</v>
      </c>
      <c r="M236" s="1179">
        <v>50600000</v>
      </c>
      <c r="N236" s="1382" t="s">
        <v>781</v>
      </c>
      <c r="O236" s="1174" t="s">
        <v>771</v>
      </c>
      <c r="P236" s="1163" t="s">
        <v>678</v>
      </c>
      <c r="Q236" s="1163"/>
      <c r="R236" s="1269">
        <v>50600000</v>
      </c>
      <c r="S236" s="1357">
        <v>50600000</v>
      </c>
      <c r="T236" s="1357">
        <f>+Tabla16[[#This Row],[CDPS A 31 JULIO 2022]]-Tabla16[[#This Row],[CDP]]</f>
        <v>0</v>
      </c>
      <c r="U236" s="1357">
        <v>50600000</v>
      </c>
      <c r="V236" s="1357">
        <v>19320000</v>
      </c>
      <c r="W236" s="135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7"/>
      <c r="BE236" s="1207"/>
      <c r="BF236" s="1207"/>
      <c r="BG236" s="1207"/>
      <c r="BH236" s="1207"/>
      <c r="BI236" s="1207"/>
      <c r="BJ236" s="1207"/>
      <c r="BK236" s="1207"/>
      <c r="BL236" s="1207"/>
      <c r="BM236" s="1207"/>
      <c r="BN236" s="1207"/>
      <c r="BO236" s="1207"/>
      <c r="BP236" s="1207"/>
      <c r="BQ236" s="1207"/>
      <c r="BR236" s="1207"/>
      <c r="BS236" s="1207"/>
      <c r="BT236" s="1207"/>
      <c r="BU236" s="1207"/>
      <c r="BV236" s="1207"/>
      <c r="BW236" s="1207"/>
      <c r="BX236" s="1207"/>
      <c r="BY236" s="1207"/>
      <c r="BZ236" s="1207"/>
      <c r="CA236" s="1207"/>
      <c r="CB236" s="1207"/>
      <c r="CC236" s="1207"/>
      <c r="CD236" s="1207"/>
      <c r="CE236" s="1207"/>
      <c r="CF236" s="1207"/>
    </row>
    <row r="237" spans="1:84" ht="105" x14ac:dyDescent="0.25">
      <c r="A237" s="1355">
        <v>2022243</v>
      </c>
      <c r="B237" s="1172">
        <v>7655</v>
      </c>
      <c r="C237" s="1356" t="s">
        <v>668</v>
      </c>
      <c r="D237" s="1190" t="s">
        <v>644</v>
      </c>
      <c r="E237" s="1174">
        <v>80111600</v>
      </c>
      <c r="F237" s="1380" t="s">
        <v>922</v>
      </c>
      <c r="G237" s="1381">
        <v>44562</v>
      </c>
      <c r="H237" s="1381">
        <v>44592</v>
      </c>
      <c r="I237" s="1176">
        <v>11</v>
      </c>
      <c r="J237" s="1176" t="s">
        <v>673</v>
      </c>
      <c r="K237" s="1177" t="s">
        <v>674</v>
      </c>
      <c r="L237" s="1178" t="s">
        <v>675</v>
      </c>
      <c r="M237" s="1179">
        <v>35200000</v>
      </c>
      <c r="N237" s="1382" t="s">
        <v>781</v>
      </c>
      <c r="O237" s="1174" t="s">
        <v>771</v>
      </c>
      <c r="P237" s="1163" t="s">
        <v>678</v>
      </c>
      <c r="Q237" s="1163"/>
      <c r="R237" s="1269">
        <v>30250000</v>
      </c>
      <c r="S237" s="1357">
        <v>30250000</v>
      </c>
      <c r="T237" s="1357">
        <f>+Tabla16[[#This Row],[CDPS A 31 JULIO 2022]]-Tabla16[[#This Row],[CDP]]</f>
        <v>0</v>
      </c>
      <c r="U237" s="1357">
        <v>30250000</v>
      </c>
      <c r="V237" s="1357">
        <v>10450000</v>
      </c>
      <c r="W237" s="1357"/>
      <c r="X237" s="1207"/>
      <c r="Y237" s="1207"/>
      <c r="Z237" s="1207"/>
      <c r="AA237" s="1207"/>
      <c r="AB237" s="1207"/>
      <c r="AC237" s="1207"/>
      <c r="AD237" s="1207"/>
      <c r="AE237" s="1207"/>
      <c r="AF237" s="1207"/>
      <c r="AG237" s="1207"/>
      <c r="AH237" s="1207"/>
      <c r="AI237" s="1207"/>
      <c r="AJ237" s="1207"/>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7"/>
      <c r="BE237" s="1207"/>
      <c r="BF237" s="1207"/>
      <c r="BG237" s="1207"/>
      <c r="BH237" s="1207"/>
      <c r="BI237" s="1207"/>
      <c r="BJ237" s="1207"/>
      <c r="BK237" s="1207"/>
      <c r="BL237" s="1207"/>
      <c r="BM237" s="1207"/>
      <c r="BN237" s="1207"/>
      <c r="BO237" s="1207"/>
      <c r="BP237" s="1207"/>
      <c r="BQ237" s="1207"/>
      <c r="BR237" s="1207"/>
      <c r="BS237" s="1207"/>
      <c r="BT237" s="1207"/>
      <c r="BU237" s="1207"/>
      <c r="BV237" s="1207"/>
      <c r="BW237" s="1207"/>
      <c r="BX237" s="1207"/>
      <c r="BY237" s="1207"/>
      <c r="BZ237" s="1207"/>
      <c r="CA237" s="1207"/>
      <c r="CB237" s="1207"/>
      <c r="CC237" s="1207"/>
      <c r="CD237" s="1207"/>
      <c r="CE237" s="1207"/>
      <c r="CF237" s="1207"/>
    </row>
    <row r="238" spans="1:84" ht="105" x14ac:dyDescent="0.25">
      <c r="A238" s="1355">
        <v>2022244</v>
      </c>
      <c r="B238" s="1172">
        <v>7655</v>
      </c>
      <c r="C238" s="1356" t="s">
        <v>668</v>
      </c>
      <c r="D238" s="1190" t="s">
        <v>644</v>
      </c>
      <c r="E238" s="1174">
        <v>80111600</v>
      </c>
      <c r="F238" s="1380" t="s">
        <v>923</v>
      </c>
      <c r="G238" s="1381">
        <v>44562</v>
      </c>
      <c r="H238" s="1381">
        <v>44592</v>
      </c>
      <c r="I238" s="1176">
        <v>11</v>
      </c>
      <c r="J238" s="1176" t="s">
        <v>673</v>
      </c>
      <c r="K238" s="1177" t="s">
        <v>674</v>
      </c>
      <c r="L238" s="1178" t="s">
        <v>675</v>
      </c>
      <c r="M238" s="1179">
        <v>39050000</v>
      </c>
      <c r="N238" s="1382" t="s">
        <v>781</v>
      </c>
      <c r="O238" s="1174" t="s">
        <v>771</v>
      </c>
      <c r="P238" s="1163" t="s">
        <v>678</v>
      </c>
      <c r="Q238" s="1163"/>
      <c r="R238" s="1269">
        <v>39050000</v>
      </c>
      <c r="S238" s="1357">
        <v>39050000</v>
      </c>
      <c r="T238" s="1357">
        <f>+Tabla16[[#This Row],[CDPS A 31 JULIO 2022]]-Tabla16[[#This Row],[CDP]]</f>
        <v>0</v>
      </c>
      <c r="U238" s="1357">
        <v>39050000</v>
      </c>
      <c r="V238" s="1357">
        <v>15501667</v>
      </c>
      <c r="W238" s="135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7"/>
      <c r="BE238" s="1207"/>
      <c r="BF238" s="1207"/>
      <c r="BG238" s="1207"/>
      <c r="BH238" s="1207"/>
      <c r="BI238" s="1207"/>
      <c r="BJ238" s="1207"/>
      <c r="BK238" s="1207"/>
      <c r="BL238" s="1207"/>
      <c r="BM238" s="1207"/>
      <c r="BN238" s="1207"/>
      <c r="BO238" s="1207"/>
      <c r="BP238" s="1207"/>
      <c r="BQ238" s="1207"/>
      <c r="BR238" s="1207"/>
      <c r="BS238" s="1207"/>
      <c r="BT238" s="1207"/>
      <c r="BU238" s="1207"/>
      <c r="BV238" s="1207"/>
      <c r="BW238" s="1207"/>
      <c r="BX238" s="1207"/>
      <c r="BY238" s="1207"/>
      <c r="BZ238" s="1207"/>
      <c r="CA238" s="1207"/>
      <c r="CB238" s="1207"/>
      <c r="CC238" s="1207"/>
      <c r="CD238" s="1207"/>
      <c r="CE238" s="1207"/>
      <c r="CF238" s="1207"/>
    </row>
    <row r="239" spans="1:84" ht="105" x14ac:dyDescent="0.25">
      <c r="A239" s="1355">
        <v>2022245</v>
      </c>
      <c r="B239" s="1172">
        <v>7655</v>
      </c>
      <c r="C239" s="1356" t="s">
        <v>668</v>
      </c>
      <c r="D239" s="1190" t="s">
        <v>644</v>
      </c>
      <c r="E239" s="1174">
        <v>80111600</v>
      </c>
      <c r="F239" s="1380" t="s">
        <v>924</v>
      </c>
      <c r="G239" s="1381">
        <v>44562</v>
      </c>
      <c r="H239" s="1381">
        <v>44592</v>
      </c>
      <c r="I239" s="1176">
        <v>11</v>
      </c>
      <c r="J239" s="1176" t="s">
        <v>673</v>
      </c>
      <c r="K239" s="1177" t="s">
        <v>674</v>
      </c>
      <c r="L239" s="1178" t="s">
        <v>675</v>
      </c>
      <c r="M239" s="1179">
        <v>39050000</v>
      </c>
      <c r="N239" s="1382" t="s">
        <v>781</v>
      </c>
      <c r="O239" s="1174" t="s">
        <v>771</v>
      </c>
      <c r="P239" s="1163" t="s">
        <v>678</v>
      </c>
      <c r="Q239" s="1163"/>
      <c r="R239" s="1269">
        <v>39050000</v>
      </c>
      <c r="S239" s="1357">
        <v>39050000</v>
      </c>
      <c r="T239" s="1357">
        <f>+Tabla16[[#This Row],[CDPS A 31 JULIO 2022]]-Tabla16[[#This Row],[CDP]]</f>
        <v>0</v>
      </c>
      <c r="U239" s="1357">
        <v>39050000</v>
      </c>
      <c r="V239" s="1357">
        <v>15620000</v>
      </c>
      <c r="W239" s="1357"/>
      <c r="X239" s="1207"/>
      <c r="Y239" s="1207"/>
      <c r="Z239" s="1207"/>
      <c r="AA239" s="1207"/>
      <c r="AB239" s="1207"/>
      <c r="AC239" s="1207"/>
      <c r="AD239" s="1207"/>
      <c r="AE239" s="1207"/>
      <c r="AF239" s="1207"/>
      <c r="AG239" s="1207"/>
      <c r="AH239" s="1207"/>
      <c r="AI239" s="1207"/>
      <c r="AJ239" s="1207"/>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7"/>
      <c r="BE239" s="1207"/>
      <c r="BF239" s="1207"/>
      <c r="BG239" s="1207"/>
      <c r="BH239" s="1207"/>
      <c r="BI239" s="1207"/>
      <c r="BJ239" s="1207"/>
      <c r="BK239" s="1207"/>
      <c r="BL239" s="1207"/>
      <c r="BM239" s="1207"/>
      <c r="BN239" s="1207"/>
      <c r="BO239" s="1207"/>
      <c r="BP239" s="1207"/>
      <c r="BQ239" s="1207"/>
      <c r="BR239" s="1207"/>
      <c r="BS239" s="1207"/>
      <c r="BT239" s="1207"/>
      <c r="BU239" s="1207"/>
      <c r="BV239" s="1207"/>
      <c r="BW239" s="1207"/>
      <c r="BX239" s="1207"/>
      <c r="BY239" s="1207"/>
      <c r="BZ239" s="1207"/>
      <c r="CA239" s="1207"/>
      <c r="CB239" s="1207"/>
      <c r="CC239" s="1207"/>
      <c r="CD239" s="1207"/>
      <c r="CE239" s="1207"/>
      <c r="CF239" s="1207"/>
    </row>
    <row r="240" spans="1:84" ht="105" x14ac:dyDescent="0.25">
      <c r="A240" s="1355">
        <v>2022246</v>
      </c>
      <c r="B240" s="1172">
        <v>7655</v>
      </c>
      <c r="C240" s="1356" t="s">
        <v>668</v>
      </c>
      <c r="D240" s="1190" t="s">
        <v>644</v>
      </c>
      <c r="E240" s="1174">
        <v>80111600</v>
      </c>
      <c r="F240" s="1380" t="s">
        <v>925</v>
      </c>
      <c r="G240" s="1381">
        <v>44562</v>
      </c>
      <c r="H240" s="1381">
        <v>44592</v>
      </c>
      <c r="I240" s="1176">
        <v>11</v>
      </c>
      <c r="J240" s="1176" t="s">
        <v>673</v>
      </c>
      <c r="K240" s="1177" t="s">
        <v>674</v>
      </c>
      <c r="L240" s="1178" t="s">
        <v>675</v>
      </c>
      <c r="M240" s="1179">
        <v>39050000</v>
      </c>
      <c r="N240" s="1382" t="s">
        <v>781</v>
      </c>
      <c r="O240" s="1174" t="s">
        <v>771</v>
      </c>
      <c r="P240" s="1163" t="s">
        <v>678</v>
      </c>
      <c r="Q240" s="1163"/>
      <c r="R240" s="1269">
        <v>39050000</v>
      </c>
      <c r="S240" s="1357">
        <v>39050000</v>
      </c>
      <c r="T240" s="1357">
        <f>+Tabla16[[#This Row],[CDPS A 31 JULIO 2022]]-Tabla16[[#This Row],[CDP]]</f>
        <v>0</v>
      </c>
      <c r="U240" s="1357">
        <v>39050000</v>
      </c>
      <c r="V240" s="1357">
        <v>15501667</v>
      </c>
      <c r="W240" s="135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7"/>
      <c r="BE240" s="1207"/>
      <c r="BF240" s="1207"/>
      <c r="BG240" s="1207"/>
      <c r="BH240" s="1207"/>
      <c r="BI240" s="1207"/>
      <c r="BJ240" s="1207"/>
      <c r="BK240" s="1207"/>
      <c r="BL240" s="1207"/>
      <c r="BM240" s="1207"/>
      <c r="BN240" s="1207"/>
      <c r="BO240" s="1207"/>
      <c r="BP240" s="1207"/>
      <c r="BQ240" s="1207"/>
      <c r="BR240" s="1207"/>
      <c r="BS240" s="1207"/>
      <c r="BT240" s="1207"/>
      <c r="BU240" s="1207"/>
      <c r="BV240" s="1207"/>
      <c r="BW240" s="1207"/>
      <c r="BX240" s="1207"/>
      <c r="BY240" s="1207"/>
      <c r="BZ240" s="1207"/>
      <c r="CA240" s="1207"/>
      <c r="CB240" s="1207"/>
      <c r="CC240" s="1207"/>
      <c r="CD240" s="1207"/>
      <c r="CE240" s="1207"/>
      <c r="CF240" s="1207"/>
    </row>
    <row r="241" spans="1:84" ht="105" x14ac:dyDescent="0.25">
      <c r="A241" s="1355">
        <v>2022247</v>
      </c>
      <c r="B241" s="1172">
        <v>7655</v>
      </c>
      <c r="C241" s="1356" t="s">
        <v>668</v>
      </c>
      <c r="D241" s="1190" t="s">
        <v>644</v>
      </c>
      <c r="E241" s="1174">
        <v>80111600</v>
      </c>
      <c r="F241" s="1380" t="s">
        <v>926</v>
      </c>
      <c r="G241" s="1381">
        <v>44562</v>
      </c>
      <c r="H241" s="1381">
        <v>44592</v>
      </c>
      <c r="I241" s="1176">
        <v>11</v>
      </c>
      <c r="J241" s="1176" t="s">
        <v>673</v>
      </c>
      <c r="K241" s="1177" t="s">
        <v>674</v>
      </c>
      <c r="L241" s="1178" t="s">
        <v>675</v>
      </c>
      <c r="M241" s="1179">
        <v>30250000</v>
      </c>
      <c r="N241" s="1382" t="s">
        <v>781</v>
      </c>
      <c r="O241" s="1174" t="s">
        <v>771</v>
      </c>
      <c r="P241" s="1159" t="s">
        <v>678</v>
      </c>
      <c r="Q241" s="1163"/>
      <c r="R241" s="1269">
        <v>30250000</v>
      </c>
      <c r="S241" s="1357">
        <v>30250000</v>
      </c>
      <c r="T241" s="1357">
        <f>+Tabla16[[#This Row],[CDPS A 31 JULIO 2022]]-Tabla16[[#This Row],[CDP]]</f>
        <v>0</v>
      </c>
      <c r="U241" s="1357">
        <v>30250000</v>
      </c>
      <c r="V241" s="1357">
        <v>12100000</v>
      </c>
      <c r="W241" s="1357"/>
      <c r="X241" s="1207"/>
      <c r="Y241" s="1207"/>
      <c r="Z241" s="1207"/>
      <c r="AA241" s="1207"/>
      <c r="AB241" s="1207"/>
      <c r="AC241" s="1207"/>
      <c r="AD241" s="1207"/>
      <c r="AE241" s="1207"/>
      <c r="AF241" s="1207"/>
      <c r="AG241" s="1207"/>
      <c r="AH241" s="1207"/>
      <c r="AI241" s="1207"/>
      <c r="AJ241" s="1207"/>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7"/>
      <c r="BE241" s="1207"/>
      <c r="BF241" s="1207"/>
      <c r="BG241" s="1207"/>
      <c r="BH241" s="1207"/>
      <c r="BI241" s="1207"/>
      <c r="BJ241" s="1207"/>
      <c r="BK241" s="1207"/>
      <c r="BL241" s="1207"/>
      <c r="BM241" s="1207"/>
      <c r="BN241" s="1207"/>
      <c r="BO241" s="1207"/>
      <c r="BP241" s="1207"/>
      <c r="BQ241" s="1207"/>
      <c r="BR241" s="1207"/>
      <c r="BS241" s="1207"/>
      <c r="BT241" s="1207"/>
      <c r="BU241" s="1207"/>
      <c r="BV241" s="1207"/>
      <c r="BW241" s="1207"/>
      <c r="BX241" s="1207"/>
      <c r="BY241" s="1207"/>
      <c r="BZ241" s="1207"/>
      <c r="CA241" s="1207"/>
      <c r="CB241" s="1207"/>
      <c r="CC241" s="1207"/>
      <c r="CD241" s="1207"/>
      <c r="CE241" s="1207"/>
      <c r="CF241" s="1207"/>
    </row>
    <row r="242" spans="1:84" ht="105" x14ac:dyDescent="0.25">
      <c r="A242" s="1355">
        <v>2022248</v>
      </c>
      <c r="B242" s="1172">
        <v>7655</v>
      </c>
      <c r="C242" s="1356" t="s">
        <v>668</v>
      </c>
      <c r="D242" s="1190" t="s">
        <v>644</v>
      </c>
      <c r="E242" s="1174">
        <v>80111600</v>
      </c>
      <c r="F242" s="1380" t="s">
        <v>927</v>
      </c>
      <c r="G242" s="1381">
        <v>44562</v>
      </c>
      <c r="H242" s="1381">
        <v>44592</v>
      </c>
      <c r="I242" s="1176">
        <v>11</v>
      </c>
      <c r="J242" s="1176" t="s">
        <v>673</v>
      </c>
      <c r="K242" s="1177" t="s">
        <v>674</v>
      </c>
      <c r="L242" s="1178" t="s">
        <v>675</v>
      </c>
      <c r="M242" s="1179">
        <v>36850000</v>
      </c>
      <c r="N242" s="1382" t="s">
        <v>781</v>
      </c>
      <c r="O242" s="1174" t="s">
        <v>771</v>
      </c>
      <c r="P242" s="1159" t="s">
        <v>678</v>
      </c>
      <c r="Q242" s="1163"/>
      <c r="R242" s="1269">
        <v>36850000</v>
      </c>
      <c r="S242" s="1357">
        <v>36850000</v>
      </c>
      <c r="T242" s="1357">
        <f>+Tabla16[[#This Row],[CDPS A 31 JULIO 2022]]-Tabla16[[#This Row],[CDP]]</f>
        <v>0</v>
      </c>
      <c r="U242" s="1357">
        <v>36850000</v>
      </c>
      <c r="V242" s="1357">
        <v>14628333</v>
      </c>
      <c r="W242" s="135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7"/>
      <c r="BE242" s="1207"/>
      <c r="BF242" s="1207"/>
      <c r="BG242" s="1207"/>
      <c r="BH242" s="1207"/>
      <c r="BI242" s="1207"/>
      <c r="BJ242" s="1207"/>
      <c r="BK242" s="1207"/>
      <c r="BL242" s="1207"/>
      <c r="BM242" s="1207"/>
      <c r="BN242" s="1207"/>
      <c r="BO242" s="1207"/>
      <c r="BP242" s="1207"/>
      <c r="BQ242" s="1207"/>
      <c r="BR242" s="1207"/>
      <c r="BS242" s="1207"/>
      <c r="BT242" s="1207"/>
      <c r="BU242" s="1207"/>
      <c r="BV242" s="1207"/>
      <c r="BW242" s="1207"/>
      <c r="BX242" s="1207"/>
      <c r="BY242" s="1207"/>
      <c r="BZ242" s="1207"/>
      <c r="CA242" s="1207"/>
      <c r="CB242" s="1207"/>
      <c r="CC242" s="1207"/>
      <c r="CD242" s="1207"/>
      <c r="CE242" s="1207"/>
      <c r="CF242" s="1207"/>
    </row>
    <row r="243" spans="1:84" ht="105" x14ac:dyDescent="0.25">
      <c r="A243" s="1355">
        <v>2022249</v>
      </c>
      <c r="B243" s="1172">
        <v>7655</v>
      </c>
      <c r="C243" s="1356" t="s">
        <v>668</v>
      </c>
      <c r="D243" s="1190" t="s">
        <v>644</v>
      </c>
      <c r="E243" s="1174">
        <v>80111600</v>
      </c>
      <c r="F243" s="1380" t="s">
        <v>928</v>
      </c>
      <c r="G243" s="1381">
        <v>44562</v>
      </c>
      <c r="H243" s="1381">
        <v>44592</v>
      </c>
      <c r="I243" s="1176">
        <v>11</v>
      </c>
      <c r="J243" s="1176" t="s">
        <v>673</v>
      </c>
      <c r="K243" s="1177" t="s">
        <v>674</v>
      </c>
      <c r="L243" s="1178" t="s">
        <v>675</v>
      </c>
      <c r="M243" s="1179">
        <v>38500000</v>
      </c>
      <c r="N243" s="1382" t="s">
        <v>781</v>
      </c>
      <c r="O243" s="1174" t="s">
        <v>771</v>
      </c>
      <c r="P243" s="1159" t="s">
        <v>678</v>
      </c>
      <c r="Q243" s="1163"/>
      <c r="R243" s="1269">
        <v>38500000</v>
      </c>
      <c r="S243" s="1357">
        <v>38500000</v>
      </c>
      <c r="T243" s="1357">
        <f>+Tabla16[[#This Row],[CDPS A 31 JULIO 2022]]-Tabla16[[#This Row],[CDP]]</f>
        <v>0</v>
      </c>
      <c r="U243" s="1357">
        <v>38500000</v>
      </c>
      <c r="V243" s="1357">
        <v>14700000</v>
      </c>
      <c r="W243" s="1357"/>
      <c r="X243" s="1207"/>
      <c r="Y243" s="1207"/>
      <c r="Z243" s="1207"/>
      <c r="AA243" s="1207"/>
      <c r="AB243" s="1207"/>
      <c r="AC243" s="1207"/>
      <c r="AD243" s="1207"/>
      <c r="AE243" s="1207"/>
      <c r="AF243" s="1207"/>
      <c r="AG243" s="1207"/>
      <c r="AH243" s="1207"/>
      <c r="AI243" s="1207"/>
      <c r="AJ243" s="1207"/>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7"/>
      <c r="BE243" s="1207"/>
      <c r="BF243" s="1207"/>
      <c r="BG243" s="1207"/>
      <c r="BH243" s="1207"/>
      <c r="BI243" s="1207"/>
      <c r="BJ243" s="1207"/>
      <c r="BK243" s="1207"/>
      <c r="BL243" s="1207"/>
      <c r="BM243" s="1207"/>
      <c r="BN243" s="1207"/>
      <c r="BO243" s="1207"/>
      <c r="BP243" s="1207"/>
      <c r="BQ243" s="1207"/>
      <c r="BR243" s="1207"/>
      <c r="BS243" s="1207"/>
      <c r="BT243" s="1207"/>
      <c r="BU243" s="1207"/>
      <c r="BV243" s="1207"/>
      <c r="BW243" s="1207"/>
      <c r="BX243" s="1207"/>
      <c r="BY243" s="1207"/>
      <c r="BZ243" s="1207"/>
      <c r="CA243" s="1207"/>
      <c r="CB243" s="1207"/>
      <c r="CC243" s="1207"/>
      <c r="CD243" s="1207"/>
      <c r="CE243" s="1207"/>
      <c r="CF243" s="1207"/>
    </row>
    <row r="244" spans="1:84" ht="105" x14ac:dyDescent="0.25">
      <c r="A244" s="1355">
        <v>2022250</v>
      </c>
      <c r="B244" s="1172">
        <v>7655</v>
      </c>
      <c r="C244" s="1356" t="s">
        <v>668</v>
      </c>
      <c r="D244" s="1190" t="s">
        <v>644</v>
      </c>
      <c r="E244" s="1174">
        <v>80111600</v>
      </c>
      <c r="F244" s="1380" t="s">
        <v>929</v>
      </c>
      <c r="G244" s="1381">
        <v>44562</v>
      </c>
      <c r="H244" s="1381">
        <v>44592</v>
      </c>
      <c r="I244" s="1176">
        <v>11</v>
      </c>
      <c r="J244" s="1176" t="s">
        <v>673</v>
      </c>
      <c r="K244" s="1177" t="s">
        <v>674</v>
      </c>
      <c r="L244" s="1178" t="s">
        <v>675</v>
      </c>
      <c r="M244" s="1179">
        <v>95700000</v>
      </c>
      <c r="N244" s="1382" t="s">
        <v>781</v>
      </c>
      <c r="O244" s="1174" t="s">
        <v>771</v>
      </c>
      <c r="P244" s="1159" t="s">
        <v>678</v>
      </c>
      <c r="Q244" s="1163"/>
      <c r="R244" s="1269">
        <v>95700000</v>
      </c>
      <c r="S244" s="1357">
        <v>95700000</v>
      </c>
      <c r="T244" s="1357">
        <f>+Tabla16[[#This Row],[CDPS A 31 JULIO 2022]]-Tabla16[[#This Row],[CDP]]</f>
        <v>0</v>
      </c>
      <c r="U244" s="1357">
        <v>95700000</v>
      </c>
      <c r="V244" s="1357">
        <v>37700000</v>
      </c>
      <c r="W244" s="135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7"/>
      <c r="BE244" s="1207"/>
      <c r="BF244" s="1207"/>
      <c r="BG244" s="1207"/>
      <c r="BH244" s="1207"/>
      <c r="BI244" s="1207"/>
      <c r="BJ244" s="1207"/>
      <c r="BK244" s="1207"/>
      <c r="BL244" s="1207"/>
      <c r="BM244" s="1207"/>
      <c r="BN244" s="1207"/>
      <c r="BO244" s="1207"/>
      <c r="BP244" s="1207"/>
      <c r="BQ244" s="1207"/>
      <c r="BR244" s="1207"/>
      <c r="BS244" s="1207"/>
      <c r="BT244" s="1207"/>
      <c r="BU244" s="1207"/>
      <c r="BV244" s="1207"/>
      <c r="BW244" s="1207"/>
      <c r="BX244" s="1207"/>
      <c r="BY244" s="1207"/>
      <c r="BZ244" s="1207"/>
      <c r="CA244" s="1207"/>
      <c r="CB244" s="1207"/>
      <c r="CC244" s="1207"/>
      <c r="CD244" s="1207"/>
      <c r="CE244" s="1207"/>
      <c r="CF244" s="1207"/>
    </row>
    <row r="245" spans="1:84" ht="135" x14ac:dyDescent="0.25">
      <c r="A245" s="1355">
        <v>2022251</v>
      </c>
      <c r="B245" s="1172">
        <v>7658</v>
      </c>
      <c r="C245" s="1356" t="s">
        <v>679</v>
      </c>
      <c r="D245" s="1190" t="s">
        <v>689</v>
      </c>
      <c r="E245" s="1174">
        <v>80111600</v>
      </c>
      <c r="F245" s="1380" t="s">
        <v>930</v>
      </c>
      <c r="G245" s="1381">
        <v>44575</v>
      </c>
      <c r="H245" s="1381">
        <v>44575</v>
      </c>
      <c r="I245" s="1176">
        <v>11.5</v>
      </c>
      <c r="J245" s="1176" t="s">
        <v>673</v>
      </c>
      <c r="K245" s="1177" t="s">
        <v>674</v>
      </c>
      <c r="L245" s="1178" t="s">
        <v>675</v>
      </c>
      <c r="M245" s="1179">
        <f>103500000-52400000</f>
        <v>51100000</v>
      </c>
      <c r="N245" s="1382" t="s">
        <v>931</v>
      </c>
      <c r="O245" s="1174" t="s">
        <v>915</v>
      </c>
      <c r="P245" s="1159" t="s">
        <v>678</v>
      </c>
      <c r="Q245" s="1163"/>
      <c r="R245" s="1269">
        <v>0</v>
      </c>
      <c r="S245" s="1357"/>
      <c r="T245" s="1357">
        <f>+Tabla16[[#This Row],[CDPS A 31 JULIO 2022]]-Tabla16[[#This Row],[CDP]]</f>
        <v>0</v>
      </c>
      <c r="U245" s="1357"/>
      <c r="V245" s="1357"/>
      <c r="W245" s="1357"/>
      <c r="X245" s="1207"/>
      <c r="Y245" s="1207"/>
      <c r="Z245" s="1207"/>
      <c r="AA245" s="1207"/>
      <c r="AB245" s="1207"/>
      <c r="AC245" s="1207"/>
      <c r="AD245" s="1207"/>
      <c r="AE245" s="1207"/>
      <c r="AF245" s="1207"/>
      <c r="AG245" s="1207"/>
      <c r="AH245" s="1207"/>
      <c r="AI245" s="1207"/>
      <c r="AJ245" s="1207"/>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7"/>
      <c r="BE245" s="1207"/>
      <c r="BF245" s="1207"/>
      <c r="BG245" s="1207"/>
      <c r="BH245" s="1207"/>
      <c r="BI245" s="1207"/>
      <c r="BJ245" s="1207"/>
      <c r="BK245" s="1207"/>
      <c r="BL245" s="1207"/>
      <c r="BM245" s="1207"/>
      <c r="BN245" s="1207"/>
      <c r="BO245" s="1207"/>
      <c r="BP245" s="1207"/>
      <c r="BQ245" s="1207"/>
      <c r="BR245" s="1207"/>
      <c r="BS245" s="1207"/>
      <c r="BT245" s="1207"/>
      <c r="BU245" s="1207"/>
      <c r="BV245" s="1207"/>
      <c r="BW245" s="1207"/>
      <c r="BX245" s="1207"/>
      <c r="BY245" s="1207"/>
      <c r="BZ245" s="1207"/>
      <c r="CA245" s="1207"/>
      <c r="CB245" s="1207"/>
      <c r="CC245" s="1207"/>
      <c r="CD245" s="1207"/>
      <c r="CE245" s="1207"/>
      <c r="CF245" s="1207"/>
    </row>
    <row r="246" spans="1:84" ht="135" x14ac:dyDescent="0.25">
      <c r="A246" s="1355">
        <v>2022252</v>
      </c>
      <c r="B246" s="1172">
        <v>7658</v>
      </c>
      <c r="C246" s="1356" t="s">
        <v>679</v>
      </c>
      <c r="D246" s="1190" t="s">
        <v>689</v>
      </c>
      <c r="E246" s="1174">
        <v>80111600</v>
      </c>
      <c r="F246" s="1380" t="s">
        <v>932</v>
      </c>
      <c r="G246" s="1381">
        <v>44575</v>
      </c>
      <c r="H246" s="1381">
        <v>44575</v>
      </c>
      <c r="I246" s="1176">
        <v>11.5</v>
      </c>
      <c r="J246" s="1176" t="s">
        <v>673</v>
      </c>
      <c r="K246" s="1177" t="s">
        <v>674</v>
      </c>
      <c r="L246" s="1178" t="s">
        <v>780</v>
      </c>
      <c r="M246" s="1179">
        <v>103500000</v>
      </c>
      <c r="N246" s="1382" t="s">
        <v>931</v>
      </c>
      <c r="O246" s="1174" t="s">
        <v>915</v>
      </c>
      <c r="P246" s="1163" t="s">
        <v>678</v>
      </c>
      <c r="Q246" s="1163"/>
      <c r="R246" s="1357">
        <v>103500000</v>
      </c>
      <c r="S246" s="1357">
        <v>103500000</v>
      </c>
      <c r="T246" s="1357">
        <f>+Tabla16[[#This Row],[CDPS A 31 JULIO 2022]]-Tabla16[[#This Row],[CDP]]</f>
        <v>0</v>
      </c>
      <c r="U246" s="1357">
        <v>103500000</v>
      </c>
      <c r="V246" s="1357">
        <v>39900000</v>
      </c>
      <c r="W246" s="135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7"/>
      <c r="BE246" s="1207"/>
      <c r="BF246" s="1207"/>
      <c r="BG246" s="1207"/>
      <c r="BH246" s="1207"/>
      <c r="BI246" s="1207"/>
      <c r="BJ246" s="1207"/>
      <c r="BK246" s="1207"/>
      <c r="BL246" s="1207"/>
      <c r="BM246" s="1207"/>
      <c r="BN246" s="1207"/>
      <c r="BO246" s="1207"/>
      <c r="BP246" s="1207"/>
      <c r="BQ246" s="1207"/>
      <c r="BR246" s="1207"/>
      <c r="BS246" s="1207"/>
      <c r="BT246" s="1207"/>
      <c r="BU246" s="1207"/>
      <c r="BV246" s="1207"/>
      <c r="BW246" s="1207"/>
      <c r="BX246" s="1207"/>
      <c r="BY246" s="1207"/>
      <c r="BZ246" s="1207"/>
      <c r="CA246" s="1207"/>
      <c r="CB246" s="1207"/>
      <c r="CC246" s="1207"/>
      <c r="CD246" s="1207"/>
      <c r="CE246" s="1207"/>
      <c r="CF246" s="1207"/>
    </row>
    <row r="247" spans="1:84" ht="135" x14ac:dyDescent="0.25">
      <c r="A247" s="1355">
        <v>2022253</v>
      </c>
      <c r="B247" s="1172">
        <v>7658</v>
      </c>
      <c r="C247" s="1356" t="s">
        <v>679</v>
      </c>
      <c r="D247" s="1190" t="s">
        <v>689</v>
      </c>
      <c r="E247" s="1174">
        <v>80111600</v>
      </c>
      <c r="F247" s="1380" t="s">
        <v>933</v>
      </c>
      <c r="G247" s="1381">
        <v>44575</v>
      </c>
      <c r="H247" s="1381">
        <v>44575</v>
      </c>
      <c r="I247" s="1176">
        <v>11.5</v>
      </c>
      <c r="J247" s="1176" t="s">
        <v>673</v>
      </c>
      <c r="K247" s="1177" t="s">
        <v>674</v>
      </c>
      <c r="L247" s="1178" t="s">
        <v>675</v>
      </c>
      <c r="M247" s="1179">
        <f>32775000-575000</f>
        <v>32200000</v>
      </c>
      <c r="N247" s="1382" t="s">
        <v>931</v>
      </c>
      <c r="O247" s="1174" t="s">
        <v>915</v>
      </c>
      <c r="P247" s="1163" t="s">
        <v>678</v>
      </c>
      <c r="Q247" s="1163"/>
      <c r="R247" s="1357">
        <v>32200000</v>
      </c>
      <c r="S247" s="1357">
        <v>32200000</v>
      </c>
      <c r="T247" s="1357">
        <f>+Tabla16[[#This Row],[CDPS A 31 JULIO 2022]]-Tabla16[[#This Row],[CDP]]</f>
        <v>0</v>
      </c>
      <c r="U247" s="1357">
        <v>32200000</v>
      </c>
      <c r="V247" s="1357">
        <v>11293333</v>
      </c>
      <c r="W247" s="1357"/>
      <c r="X247" s="1207"/>
      <c r="Y247" s="1207"/>
      <c r="Z247" s="1207"/>
      <c r="AA247" s="1207"/>
      <c r="AB247" s="1207"/>
      <c r="AC247" s="1207"/>
      <c r="AD247" s="1207"/>
      <c r="AE247" s="1207"/>
      <c r="AF247" s="1207"/>
      <c r="AG247" s="1207"/>
      <c r="AH247" s="1207"/>
      <c r="AI247" s="1207"/>
      <c r="AJ247" s="1207"/>
      <c r="AK247" s="1207"/>
      <c r="AL247" s="1207"/>
      <c r="AM247" s="1207"/>
      <c r="AN247" s="1207"/>
      <c r="AO247" s="1207"/>
      <c r="AP247" s="1207"/>
      <c r="AQ247" s="1207"/>
      <c r="AR247" s="1207"/>
      <c r="AS247" s="1207"/>
      <c r="AT247" s="1207"/>
      <c r="AU247" s="1207"/>
      <c r="AV247" s="1207"/>
      <c r="AW247" s="1207"/>
      <c r="AX247" s="1207"/>
      <c r="AY247" s="1207"/>
      <c r="AZ247" s="1207"/>
      <c r="BA247" s="1207"/>
      <c r="BB247" s="1207"/>
      <c r="BC247" s="1207"/>
      <c r="BD247" s="1207"/>
      <c r="BE247" s="1207"/>
      <c r="BF247" s="1207"/>
      <c r="BG247" s="1207"/>
      <c r="BH247" s="1207"/>
      <c r="BI247" s="1207"/>
      <c r="BJ247" s="1207"/>
      <c r="BK247" s="1207"/>
      <c r="BL247" s="1207"/>
      <c r="BM247" s="1207"/>
      <c r="BN247" s="1207"/>
      <c r="BO247" s="1207"/>
      <c r="BP247" s="1207"/>
      <c r="BQ247" s="1207"/>
      <c r="BR247" s="1207"/>
      <c r="BS247" s="1207"/>
      <c r="BT247" s="1207"/>
      <c r="BU247" s="1207"/>
      <c r="BV247" s="1207"/>
      <c r="BW247" s="1207"/>
      <c r="BX247" s="1207"/>
      <c r="BY247" s="1207"/>
      <c r="BZ247" s="1207"/>
      <c r="CA247" s="1207"/>
      <c r="CB247" s="1207"/>
      <c r="CC247" s="1207"/>
      <c r="CD247" s="1207"/>
      <c r="CE247" s="1207"/>
      <c r="CF247" s="1207"/>
    </row>
    <row r="248" spans="1:84" ht="135" x14ac:dyDescent="0.25">
      <c r="A248" s="1355">
        <v>2022255</v>
      </c>
      <c r="B248" s="1172">
        <v>7658</v>
      </c>
      <c r="C248" s="1356" t="s">
        <v>679</v>
      </c>
      <c r="D248" s="1190" t="s">
        <v>689</v>
      </c>
      <c r="E248" s="1174">
        <v>80111600</v>
      </c>
      <c r="F248" s="1380" t="s">
        <v>934</v>
      </c>
      <c r="G248" s="1381">
        <v>44575</v>
      </c>
      <c r="H248" s="1381">
        <v>44575</v>
      </c>
      <c r="I248" s="1176">
        <v>11.5</v>
      </c>
      <c r="J248" s="1176" t="s">
        <v>673</v>
      </c>
      <c r="K248" s="1177" t="s">
        <v>674</v>
      </c>
      <c r="L248" s="1178" t="s">
        <v>675</v>
      </c>
      <c r="M248" s="1179">
        <v>83950000</v>
      </c>
      <c r="N248" s="1382" t="s">
        <v>931</v>
      </c>
      <c r="O248" s="1174" t="s">
        <v>915</v>
      </c>
      <c r="P248" s="1163" t="s">
        <v>678</v>
      </c>
      <c r="Q248" s="1163"/>
      <c r="R248" s="1357">
        <v>83950000</v>
      </c>
      <c r="S248" s="1357">
        <v>83950000</v>
      </c>
      <c r="T248" s="1357">
        <f>+Tabla16[[#This Row],[CDPS A 31 JULIO 2022]]-Tabla16[[#This Row],[CDP]]</f>
        <v>0</v>
      </c>
      <c r="U248" s="1357">
        <v>83950000</v>
      </c>
      <c r="V248" s="1357">
        <v>31876667</v>
      </c>
      <c r="W248" s="1357"/>
      <c r="X248" s="1207"/>
      <c r="Y248" s="1207"/>
      <c r="Z248" s="1207"/>
      <c r="AA248" s="1207"/>
      <c r="AB248" s="1207"/>
      <c r="AC248" s="1207"/>
      <c r="AD248" s="1207"/>
      <c r="AE248" s="1207"/>
      <c r="AF248" s="1207"/>
      <c r="AG248" s="1207"/>
      <c r="AH248" s="1207"/>
      <c r="AI248" s="1207"/>
      <c r="AJ248" s="1207"/>
      <c r="AK248" s="1207"/>
      <c r="AL248" s="1207"/>
      <c r="AM248" s="1207"/>
      <c r="AN248" s="1207"/>
      <c r="AO248" s="1207"/>
      <c r="AP248" s="1207"/>
      <c r="AQ248" s="1207"/>
      <c r="AR248" s="1207"/>
      <c r="AS248" s="1207"/>
      <c r="AT248" s="1207"/>
      <c r="AU248" s="1207"/>
      <c r="AV248" s="1207"/>
      <c r="AW248" s="1207"/>
      <c r="AX248" s="1207"/>
      <c r="AY248" s="1207"/>
      <c r="AZ248" s="1207"/>
      <c r="BA248" s="1207"/>
      <c r="BB248" s="1207"/>
      <c r="BC248" s="1207"/>
      <c r="BD248" s="1207"/>
      <c r="BE248" s="1207"/>
      <c r="BF248" s="1207"/>
      <c r="BG248" s="1207"/>
      <c r="BH248" s="1207"/>
      <c r="BI248" s="1207"/>
      <c r="BJ248" s="1207"/>
      <c r="BK248" s="1207"/>
      <c r="BL248" s="1207"/>
      <c r="BM248" s="1207"/>
      <c r="BN248" s="1207"/>
      <c r="BO248" s="1207"/>
      <c r="BP248" s="1207"/>
      <c r="BQ248" s="1207"/>
      <c r="BR248" s="1207"/>
      <c r="BS248" s="1207"/>
      <c r="BT248" s="1207"/>
      <c r="BU248" s="1207"/>
      <c r="BV248" s="1207"/>
      <c r="BW248" s="1207"/>
      <c r="BX248" s="1207"/>
      <c r="BY248" s="1207"/>
      <c r="BZ248" s="1207"/>
      <c r="CA248" s="1207"/>
      <c r="CB248" s="1207"/>
      <c r="CC248" s="1207"/>
      <c r="CD248" s="1207"/>
      <c r="CE248" s="1207"/>
      <c r="CF248" s="1207"/>
    </row>
    <row r="249" spans="1:84" ht="135" x14ac:dyDescent="0.25">
      <c r="A249" s="1355">
        <v>2022257</v>
      </c>
      <c r="B249" s="1172">
        <v>7658</v>
      </c>
      <c r="C249" s="1356" t="s">
        <v>679</v>
      </c>
      <c r="D249" s="1190" t="s">
        <v>689</v>
      </c>
      <c r="E249" s="1174">
        <v>80111600</v>
      </c>
      <c r="F249" s="1380" t="s">
        <v>935</v>
      </c>
      <c r="G249" s="1381">
        <v>44575</v>
      </c>
      <c r="H249" s="1381">
        <v>44575</v>
      </c>
      <c r="I249" s="1176">
        <v>11.5</v>
      </c>
      <c r="J249" s="1176" t="s">
        <v>673</v>
      </c>
      <c r="K249" s="1177" t="s">
        <v>674</v>
      </c>
      <c r="L249" s="1178" t="s">
        <v>675</v>
      </c>
      <c r="M249" s="1179">
        <v>83950000</v>
      </c>
      <c r="N249" s="1382" t="s">
        <v>931</v>
      </c>
      <c r="O249" s="1174" t="s">
        <v>915</v>
      </c>
      <c r="P249" s="1163" t="s">
        <v>678</v>
      </c>
      <c r="Q249" s="1163"/>
      <c r="R249" s="1357">
        <v>65700000</v>
      </c>
      <c r="S249" s="1357">
        <v>65700000</v>
      </c>
      <c r="T249" s="1357">
        <f>+Tabla16[[#This Row],[CDPS A 31 JULIO 2022]]-Tabla16[[#This Row],[CDP]]</f>
        <v>0</v>
      </c>
      <c r="U249" s="1357">
        <v>65700000</v>
      </c>
      <c r="V249" s="1357">
        <v>20440000</v>
      </c>
      <c r="W249" s="1357"/>
      <c r="X249" s="1207"/>
      <c r="Y249" s="1207"/>
      <c r="Z249" s="1207"/>
      <c r="AA249" s="1207"/>
      <c r="AB249" s="1207"/>
      <c r="AC249" s="1207"/>
      <c r="AD249" s="1207"/>
      <c r="AE249" s="1207"/>
      <c r="AF249" s="1207"/>
      <c r="AG249" s="1207"/>
      <c r="AH249" s="1207"/>
      <c r="AI249" s="1207"/>
      <c r="AJ249" s="1207"/>
      <c r="AK249" s="1207"/>
      <c r="AL249" s="1207"/>
      <c r="AM249" s="1207"/>
      <c r="AN249" s="1207"/>
      <c r="AO249" s="1207"/>
      <c r="AP249" s="1207"/>
      <c r="AQ249" s="1207"/>
      <c r="AR249" s="1207"/>
      <c r="AS249" s="1207"/>
      <c r="AT249" s="1207"/>
      <c r="AU249" s="1207"/>
      <c r="AV249" s="1207"/>
      <c r="AW249" s="1207"/>
      <c r="AX249" s="1207"/>
      <c r="AY249" s="1207"/>
      <c r="AZ249" s="1207"/>
      <c r="BA249" s="1207"/>
      <c r="BB249" s="1207"/>
      <c r="BC249" s="1207"/>
      <c r="BD249" s="1207"/>
      <c r="BE249" s="1207"/>
      <c r="BF249" s="1207"/>
      <c r="BG249" s="1207"/>
      <c r="BH249" s="1207"/>
      <c r="BI249" s="1207"/>
      <c r="BJ249" s="1207"/>
      <c r="BK249" s="1207"/>
      <c r="BL249" s="1207"/>
      <c r="BM249" s="1207"/>
      <c r="BN249" s="1207"/>
      <c r="BO249" s="1207"/>
      <c r="BP249" s="1207"/>
      <c r="BQ249" s="1207"/>
      <c r="BR249" s="1207"/>
      <c r="BS249" s="1207"/>
      <c r="BT249" s="1207"/>
      <c r="BU249" s="1207"/>
      <c r="BV249" s="1207"/>
      <c r="BW249" s="1207"/>
      <c r="BX249" s="1207"/>
      <c r="BY249" s="1207"/>
      <c r="BZ249" s="1207"/>
      <c r="CA249" s="1207"/>
      <c r="CB249" s="1207"/>
      <c r="CC249" s="1207"/>
      <c r="CD249" s="1207"/>
      <c r="CE249" s="1207"/>
      <c r="CF249" s="1207"/>
    </row>
    <row r="250" spans="1:84" ht="135" x14ac:dyDescent="0.25">
      <c r="A250" s="1355">
        <v>2022258</v>
      </c>
      <c r="B250" s="1172">
        <v>7658</v>
      </c>
      <c r="C250" s="1356" t="s">
        <v>679</v>
      </c>
      <c r="D250" s="1190" t="s">
        <v>689</v>
      </c>
      <c r="E250" s="1174">
        <v>80111600</v>
      </c>
      <c r="F250" s="1380" t="s">
        <v>936</v>
      </c>
      <c r="G250" s="1381">
        <v>44575</v>
      </c>
      <c r="H250" s="1381">
        <v>44575</v>
      </c>
      <c r="I250" s="1176">
        <v>11.5</v>
      </c>
      <c r="J250" s="1176" t="s">
        <v>673</v>
      </c>
      <c r="K250" s="1177" t="s">
        <v>674</v>
      </c>
      <c r="L250" s="1178" t="s">
        <v>675</v>
      </c>
      <c r="M250" s="1179">
        <f>83950000-4450000-35700000</f>
        <v>43800000</v>
      </c>
      <c r="N250" s="1382" t="s">
        <v>931</v>
      </c>
      <c r="O250" s="1174" t="s">
        <v>915</v>
      </c>
      <c r="P250" s="1163" t="s">
        <v>678</v>
      </c>
      <c r="Q250" s="1163"/>
      <c r="R250" s="1357">
        <v>83950000</v>
      </c>
      <c r="S250" s="1357">
        <v>83950000</v>
      </c>
      <c r="T250" s="1357">
        <f>+Tabla16[[#This Row],[CDPS A 31 JULIO 2022]]-Tabla16[[#This Row],[CDP]]</f>
        <v>0</v>
      </c>
      <c r="U250" s="1357">
        <v>43800000</v>
      </c>
      <c r="V250" s="1357">
        <v>30903333</v>
      </c>
      <c r="W250" s="1357"/>
      <c r="X250" s="1207"/>
      <c r="Y250" s="1207"/>
      <c r="Z250" s="1207"/>
      <c r="AA250" s="1207"/>
      <c r="AB250" s="1207"/>
      <c r="AC250" s="1207"/>
      <c r="AD250" s="1207"/>
      <c r="AE250" s="1207"/>
      <c r="AF250" s="1207"/>
      <c r="AG250" s="1207"/>
      <c r="AH250" s="1207"/>
      <c r="AI250" s="1207"/>
      <c r="AJ250" s="1207"/>
      <c r="AK250" s="1207"/>
      <c r="AL250" s="1207"/>
      <c r="AM250" s="1207"/>
      <c r="AN250" s="1207"/>
      <c r="AO250" s="1207"/>
      <c r="AP250" s="1207"/>
      <c r="AQ250" s="1207"/>
      <c r="AR250" s="1207"/>
      <c r="AS250" s="1207"/>
      <c r="AT250" s="1207"/>
      <c r="AU250" s="1207"/>
      <c r="AV250" s="1207"/>
      <c r="AW250" s="1207"/>
      <c r="AX250" s="1207"/>
      <c r="AY250" s="1207"/>
      <c r="AZ250" s="1207"/>
      <c r="BA250" s="1207"/>
      <c r="BB250" s="1207"/>
      <c r="BC250" s="1207"/>
      <c r="BD250" s="1207"/>
      <c r="BE250" s="1207"/>
      <c r="BF250" s="1207"/>
      <c r="BG250" s="1207"/>
      <c r="BH250" s="1207"/>
      <c r="BI250" s="1207"/>
      <c r="BJ250" s="1207"/>
      <c r="BK250" s="1207"/>
      <c r="BL250" s="1207"/>
      <c r="BM250" s="1207"/>
      <c r="BN250" s="1207"/>
      <c r="BO250" s="1207"/>
      <c r="BP250" s="1207"/>
      <c r="BQ250" s="1207"/>
      <c r="BR250" s="1207"/>
      <c r="BS250" s="1207"/>
      <c r="BT250" s="1207"/>
      <c r="BU250" s="1207"/>
      <c r="BV250" s="1207"/>
      <c r="BW250" s="1207"/>
      <c r="BX250" s="1207"/>
      <c r="BY250" s="1207"/>
      <c r="BZ250" s="1207"/>
      <c r="CA250" s="1207"/>
      <c r="CB250" s="1207"/>
      <c r="CC250" s="1207"/>
      <c r="CD250" s="1207"/>
      <c r="CE250" s="1207"/>
      <c r="CF250" s="1207"/>
    </row>
    <row r="251" spans="1:84" ht="135" x14ac:dyDescent="0.25">
      <c r="A251" s="1355">
        <v>2022260</v>
      </c>
      <c r="B251" s="1172">
        <v>7658</v>
      </c>
      <c r="C251" s="1356" t="s">
        <v>679</v>
      </c>
      <c r="D251" s="1190" t="s">
        <v>689</v>
      </c>
      <c r="E251" s="1174">
        <v>80111600</v>
      </c>
      <c r="F251" s="1380" t="s">
        <v>936</v>
      </c>
      <c r="G251" s="1381">
        <v>44575</v>
      </c>
      <c r="H251" s="1381">
        <v>44575</v>
      </c>
      <c r="I251" s="1176">
        <v>11.5</v>
      </c>
      <c r="J251" s="1176" t="s">
        <v>673</v>
      </c>
      <c r="K251" s="1177" t="s">
        <v>674</v>
      </c>
      <c r="L251" s="1178" t="s">
        <v>675</v>
      </c>
      <c r="M251" s="1179">
        <f>83950000-40150000</f>
        <v>43800000</v>
      </c>
      <c r="N251" s="1382" t="s">
        <v>931</v>
      </c>
      <c r="O251" s="1174" t="s">
        <v>915</v>
      </c>
      <c r="P251" s="1163" t="s">
        <v>678</v>
      </c>
      <c r="Q251" s="1163"/>
      <c r="R251" s="1357">
        <v>51100000</v>
      </c>
      <c r="S251" s="1357">
        <v>51100000</v>
      </c>
      <c r="T251" s="1357">
        <f>+Tabla16[[#This Row],[CDPS A 31 JULIO 2022]]-Tabla16[[#This Row],[CDP]]</f>
        <v>0</v>
      </c>
      <c r="U251" s="1357">
        <v>51100000</v>
      </c>
      <c r="V251" s="1357">
        <v>29930000</v>
      </c>
      <c r="W251" s="1357"/>
      <c r="X251" s="1207"/>
      <c r="Y251" s="1207"/>
      <c r="Z251" s="1207"/>
      <c r="AA251" s="1207"/>
      <c r="AB251" s="1207"/>
      <c r="AC251" s="1207"/>
      <c r="AD251" s="1207"/>
      <c r="AE251" s="1207"/>
      <c r="AF251" s="1207"/>
      <c r="AG251" s="1207"/>
      <c r="AH251" s="1207"/>
      <c r="AI251" s="1207"/>
      <c r="AJ251" s="1207"/>
      <c r="AK251" s="1207"/>
      <c r="AL251" s="1207"/>
      <c r="AM251" s="1207"/>
      <c r="AN251" s="1207"/>
      <c r="AO251" s="1207"/>
      <c r="AP251" s="1207"/>
      <c r="AQ251" s="1207"/>
      <c r="AR251" s="1207"/>
      <c r="AS251" s="1207"/>
      <c r="AT251" s="1207"/>
      <c r="AU251" s="1207"/>
      <c r="AV251" s="1207"/>
      <c r="AW251" s="1207"/>
      <c r="AX251" s="1207"/>
      <c r="AY251" s="1207"/>
      <c r="AZ251" s="1207"/>
      <c r="BA251" s="1207"/>
      <c r="BB251" s="1207"/>
      <c r="BC251" s="1207"/>
      <c r="BD251" s="1207"/>
      <c r="BE251" s="1207"/>
      <c r="BF251" s="1207"/>
      <c r="BG251" s="1207"/>
      <c r="BH251" s="1207"/>
      <c r="BI251" s="1207"/>
      <c r="BJ251" s="1207"/>
      <c r="BK251" s="1207"/>
      <c r="BL251" s="1207"/>
      <c r="BM251" s="1207"/>
      <c r="BN251" s="1207"/>
      <c r="BO251" s="1207"/>
      <c r="BP251" s="1207"/>
      <c r="BQ251" s="1207"/>
      <c r="BR251" s="1207"/>
      <c r="BS251" s="1207"/>
      <c r="BT251" s="1207"/>
      <c r="BU251" s="1207"/>
      <c r="BV251" s="1207"/>
      <c r="BW251" s="1207"/>
      <c r="BX251" s="1207"/>
      <c r="BY251" s="1207"/>
      <c r="BZ251" s="1207"/>
      <c r="CA251" s="1207"/>
      <c r="CB251" s="1207"/>
      <c r="CC251" s="1207"/>
      <c r="CD251" s="1207"/>
      <c r="CE251" s="1207"/>
      <c r="CF251" s="1207"/>
    </row>
    <row r="252" spans="1:84" ht="135" x14ac:dyDescent="0.25">
      <c r="A252" s="1355">
        <v>2022261</v>
      </c>
      <c r="B252" s="1172">
        <v>7658</v>
      </c>
      <c r="C252" s="1356" t="s">
        <v>679</v>
      </c>
      <c r="D252" s="1190" t="s">
        <v>689</v>
      </c>
      <c r="E252" s="1174">
        <v>80111600</v>
      </c>
      <c r="F252" s="1380" t="s">
        <v>936</v>
      </c>
      <c r="G252" s="1381">
        <v>44575</v>
      </c>
      <c r="H252" s="1381">
        <v>44575</v>
      </c>
      <c r="I252" s="1176">
        <v>11.5</v>
      </c>
      <c r="J252" s="1176" t="s">
        <v>673</v>
      </c>
      <c r="K252" s="1177" t="s">
        <v>674</v>
      </c>
      <c r="L252" s="1178" t="s">
        <v>675</v>
      </c>
      <c r="M252" s="1179">
        <f>83950000-32850000</f>
        <v>51100000</v>
      </c>
      <c r="N252" s="1382" t="s">
        <v>931</v>
      </c>
      <c r="O252" s="1174" t="s">
        <v>915</v>
      </c>
      <c r="P252" s="1163" t="s">
        <v>678</v>
      </c>
      <c r="Q252" s="1163"/>
      <c r="R252" s="1357">
        <v>78200000</v>
      </c>
      <c r="S252" s="1357">
        <v>78200000</v>
      </c>
      <c r="T252" s="1357">
        <f>+Tabla16[[#This Row],[CDPS A 31 JULIO 2022]]-Tabla16[[#This Row],[CDP]]</f>
        <v>0</v>
      </c>
      <c r="U252" s="1357">
        <v>78200000</v>
      </c>
      <c r="V252" s="1357">
        <v>30373333</v>
      </c>
      <c r="W252" s="1357"/>
      <c r="X252" s="1207"/>
      <c r="Y252" s="1207"/>
      <c r="Z252" s="1207"/>
      <c r="AA252" s="1207"/>
      <c r="AB252" s="1207"/>
      <c r="AC252" s="1207"/>
      <c r="AD252" s="1207"/>
      <c r="AE252" s="1207"/>
      <c r="AF252" s="1207"/>
      <c r="AG252" s="1207"/>
      <c r="AH252" s="1207"/>
      <c r="AI252" s="1207"/>
      <c r="AJ252" s="1207"/>
      <c r="AK252" s="1207"/>
      <c r="AL252" s="1207"/>
      <c r="AM252" s="1207"/>
      <c r="AN252" s="1207"/>
      <c r="AO252" s="1207"/>
      <c r="AP252" s="1207"/>
      <c r="AQ252" s="1207"/>
      <c r="AR252" s="1207"/>
      <c r="AS252" s="1207"/>
      <c r="AT252" s="1207"/>
      <c r="AU252" s="1207"/>
      <c r="AV252" s="1207"/>
      <c r="AW252" s="1207"/>
      <c r="AX252" s="1207"/>
      <c r="AY252" s="1207"/>
      <c r="AZ252" s="1207"/>
      <c r="BA252" s="1207"/>
      <c r="BB252" s="1207"/>
      <c r="BC252" s="1207"/>
      <c r="BD252" s="1207"/>
      <c r="BE252" s="1207"/>
      <c r="BF252" s="1207"/>
      <c r="BG252" s="1207"/>
      <c r="BH252" s="1207"/>
      <c r="BI252" s="1207"/>
      <c r="BJ252" s="1207"/>
      <c r="BK252" s="1207"/>
      <c r="BL252" s="1207"/>
      <c r="BM252" s="1207"/>
      <c r="BN252" s="1207"/>
      <c r="BO252" s="1207"/>
      <c r="BP252" s="1207"/>
      <c r="BQ252" s="1207"/>
      <c r="BR252" s="1207"/>
      <c r="BS252" s="1207"/>
      <c r="BT252" s="1207"/>
      <c r="BU252" s="1207"/>
      <c r="BV252" s="1207"/>
      <c r="BW252" s="1207"/>
      <c r="BX252" s="1207"/>
      <c r="BY252" s="1207"/>
      <c r="BZ252" s="1207"/>
      <c r="CA252" s="1207"/>
      <c r="CB252" s="1207"/>
      <c r="CC252" s="1207"/>
      <c r="CD252" s="1207"/>
      <c r="CE252" s="1207"/>
      <c r="CF252" s="1207"/>
    </row>
    <row r="253" spans="1:84" ht="135" x14ac:dyDescent="0.25">
      <c r="A253" s="1355">
        <v>2022262</v>
      </c>
      <c r="B253" s="1172">
        <v>7658</v>
      </c>
      <c r="C253" s="1356" t="s">
        <v>679</v>
      </c>
      <c r="D253" s="1190" t="s">
        <v>689</v>
      </c>
      <c r="E253" s="1174">
        <v>80111600</v>
      </c>
      <c r="F253" s="1380" t="s">
        <v>936</v>
      </c>
      <c r="G253" s="1381">
        <v>44575</v>
      </c>
      <c r="H253" s="1381">
        <v>44575</v>
      </c>
      <c r="I253" s="1176">
        <v>11.5</v>
      </c>
      <c r="J253" s="1176" t="s">
        <v>673</v>
      </c>
      <c r="K253" s="1177" t="s">
        <v>674</v>
      </c>
      <c r="L253" s="1178" t="s">
        <v>675</v>
      </c>
      <c r="M253" s="1179">
        <f>83950000-11791270</f>
        <v>72158730</v>
      </c>
      <c r="N253" s="1382" t="s">
        <v>931</v>
      </c>
      <c r="O253" s="1174" t="s">
        <v>915</v>
      </c>
      <c r="P253" s="1163" t="s">
        <v>678</v>
      </c>
      <c r="Q253" s="1163"/>
      <c r="R253" s="1357">
        <v>83950000</v>
      </c>
      <c r="S253" s="1357">
        <v>83950000</v>
      </c>
      <c r="T253" s="1357">
        <f>+Tabla16[[#This Row],[CDPS A 31 JULIO 2022]]-Tabla16[[#This Row],[CDP]]</f>
        <v>0</v>
      </c>
      <c r="U253" s="1357">
        <v>83950000</v>
      </c>
      <c r="V253" s="1357">
        <v>31876667</v>
      </c>
      <c r="W253" s="1357"/>
      <c r="X253" s="1207"/>
      <c r="Y253" s="1207"/>
      <c r="Z253" s="1207"/>
      <c r="AA253" s="1207"/>
      <c r="AB253" s="1207"/>
      <c r="AC253" s="1207"/>
      <c r="AD253" s="1207"/>
      <c r="AE253" s="1207"/>
      <c r="AF253" s="1207"/>
      <c r="AG253" s="1207"/>
      <c r="AH253" s="1207"/>
      <c r="AI253" s="1207"/>
      <c r="AJ253" s="1207"/>
      <c r="AK253" s="1207"/>
      <c r="AL253" s="1207"/>
      <c r="AM253" s="1207"/>
      <c r="AN253" s="1207"/>
      <c r="AO253" s="1207"/>
      <c r="AP253" s="1207"/>
      <c r="AQ253" s="1207"/>
      <c r="AR253" s="1207"/>
      <c r="AS253" s="1207"/>
      <c r="AT253" s="1207"/>
      <c r="AU253" s="1207"/>
      <c r="AV253" s="1207"/>
      <c r="AW253" s="1207"/>
      <c r="AX253" s="1207"/>
      <c r="AY253" s="1207"/>
      <c r="AZ253" s="1207"/>
      <c r="BA253" s="1207"/>
      <c r="BB253" s="1207"/>
      <c r="BC253" s="1207"/>
      <c r="BD253" s="1207"/>
      <c r="BE253" s="1207"/>
      <c r="BF253" s="1207"/>
      <c r="BG253" s="1207"/>
      <c r="BH253" s="1207"/>
      <c r="BI253" s="1207"/>
      <c r="BJ253" s="1207"/>
      <c r="BK253" s="1207"/>
      <c r="BL253" s="1207"/>
      <c r="BM253" s="1207"/>
      <c r="BN253" s="1207"/>
      <c r="BO253" s="1207"/>
      <c r="BP253" s="1207"/>
      <c r="BQ253" s="1207"/>
      <c r="BR253" s="1207"/>
      <c r="BS253" s="1207"/>
      <c r="BT253" s="1207"/>
      <c r="BU253" s="1207"/>
      <c r="BV253" s="1207"/>
      <c r="BW253" s="1207"/>
      <c r="BX253" s="1207"/>
      <c r="BY253" s="1207"/>
      <c r="BZ253" s="1207"/>
      <c r="CA253" s="1207"/>
      <c r="CB253" s="1207"/>
      <c r="CC253" s="1207"/>
      <c r="CD253" s="1207"/>
      <c r="CE253" s="1207"/>
      <c r="CF253" s="1207"/>
    </row>
    <row r="254" spans="1:84" ht="135" x14ac:dyDescent="0.25">
      <c r="A254" s="1355">
        <v>2022263</v>
      </c>
      <c r="B254" s="1172">
        <v>7658</v>
      </c>
      <c r="C254" s="1356" t="s">
        <v>679</v>
      </c>
      <c r="D254" s="1190" t="s">
        <v>689</v>
      </c>
      <c r="E254" s="1174">
        <v>80111600</v>
      </c>
      <c r="F254" s="1380" t="s">
        <v>935</v>
      </c>
      <c r="G254" s="1381">
        <v>44575</v>
      </c>
      <c r="H254" s="1381">
        <v>44575</v>
      </c>
      <c r="I254" s="1176">
        <v>11.5</v>
      </c>
      <c r="J254" s="1176" t="s">
        <v>673</v>
      </c>
      <c r="K254" s="1177" t="s">
        <v>674</v>
      </c>
      <c r="L254" s="1178" t="s">
        <v>675</v>
      </c>
      <c r="M254" s="1179">
        <v>78200000</v>
      </c>
      <c r="N254" s="1382" t="s">
        <v>931</v>
      </c>
      <c r="O254" s="1174" t="s">
        <v>915</v>
      </c>
      <c r="P254" s="1163" t="s">
        <v>678</v>
      </c>
      <c r="Q254" s="1163"/>
      <c r="R254" s="1357">
        <v>43800000</v>
      </c>
      <c r="S254" s="1357">
        <v>43800000</v>
      </c>
      <c r="T254" s="1357">
        <f>+Tabla16[[#This Row],[CDPS A 31 JULIO 2022]]-Tabla16[[#This Row],[CDP]]</f>
        <v>0</v>
      </c>
      <c r="U254" s="1357">
        <v>43800000</v>
      </c>
      <c r="V254" s="1357">
        <v>28956667</v>
      </c>
      <c r="W254" s="1357"/>
      <c r="X254" s="1207"/>
      <c r="Y254" s="1207"/>
      <c r="Z254" s="1207"/>
      <c r="AA254" s="1207"/>
      <c r="AB254" s="1207"/>
      <c r="AC254" s="1207"/>
      <c r="AD254" s="1207"/>
      <c r="AE254" s="1207"/>
      <c r="AF254" s="1207"/>
      <c r="AG254" s="1207"/>
      <c r="AH254" s="1207"/>
      <c r="AI254" s="1207"/>
      <c r="AJ254" s="1207"/>
      <c r="AK254" s="1207"/>
      <c r="AL254" s="1207"/>
      <c r="AM254" s="1207"/>
      <c r="AN254" s="1207"/>
      <c r="AO254" s="1207"/>
      <c r="AP254" s="1207"/>
      <c r="AQ254" s="1207"/>
      <c r="AR254" s="1207"/>
      <c r="AS254" s="1207"/>
      <c r="AT254" s="1207"/>
      <c r="AU254" s="1207"/>
      <c r="AV254" s="1207"/>
      <c r="AW254" s="1207"/>
      <c r="AX254" s="1207"/>
      <c r="AY254" s="1207"/>
      <c r="AZ254" s="1207"/>
      <c r="BA254" s="1207"/>
      <c r="BB254" s="1207"/>
      <c r="BC254" s="1207"/>
      <c r="BD254" s="1207"/>
      <c r="BE254" s="1207"/>
      <c r="BF254" s="1207"/>
      <c r="BG254" s="1207"/>
      <c r="BH254" s="1207"/>
      <c r="BI254" s="1207"/>
      <c r="BJ254" s="1207"/>
      <c r="BK254" s="1207"/>
      <c r="BL254" s="1207"/>
      <c r="BM254" s="1207"/>
      <c r="BN254" s="1207"/>
      <c r="BO254" s="1207"/>
      <c r="BP254" s="1207"/>
      <c r="BQ254" s="1207"/>
      <c r="BR254" s="1207"/>
      <c r="BS254" s="1207"/>
      <c r="BT254" s="1207"/>
      <c r="BU254" s="1207"/>
      <c r="BV254" s="1207"/>
      <c r="BW254" s="1207"/>
      <c r="BX254" s="1207"/>
      <c r="BY254" s="1207"/>
      <c r="BZ254" s="1207"/>
      <c r="CA254" s="1207"/>
      <c r="CB254" s="1207"/>
      <c r="CC254" s="1207"/>
      <c r="CD254" s="1207"/>
      <c r="CE254" s="1207"/>
      <c r="CF254" s="1207"/>
    </row>
    <row r="255" spans="1:84" ht="135" x14ac:dyDescent="0.25">
      <c r="A255" s="1355">
        <v>2022264</v>
      </c>
      <c r="B255" s="1172">
        <v>7658</v>
      </c>
      <c r="C255" s="1356" t="s">
        <v>679</v>
      </c>
      <c r="D255" s="1190" t="s">
        <v>689</v>
      </c>
      <c r="E255" s="1174">
        <v>80111600</v>
      </c>
      <c r="F255" s="1380" t="s">
        <v>937</v>
      </c>
      <c r="G255" s="1381">
        <v>44575</v>
      </c>
      <c r="H255" s="1381">
        <v>44575</v>
      </c>
      <c r="I255" s="1176">
        <v>11.5</v>
      </c>
      <c r="J255" s="1176" t="s">
        <v>673</v>
      </c>
      <c r="K255" s="1177" t="s">
        <v>674</v>
      </c>
      <c r="L255" s="1178" t="s">
        <v>675</v>
      </c>
      <c r="M255" s="1179">
        <v>44275000</v>
      </c>
      <c r="N255" s="1382" t="s">
        <v>931</v>
      </c>
      <c r="O255" s="1174" t="s">
        <v>915</v>
      </c>
      <c r="P255" s="1163" t="s">
        <v>678</v>
      </c>
      <c r="Q255" s="1163"/>
      <c r="R255" s="1357">
        <v>44275000</v>
      </c>
      <c r="S255" s="1357">
        <v>44275000</v>
      </c>
      <c r="T255" s="1357">
        <f>+Tabla16[[#This Row],[CDPS A 31 JULIO 2022]]-Tabla16[[#This Row],[CDP]]</f>
        <v>0</v>
      </c>
      <c r="U255" s="1357">
        <v>44275000</v>
      </c>
      <c r="V255" s="1357">
        <v>11935000</v>
      </c>
      <c r="W255" s="1357"/>
      <c r="X255" s="1207"/>
      <c r="Y255" s="1207"/>
      <c r="Z255" s="1207"/>
      <c r="AA255" s="1207"/>
      <c r="AB255" s="1207"/>
      <c r="AC255" s="1207"/>
      <c r="AD255" s="1207"/>
      <c r="AE255" s="1207"/>
      <c r="AF255" s="1207"/>
      <c r="AG255" s="1207"/>
      <c r="AH255" s="1207"/>
      <c r="AI255" s="1207"/>
      <c r="AJ255" s="1207"/>
      <c r="AK255" s="1207"/>
      <c r="AL255" s="1207"/>
      <c r="AM255" s="1207"/>
      <c r="AN255" s="1207"/>
      <c r="AO255" s="1207"/>
      <c r="AP255" s="1207"/>
      <c r="AQ255" s="1207"/>
      <c r="AR255" s="1207"/>
      <c r="AS255" s="1207"/>
      <c r="AT255" s="1207"/>
      <c r="AU255" s="1207"/>
      <c r="AV255" s="1207"/>
      <c r="AW255" s="1207"/>
      <c r="AX255" s="1207"/>
      <c r="AY255" s="1207"/>
      <c r="AZ255" s="1207"/>
      <c r="BA255" s="1207"/>
      <c r="BB255" s="1207"/>
      <c r="BC255" s="1207"/>
      <c r="BD255" s="1207"/>
      <c r="BE255" s="1207"/>
      <c r="BF255" s="1207"/>
      <c r="BG255" s="1207"/>
      <c r="BH255" s="1207"/>
      <c r="BI255" s="1207"/>
      <c r="BJ255" s="1207"/>
      <c r="BK255" s="1207"/>
      <c r="BL255" s="1207"/>
      <c r="BM255" s="1207"/>
      <c r="BN255" s="1207"/>
      <c r="BO255" s="1207"/>
      <c r="BP255" s="1207"/>
      <c r="BQ255" s="1207"/>
      <c r="BR255" s="1207"/>
      <c r="BS255" s="1207"/>
      <c r="BT255" s="1207"/>
      <c r="BU255" s="1207"/>
      <c r="BV255" s="1207"/>
      <c r="BW255" s="1207"/>
      <c r="BX255" s="1207"/>
      <c r="BY255" s="1207"/>
      <c r="BZ255" s="1207"/>
      <c r="CA255" s="1207"/>
      <c r="CB255" s="1207"/>
      <c r="CC255" s="1207"/>
      <c r="CD255" s="1207"/>
      <c r="CE255" s="1207"/>
      <c r="CF255" s="1207"/>
    </row>
    <row r="256" spans="1:84" ht="135" x14ac:dyDescent="0.25">
      <c r="A256" s="1355">
        <v>2022265</v>
      </c>
      <c r="B256" s="1172">
        <v>7658</v>
      </c>
      <c r="C256" s="1356" t="s">
        <v>679</v>
      </c>
      <c r="D256" s="1190" t="s">
        <v>689</v>
      </c>
      <c r="E256" s="1174">
        <v>80111600</v>
      </c>
      <c r="F256" s="1380" t="s">
        <v>938</v>
      </c>
      <c r="G256" s="1381">
        <v>44575</v>
      </c>
      <c r="H256" s="1381">
        <v>44575</v>
      </c>
      <c r="I256" s="1176">
        <v>11.5</v>
      </c>
      <c r="J256" s="1176" t="s">
        <v>673</v>
      </c>
      <c r="K256" s="1177" t="s">
        <v>674</v>
      </c>
      <c r="L256" s="1178" t="s">
        <v>675</v>
      </c>
      <c r="M256" s="1179">
        <v>28175000</v>
      </c>
      <c r="N256" s="1382" t="s">
        <v>931</v>
      </c>
      <c r="O256" s="1174" t="s">
        <v>915</v>
      </c>
      <c r="P256" s="1163" t="s">
        <v>678</v>
      </c>
      <c r="Q256" s="1163"/>
      <c r="R256" s="1357">
        <v>28175000</v>
      </c>
      <c r="S256" s="1357">
        <v>28175000</v>
      </c>
      <c r="T256" s="1357">
        <f>+Tabla16[[#This Row],[CDPS A 31 JULIO 2022]]-Tabla16[[#This Row],[CDP]]</f>
        <v>0</v>
      </c>
      <c r="U256" s="1357">
        <v>28175000</v>
      </c>
      <c r="V256" s="1357">
        <v>10616667</v>
      </c>
      <c r="W256" s="1357"/>
      <c r="X256" s="1207"/>
      <c r="Y256" s="1207"/>
      <c r="Z256" s="1207"/>
      <c r="AA256" s="1207"/>
      <c r="AB256" s="1207"/>
      <c r="AC256" s="1207"/>
      <c r="AD256" s="1207"/>
      <c r="AE256" s="1207"/>
      <c r="AF256" s="1207"/>
      <c r="AG256" s="1207"/>
      <c r="AH256" s="1207"/>
      <c r="AI256" s="1207"/>
      <c r="AJ256" s="1207"/>
      <c r="AK256" s="1207"/>
      <c r="AL256" s="1207"/>
      <c r="AM256" s="1207"/>
      <c r="AN256" s="1207"/>
      <c r="AO256" s="1207"/>
      <c r="AP256" s="1207"/>
      <c r="AQ256" s="1207"/>
      <c r="AR256" s="1207"/>
      <c r="AS256" s="1207"/>
      <c r="AT256" s="1207"/>
      <c r="AU256" s="1207"/>
      <c r="AV256" s="1207"/>
      <c r="AW256" s="1207"/>
      <c r="AX256" s="1207"/>
      <c r="AY256" s="1207"/>
      <c r="AZ256" s="1207"/>
      <c r="BA256" s="1207"/>
      <c r="BB256" s="1207"/>
      <c r="BC256" s="1207"/>
      <c r="BD256" s="1207"/>
      <c r="BE256" s="1207"/>
      <c r="BF256" s="1207"/>
      <c r="BG256" s="1207"/>
      <c r="BH256" s="1207"/>
      <c r="BI256" s="1207"/>
      <c r="BJ256" s="1207"/>
      <c r="BK256" s="1207"/>
      <c r="BL256" s="1207"/>
      <c r="BM256" s="1207"/>
      <c r="BN256" s="1207"/>
      <c r="BO256" s="1207"/>
      <c r="BP256" s="1207"/>
      <c r="BQ256" s="1207"/>
      <c r="BR256" s="1207"/>
      <c r="BS256" s="1207"/>
      <c r="BT256" s="1207"/>
      <c r="BU256" s="1207"/>
      <c r="BV256" s="1207"/>
      <c r="BW256" s="1207"/>
      <c r="BX256" s="1207"/>
      <c r="BY256" s="1207"/>
      <c r="BZ256" s="1207"/>
      <c r="CA256" s="1207"/>
      <c r="CB256" s="1207"/>
      <c r="CC256" s="1207"/>
      <c r="CD256" s="1207"/>
      <c r="CE256" s="1207"/>
      <c r="CF256" s="1207"/>
    </row>
    <row r="257" spans="1:84" ht="135" x14ac:dyDescent="0.25">
      <c r="A257" s="1355">
        <v>2022266</v>
      </c>
      <c r="B257" s="1172">
        <v>7658</v>
      </c>
      <c r="C257" s="1356" t="s">
        <v>679</v>
      </c>
      <c r="D257" s="1190" t="s">
        <v>689</v>
      </c>
      <c r="E257" s="1174">
        <v>80111600</v>
      </c>
      <c r="F257" s="1380" t="s">
        <v>939</v>
      </c>
      <c r="G257" s="1381">
        <v>44575</v>
      </c>
      <c r="H257" s="1381">
        <v>44575</v>
      </c>
      <c r="I257" s="1176">
        <v>11.5</v>
      </c>
      <c r="J257" s="1176" t="s">
        <v>673</v>
      </c>
      <c r="K257" s="1177" t="s">
        <v>674</v>
      </c>
      <c r="L257" s="1178" t="s">
        <v>675</v>
      </c>
      <c r="M257" s="1179">
        <v>63250000</v>
      </c>
      <c r="N257" s="1382" t="s">
        <v>931</v>
      </c>
      <c r="O257" s="1174" t="s">
        <v>915</v>
      </c>
      <c r="P257" s="1163" t="s">
        <v>678</v>
      </c>
      <c r="Q257" s="1163"/>
      <c r="R257" s="1357">
        <v>63250000</v>
      </c>
      <c r="S257" s="1357">
        <v>63250000</v>
      </c>
      <c r="T257" s="1357">
        <f>+Tabla16[[#This Row],[CDPS A 31 JULIO 2022]]-Tabla16[[#This Row],[CDP]]</f>
        <v>0</v>
      </c>
      <c r="U257" s="1357">
        <v>63250000</v>
      </c>
      <c r="V257" s="1357">
        <v>24383333</v>
      </c>
      <c r="W257" s="1357"/>
      <c r="X257" s="1207"/>
      <c r="Y257" s="1207"/>
      <c r="Z257" s="1207"/>
      <c r="AA257" s="1207"/>
      <c r="AB257" s="1207"/>
      <c r="AC257" s="1207"/>
      <c r="AD257" s="1207"/>
      <c r="AE257" s="1207"/>
      <c r="AF257" s="1207"/>
      <c r="AG257" s="1207"/>
      <c r="AH257" s="1207"/>
      <c r="AI257" s="1207"/>
      <c r="AJ257" s="1207"/>
      <c r="AK257" s="1207"/>
      <c r="AL257" s="1207"/>
      <c r="AM257" s="1207"/>
      <c r="AN257" s="1207"/>
      <c r="AO257" s="1207"/>
      <c r="AP257" s="1207"/>
      <c r="AQ257" s="1207"/>
      <c r="AR257" s="1207"/>
      <c r="AS257" s="1207"/>
      <c r="AT257" s="1207"/>
      <c r="AU257" s="1207"/>
      <c r="AV257" s="1207"/>
      <c r="AW257" s="1207"/>
      <c r="AX257" s="1207"/>
      <c r="AY257" s="1207"/>
      <c r="AZ257" s="1207"/>
      <c r="BA257" s="1207"/>
      <c r="BB257" s="1207"/>
      <c r="BC257" s="1207"/>
      <c r="BD257" s="1207"/>
      <c r="BE257" s="1207"/>
      <c r="BF257" s="1207"/>
      <c r="BG257" s="1207"/>
      <c r="BH257" s="1207"/>
      <c r="BI257" s="1207"/>
      <c r="BJ257" s="1207"/>
      <c r="BK257" s="1207"/>
      <c r="BL257" s="1207"/>
      <c r="BM257" s="1207"/>
      <c r="BN257" s="1207"/>
      <c r="BO257" s="1207"/>
      <c r="BP257" s="1207"/>
      <c r="BQ257" s="1207"/>
      <c r="BR257" s="1207"/>
      <c r="BS257" s="1207"/>
      <c r="BT257" s="1207"/>
      <c r="BU257" s="1207"/>
      <c r="BV257" s="1207"/>
      <c r="BW257" s="1207"/>
      <c r="BX257" s="1207"/>
      <c r="BY257" s="1207"/>
      <c r="BZ257" s="1207"/>
      <c r="CA257" s="1207"/>
      <c r="CB257" s="1207"/>
      <c r="CC257" s="1207"/>
      <c r="CD257" s="1207"/>
      <c r="CE257" s="1207"/>
      <c r="CF257" s="1207"/>
    </row>
    <row r="258" spans="1:84" ht="135" x14ac:dyDescent="0.25">
      <c r="A258" s="1355">
        <v>2022267</v>
      </c>
      <c r="B258" s="1172">
        <v>7658</v>
      </c>
      <c r="C258" s="1356" t="s">
        <v>679</v>
      </c>
      <c r="D258" s="1190" t="s">
        <v>689</v>
      </c>
      <c r="E258" s="1174">
        <v>80111600</v>
      </c>
      <c r="F258" s="1380" t="s">
        <v>940</v>
      </c>
      <c r="G258" s="1381">
        <v>44575</v>
      </c>
      <c r="H258" s="1381">
        <v>44575</v>
      </c>
      <c r="I258" s="1176">
        <v>11.5</v>
      </c>
      <c r="J258" s="1176" t="s">
        <v>673</v>
      </c>
      <c r="K258" s="1177" t="s">
        <v>674</v>
      </c>
      <c r="L258" s="1178" t="s">
        <v>675</v>
      </c>
      <c r="M258" s="1179">
        <v>28175000</v>
      </c>
      <c r="N258" s="1382" t="s">
        <v>931</v>
      </c>
      <c r="O258" s="1174" t="s">
        <v>915</v>
      </c>
      <c r="P258" s="1163" t="s">
        <v>678</v>
      </c>
      <c r="Q258" s="1163"/>
      <c r="R258" s="1357">
        <v>28175000</v>
      </c>
      <c r="S258" s="1357">
        <v>28175000</v>
      </c>
      <c r="T258" s="1357">
        <f>+Tabla16[[#This Row],[CDPS A 31 JULIO 2022]]-Tabla16[[#This Row],[CDP]]</f>
        <v>0</v>
      </c>
      <c r="U258" s="1357">
        <v>28175000</v>
      </c>
      <c r="V258" s="1357">
        <v>9555000</v>
      </c>
      <c r="W258" s="1357"/>
      <c r="X258" s="1207"/>
      <c r="Y258" s="1207"/>
      <c r="Z258" s="1207"/>
      <c r="AA258" s="1207"/>
      <c r="AB258" s="1207"/>
      <c r="AC258" s="1207"/>
      <c r="AD258" s="1207"/>
      <c r="AE258" s="1207"/>
      <c r="AF258" s="1207"/>
      <c r="AG258" s="1207"/>
      <c r="AH258" s="1207"/>
      <c r="AI258" s="1207"/>
      <c r="AJ258" s="1207"/>
      <c r="AK258" s="1207"/>
      <c r="AL258" s="1207"/>
      <c r="AM258" s="1207"/>
      <c r="AN258" s="1207"/>
      <c r="AO258" s="1207"/>
      <c r="AP258" s="1207"/>
      <c r="AQ258" s="1207"/>
      <c r="AR258" s="1207"/>
      <c r="AS258" s="1207"/>
      <c r="AT258" s="1207"/>
      <c r="AU258" s="1207"/>
      <c r="AV258" s="1207"/>
      <c r="AW258" s="1207"/>
      <c r="AX258" s="1207"/>
      <c r="AY258" s="1207"/>
      <c r="AZ258" s="1207"/>
      <c r="BA258" s="1207"/>
      <c r="BB258" s="1207"/>
      <c r="BC258" s="1207"/>
      <c r="BD258" s="1207"/>
      <c r="BE258" s="1207"/>
      <c r="BF258" s="1207"/>
      <c r="BG258" s="1207"/>
      <c r="BH258" s="1207"/>
      <c r="BI258" s="1207"/>
      <c r="BJ258" s="1207"/>
      <c r="BK258" s="1207"/>
      <c r="BL258" s="1207"/>
      <c r="BM258" s="1207"/>
      <c r="BN258" s="1207"/>
      <c r="BO258" s="1207"/>
      <c r="BP258" s="1207"/>
      <c r="BQ258" s="1207"/>
      <c r="BR258" s="1207"/>
      <c r="BS258" s="1207"/>
      <c r="BT258" s="1207"/>
      <c r="BU258" s="1207"/>
      <c r="BV258" s="1207"/>
      <c r="BW258" s="1207"/>
      <c r="BX258" s="1207"/>
      <c r="BY258" s="1207"/>
      <c r="BZ258" s="1207"/>
      <c r="CA258" s="1207"/>
      <c r="CB258" s="1207"/>
      <c r="CC258" s="1207"/>
      <c r="CD258" s="1207"/>
      <c r="CE258" s="1207"/>
      <c r="CF258" s="1207"/>
    </row>
    <row r="259" spans="1:84" ht="135" x14ac:dyDescent="0.25">
      <c r="A259" s="1355">
        <v>2022268</v>
      </c>
      <c r="B259" s="1172">
        <v>7658</v>
      </c>
      <c r="C259" s="1356" t="s">
        <v>679</v>
      </c>
      <c r="D259" s="1190" t="s">
        <v>689</v>
      </c>
      <c r="E259" s="1174">
        <v>80111600</v>
      </c>
      <c r="F259" s="1380" t="s">
        <v>940</v>
      </c>
      <c r="G259" s="1381">
        <v>44575</v>
      </c>
      <c r="H259" s="1381">
        <v>44575</v>
      </c>
      <c r="I259" s="1176">
        <v>11.5</v>
      </c>
      <c r="J259" s="1176" t="s">
        <v>673</v>
      </c>
      <c r="K259" s="1177" t="s">
        <v>674</v>
      </c>
      <c r="L259" s="1178" t="s">
        <v>675</v>
      </c>
      <c r="M259" s="1179">
        <v>28175000</v>
      </c>
      <c r="N259" s="1382" t="s">
        <v>931</v>
      </c>
      <c r="O259" s="1174" t="s">
        <v>915</v>
      </c>
      <c r="P259" s="1163" t="s">
        <v>678</v>
      </c>
      <c r="Q259" s="1163"/>
      <c r="R259" s="1357">
        <v>28175000</v>
      </c>
      <c r="S259" s="1357">
        <v>28175000</v>
      </c>
      <c r="T259" s="1357">
        <f>+Tabla16[[#This Row],[CDPS A 31 JULIO 2022]]-Tabla16[[#This Row],[CDP]]</f>
        <v>0</v>
      </c>
      <c r="U259" s="1357">
        <v>28175000</v>
      </c>
      <c r="V259" s="1357">
        <v>8738333</v>
      </c>
      <c r="W259" s="1357"/>
      <c r="X259" s="1207"/>
      <c r="Y259" s="1207"/>
      <c r="Z259" s="1207"/>
      <c r="AA259" s="1207"/>
      <c r="AB259" s="1207"/>
      <c r="AC259" s="1207"/>
      <c r="AD259" s="1207"/>
      <c r="AE259" s="1207"/>
      <c r="AF259" s="1207"/>
      <c r="AG259" s="1207"/>
      <c r="AH259" s="1207"/>
      <c r="AI259" s="1207"/>
      <c r="AJ259" s="1207"/>
      <c r="AK259" s="1207"/>
      <c r="AL259" s="1207"/>
      <c r="AM259" s="1207"/>
      <c r="AN259" s="1207"/>
      <c r="AO259" s="1207"/>
      <c r="AP259" s="1207"/>
      <c r="AQ259" s="1207"/>
      <c r="AR259" s="1207"/>
      <c r="AS259" s="1207"/>
      <c r="AT259" s="1207"/>
      <c r="AU259" s="1207"/>
      <c r="AV259" s="1207"/>
      <c r="AW259" s="1207"/>
      <c r="AX259" s="1207"/>
      <c r="AY259" s="1207"/>
      <c r="AZ259" s="1207"/>
      <c r="BA259" s="1207"/>
      <c r="BB259" s="1207"/>
      <c r="BC259" s="1207"/>
      <c r="BD259" s="1207"/>
      <c r="BE259" s="1207"/>
      <c r="BF259" s="1207"/>
      <c r="BG259" s="1207"/>
      <c r="BH259" s="1207"/>
      <c r="BI259" s="1207"/>
      <c r="BJ259" s="1207"/>
      <c r="BK259" s="1207"/>
      <c r="BL259" s="1207"/>
      <c r="BM259" s="1207"/>
      <c r="BN259" s="1207"/>
      <c r="BO259" s="1207"/>
      <c r="BP259" s="1207"/>
      <c r="BQ259" s="1207"/>
      <c r="BR259" s="1207"/>
      <c r="BS259" s="1207"/>
      <c r="BT259" s="1207"/>
      <c r="BU259" s="1207"/>
      <c r="BV259" s="1207"/>
      <c r="BW259" s="1207"/>
      <c r="BX259" s="1207"/>
      <c r="BY259" s="1207"/>
      <c r="BZ259" s="1207"/>
      <c r="CA259" s="1207"/>
      <c r="CB259" s="1207"/>
      <c r="CC259" s="1207"/>
      <c r="CD259" s="1207"/>
      <c r="CE259" s="1207"/>
      <c r="CF259" s="1207"/>
    </row>
    <row r="260" spans="1:84" ht="135" x14ac:dyDescent="0.25">
      <c r="A260" s="1355">
        <v>2022269</v>
      </c>
      <c r="B260" s="1172">
        <v>7658</v>
      </c>
      <c r="C260" s="1356" t="s">
        <v>679</v>
      </c>
      <c r="D260" s="1190" t="s">
        <v>689</v>
      </c>
      <c r="E260" s="1174">
        <v>80111600</v>
      </c>
      <c r="F260" s="1380" t="s">
        <v>940</v>
      </c>
      <c r="G260" s="1381">
        <v>44575</v>
      </c>
      <c r="H260" s="1381">
        <v>44575</v>
      </c>
      <c r="I260" s="1176">
        <v>11.5</v>
      </c>
      <c r="J260" s="1176" t="s">
        <v>673</v>
      </c>
      <c r="K260" s="1177" t="s">
        <v>674</v>
      </c>
      <c r="L260" s="1178" t="s">
        <v>675</v>
      </c>
      <c r="M260" s="1179">
        <v>28175000</v>
      </c>
      <c r="N260" s="1382" t="s">
        <v>931</v>
      </c>
      <c r="O260" s="1174" t="s">
        <v>915</v>
      </c>
      <c r="P260" s="1163" t="s">
        <v>678</v>
      </c>
      <c r="Q260" s="1163"/>
      <c r="R260" s="1357">
        <v>28175000</v>
      </c>
      <c r="S260" s="1357">
        <v>28175000</v>
      </c>
      <c r="T260" s="1357">
        <f>+Tabla16[[#This Row],[CDPS A 31 JULIO 2022]]-Tabla16[[#This Row],[CDP]]</f>
        <v>0</v>
      </c>
      <c r="U260" s="1357">
        <v>28175000</v>
      </c>
      <c r="V260" s="1357">
        <v>9718333</v>
      </c>
      <c r="W260" s="1357"/>
      <c r="X260" s="1207"/>
      <c r="Y260" s="1207"/>
      <c r="Z260" s="1207"/>
      <c r="AA260" s="1207"/>
      <c r="AB260" s="1207"/>
      <c r="AC260" s="1207"/>
      <c r="AD260" s="1207"/>
      <c r="AE260" s="1207"/>
      <c r="AF260" s="1207"/>
      <c r="AG260" s="1207"/>
      <c r="AH260" s="1207"/>
      <c r="AI260" s="1207"/>
      <c r="AJ260" s="1207"/>
      <c r="AK260" s="1207"/>
      <c r="AL260" s="1207"/>
      <c r="AM260" s="1207"/>
      <c r="AN260" s="1207"/>
      <c r="AO260" s="1207"/>
      <c r="AP260" s="1207"/>
      <c r="AQ260" s="1207"/>
      <c r="AR260" s="1207"/>
      <c r="AS260" s="1207"/>
      <c r="AT260" s="1207"/>
      <c r="AU260" s="1207"/>
      <c r="AV260" s="1207"/>
      <c r="AW260" s="1207"/>
      <c r="AX260" s="1207"/>
      <c r="AY260" s="1207"/>
      <c r="AZ260" s="1207"/>
      <c r="BA260" s="1207"/>
      <c r="BB260" s="1207"/>
      <c r="BC260" s="1207"/>
      <c r="BD260" s="1207"/>
      <c r="BE260" s="1207"/>
      <c r="BF260" s="1207"/>
      <c r="BG260" s="1207"/>
      <c r="BH260" s="1207"/>
      <c r="BI260" s="1207"/>
      <c r="BJ260" s="1207"/>
      <c r="BK260" s="1207"/>
      <c r="BL260" s="1207"/>
      <c r="BM260" s="1207"/>
      <c r="BN260" s="1207"/>
      <c r="BO260" s="1207"/>
      <c r="BP260" s="1207"/>
      <c r="BQ260" s="1207"/>
      <c r="BR260" s="1207"/>
      <c r="BS260" s="1207"/>
      <c r="BT260" s="1207"/>
      <c r="BU260" s="1207"/>
      <c r="BV260" s="1207"/>
      <c r="BW260" s="1207"/>
      <c r="BX260" s="1207"/>
      <c r="BY260" s="1207"/>
      <c r="BZ260" s="1207"/>
      <c r="CA260" s="1207"/>
      <c r="CB260" s="1207"/>
      <c r="CC260" s="1207"/>
      <c r="CD260" s="1207"/>
      <c r="CE260" s="1207"/>
      <c r="CF260" s="1207"/>
    </row>
    <row r="261" spans="1:84" ht="135" x14ac:dyDescent="0.25">
      <c r="A261" s="1355">
        <v>2022270</v>
      </c>
      <c r="B261" s="1172">
        <v>7658</v>
      </c>
      <c r="C261" s="1356" t="s">
        <v>679</v>
      </c>
      <c r="D261" s="1190" t="s">
        <v>689</v>
      </c>
      <c r="E261" s="1174">
        <v>80111600</v>
      </c>
      <c r="F261" s="1380" t="s">
        <v>940</v>
      </c>
      <c r="G261" s="1381">
        <v>44575</v>
      </c>
      <c r="H261" s="1381">
        <v>44575</v>
      </c>
      <c r="I261" s="1176">
        <v>11.5</v>
      </c>
      <c r="J261" s="1176" t="s">
        <v>673</v>
      </c>
      <c r="K261" s="1177" t="s">
        <v>674</v>
      </c>
      <c r="L261" s="1178" t="s">
        <v>675</v>
      </c>
      <c r="M261" s="1179">
        <v>28175000</v>
      </c>
      <c r="N261" s="1382" t="s">
        <v>931</v>
      </c>
      <c r="O261" s="1174" t="s">
        <v>915</v>
      </c>
      <c r="P261" s="1163" t="s">
        <v>678</v>
      </c>
      <c r="Q261" s="1163"/>
      <c r="R261" s="1357">
        <v>28175000</v>
      </c>
      <c r="S261" s="1357">
        <v>28175000</v>
      </c>
      <c r="T261" s="1357">
        <f>+Tabla16[[#This Row],[CDPS A 31 JULIO 2022]]-Tabla16[[#This Row],[CDP]]</f>
        <v>0</v>
      </c>
      <c r="U261" s="1357">
        <v>28175000</v>
      </c>
      <c r="V261" s="1357">
        <v>9555000</v>
      </c>
      <c r="W261" s="1357"/>
      <c r="X261" s="1207"/>
      <c r="Y261" s="1207"/>
      <c r="Z261" s="1207"/>
      <c r="AA261" s="1207"/>
      <c r="AB261" s="1207"/>
      <c r="AC261" s="1207"/>
      <c r="AD261" s="1207"/>
      <c r="AE261" s="1207"/>
      <c r="AF261" s="1207"/>
      <c r="AG261" s="1207"/>
      <c r="AH261" s="1207"/>
      <c r="AI261" s="1207"/>
      <c r="AJ261" s="1207"/>
      <c r="AK261" s="1207"/>
      <c r="AL261" s="1207"/>
      <c r="AM261" s="1207"/>
      <c r="AN261" s="1207"/>
      <c r="AO261" s="1207"/>
      <c r="AP261" s="1207"/>
      <c r="AQ261" s="1207"/>
      <c r="AR261" s="1207"/>
      <c r="AS261" s="1207"/>
      <c r="AT261" s="1207"/>
      <c r="AU261" s="1207"/>
      <c r="AV261" s="1207"/>
      <c r="AW261" s="1207"/>
      <c r="AX261" s="1207"/>
      <c r="AY261" s="1207"/>
      <c r="AZ261" s="1207"/>
      <c r="BA261" s="1207"/>
      <c r="BB261" s="1207"/>
      <c r="BC261" s="1207"/>
      <c r="BD261" s="1207"/>
      <c r="BE261" s="1207"/>
      <c r="BF261" s="1207"/>
      <c r="BG261" s="1207"/>
      <c r="BH261" s="1207"/>
      <c r="BI261" s="1207"/>
      <c r="BJ261" s="1207"/>
      <c r="BK261" s="1207"/>
      <c r="BL261" s="1207"/>
      <c r="BM261" s="1207"/>
      <c r="BN261" s="1207"/>
      <c r="BO261" s="1207"/>
      <c r="BP261" s="1207"/>
      <c r="BQ261" s="1207"/>
      <c r="BR261" s="1207"/>
      <c r="BS261" s="1207"/>
      <c r="BT261" s="1207"/>
      <c r="BU261" s="1207"/>
      <c r="BV261" s="1207"/>
      <c r="BW261" s="1207"/>
      <c r="BX261" s="1207"/>
      <c r="BY261" s="1207"/>
      <c r="BZ261" s="1207"/>
      <c r="CA261" s="1207"/>
      <c r="CB261" s="1207"/>
      <c r="CC261" s="1207"/>
      <c r="CD261" s="1207"/>
      <c r="CE261" s="1207"/>
      <c r="CF261" s="1207"/>
    </row>
    <row r="262" spans="1:84" ht="135" x14ac:dyDescent="0.25">
      <c r="A262" s="1355">
        <v>2022271</v>
      </c>
      <c r="B262" s="1172">
        <v>7658</v>
      </c>
      <c r="C262" s="1356" t="s">
        <v>679</v>
      </c>
      <c r="D262" s="1190" t="s">
        <v>689</v>
      </c>
      <c r="E262" s="1174">
        <v>80111600</v>
      </c>
      <c r="F262" s="1380" t="s">
        <v>940</v>
      </c>
      <c r="G262" s="1381">
        <v>44575</v>
      </c>
      <c r="H262" s="1381">
        <v>44575</v>
      </c>
      <c r="I262" s="1176">
        <v>11.5</v>
      </c>
      <c r="J262" s="1176" t="s">
        <v>673</v>
      </c>
      <c r="K262" s="1177" t="s">
        <v>674</v>
      </c>
      <c r="L262" s="1178" t="s">
        <v>675</v>
      </c>
      <c r="M262" s="1179">
        <v>28175000</v>
      </c>
      <c r="N262" s="1382" t="s">
        <v>931</v>
      </c>
      <c r="O262" s="1174" t="s">
        <v>915</v>
      </c>
      <c r="P262" s="1163" t="s">
        <v>678</v>
      </c>
      <c r="Q262" s="1163"/>
      <c r="R262" s="1357">
        <v>28175000</v>
      </c>
      <c r="S262" s="1357">
        <v>28175000</v>
      </c>
      <c r="T262" s="1357">
        <f>+Tabla16[[#This Row],[CDPS A 31 JULIO 2022]]-Tabla16[[#This Row],[CDP]]</f>
        <v>0</v>
      </c>
      <c r="U262" s="1357">
        <v>28175000</v>
      </c>
      <c r="V262" s="1357">
        <v>7350000</v>
      </c>
      <c r="W262" s="1357"/>
      <c r="X262" s="1207"/>
      <c r="Y262" s="1207"/>
      <c r="Z262" s="1207"/>
      <c r="AA262" s="1207"/>
      <c r="AB262" s="1207"/>
      <c r="AC262" s="1207"/>
      <c r="AD262" s="1207"/>
      <c r="AE262" s="1207"/>
      <c r="AF262" s="1207"/>
      <c r="AG262" s="1207"/>
      <c r="AH262" s="1207"/>
      <c r="AI262" s="1207"/>
      <c r="AJ262" s="1207"/>
      <c r="AK262" s="1207"/>
      <c r="AL262" s="1207"/>
      <c r="AM262" s="1207"/>
      <c r="AN262" s="1207"/>
      <c r="AO262" s="1207"/>
      <c r="AP262" s="1207"/>
      <c r="AQ262" s="1207"/>
      <c r="AR262" s="1207"/>
      <c r="AS262" s="1207"/>
      <c r="AT262" s="1207"/>
      <c r="AU262" s="1207"/>
      <c r="AV262" s="1207"/>
      <c r="AW262" s="1207"/>
      <c r="AX262" s="1207"/>
      <c r="AY262" s="1207"/>
      <c r="AZ262" s="1207"/>
      <c r="BA262" s="1207"/>
      <c r="BB262" s="1207"/>
      <c r="BC262" s="1207"/>
      <c r="BD262" s="1207"/>
      <c r="BE262" s="1207"/>
      <c r="BF262" s="1207"/>
      <c r="BG262" s="1207"/>
      <c r="BH262" s="1207"/>
      <c r="BI262" s="1207"/>
      <c r="BJ262" s="1207"/>
      <c r="BK262" s="1207"/>
      <c r="BL262" s="1207"/>
      <c r="BM262" s="1207"/>
      <c r="BN262" s="1207"/>
      <c r="BO262" s="1207"/>
      <c r="BP262" s="1207"/>
      <c r="BQ262" s="1207"/>
      <c r="BR262" s="1207"/>
      <c r="BS262" s="1207"/>
      <c r="BT262" s="1207"/>
      <c r="BU262" s="1207"/>
      <c r="BV262" s="1207"/>
      <c r="BW262" s="1207"/>
      <c r="BX262" s="1207"/>
      <c r="BY262" s="1207"/>
      <c r="BZ262" s="1207"/>
      <c r="CA262" s="1207"/>
      <c r="CB262" s="1207"/>
      <c r="CC262" s="1207"/>
      <c r="CD262" s="1207"/>
      <c r="CE262" s="1207"/>
      <c r="CF262" s="1207"/>
    </row>
    <row r="263" spans="1:84" ht="135" x14ac:dyDescent="0.25">
      <c r="A263" s="1355">
        <v>2022272</v>
      </c>
      <c r="B263" s="1172">
        <v>7658</v>
      </c>
      <c r="C263" s="1356" t="s">
        <v>679</v>
      </c>
      <c r="D263" s="1190" t="s">
        <v>689</v>
      </c>
      <c r="E263" s="1174">
        <v>80111600</v>
      </c>
      <c r="F263" s="1380" t="s">
        <v>940</v>
      </c>
      <c r="G263" s="1381">
        <v>44575</v>
      </c>
      <c r="H263" s="1381">
        <v>44575</v>
      </c>
      <c r="I263" s="1176">
        <v>11.5</v>
      </c>
      <c r="J263" s="1176" t="s">
        <v>673</v>
      </c>
      <c r="K263" s="1177" t="s">
        <v>674</v>
      </c>
      <c r="L263" s="1178" t="s">
        <v>675</v>
      </c>
      <c r="M263" s="1179">
        <v>28175000</v>
      </c>
      <c r="N263" s="1382" t="s">
        <v>931</v>
      </c>
      <c r="O263" s="1174" t="s">
        <v>915</v>
      </c>
      <c r="P263" s="1163" t="s">
        <v>678</v>
      </c>
      <c r="Q263" s="1163"/>
      <c r="R263" s="1357">
        <v>28175000</v>
      </c>
      <c r="S263" s="1357">
        <v>28175000</v>
      </c>
      <c r="T263" s="1357">
        <f>+Tabla16[[#This Row],[CDPS A 31 JULIO 2022]]-Tabla16[[#This Row],[CDP]]</f>
        <v>0</v>
      </c>
      <c r="U263" s="1357">
        <v>28175000</v>
      </c>
      <c r="V263" s="1357">
        <v>9310000</v>
      </c>
      <c r="W263" s="1357"/>
      <c r="X263" s="1207"/>
      <c r="Y263" s="1207"/>
      <c r="Z263" s="1207"/>
      <c r="AA263" s="1207"/>
      <c r="AB263" s="1207"/>
      <c r="AC263" s="1207"/>
      <c r="AD263" s="1207"/>
      <c r="AE263" s="1207"/>
      <c r="AF263" s="1207"/>
      <c r="AG263" s="1207"/>
      <c r="AH263" s="1207"/>
      <c r="AI263" s="1207"/>
      <c r="AJ263" s="1207"/>
      <c r="AK263" s="1207"/>
      <c r="AL263" s="1207"/>
      <c r="AM263" s="1207"/>
      <c r="AN263" s="1207"/>
      <c r="AO263" s="1207"/>
      <c r="AP263" s="1207"/>
      <c r="AQ263" s="1207"/>
      <c r="AR263" s="1207"/>
      <c r="AS263" s="1207"/>
      <c r="AT263" s="1207"/>
      <c r="AU263" s="1207"/>
      <c r="AV263" s="1207"/>
      <c r="AW263" s="1207"/>
      <c r="AX263" s="1207"/>
      <c r="AY263" s="1207"/>
      <c r="AZ263" s="1207"/>
      <c r="BA263" s="1207"/>
      <c r="BB263" s="1207"/>
      <c r="BC263" s="1207"/>
      <c r="BD263" s="1207"/>
      <c r="BE263" s="1207"/>
      <c r="BF263" s="1207"/>
      <c r="BG263" s="1207"/>
      <c r="BH263" s="1207"/>
      <c r="BI263" s="1207"/>
      <c r="BJ263" s="1207"/>
      <c r="BK263" s="1207"/>
      <c r="BL263" s="1207"/>
      <c r="BM263" s="1207"/>
      <c r="BN263" s="1207"/>
      <c r="BO263" s="1207"/>
      <c r="BP263" s="1207"/>
      <c r="BQ263" s="1207"/>
      <c r="BR263" s="1207"/>
      <c r="BS263" s="1207"/>
      <c r="BT263" s="1207"/>
      <c r="BU263" s="1207"/>
      <c r="BV263" s="1207"/>
      <c r="BW263" s="1207"/>
      <c r="BX263" s="1207"/>
      <c r="BY263" s="1207"/>
      <c r="BZ263" s="1207"/>
      <c r="CA263" s="1207"/>
      <c r="CB263" s="1207"/>
      <c r="CC263" s="1207"/>
      <c r="CD263" s="1207"/>
      <c r="CE263" s="1207"/>
      <c r="CF263" s="1207"/>
    </row>
    <row r="264" spans="1:84" ht="135" x14ac:dyDescent="0.25">
      <c r="A264" s="1355">
        <v>2022273</v>
      </c>
      <c r="B264" s="1172">
        <v>7658</v>
      </c>
      <c r="C264" s="1356" t="s">
        <v>679</v>
      </c>
      <c r="D264" s="1190" t="s">
        <v>689</v>
      </c>
      <c r="E264" s="1174">
        <v>80111600</v>
      </c>
      <c r="F264" s="1380" t="s">
        <v>940</v>
      </c>
      <c r="G264" s="1381">
        <v>44575</v>
      </c>
      <c r="H264" s="1381">
        <v>44575</v>
      </c>
      <c r="I264" s="1176">
        <v>11.5</v>
      </c>
      <c r="J264" s="1176" t="s">
        <v>673</v>
      </c>
      <c r="K264" s="1177" t="s">
        <v>674</v>
      </c>
      <c r="L264" s="1178" t="s">
        <v>675</v>
      </c>
      <c r="M264" s="1179">
        <v>28175000</v>
      </c>
      <c r="N264" s="1382" t="s">
        <v>931</v>
      </c>
      <c r="O264" s="1174" t="s">
        <v>915</v>
      </c>
      <c r="P264" s="1163" t="s">
        <v>678</v>
      </c>
      <c r="Q264" s="1163"/>
      <c r="R264" s="1357">
        <v>28175000</v>
      </c>
      <c r="S264" s="1357">
        <v>28175000</v>
      </c>
      <c r="T264" s="1357">
        <f>+Tabla16[[#This Row],[CDPS A 31 JULIO 2022]]-Tabla16[[#This Row],[CDP]]</f>
        <v>0</v>
      </c>
      <c r="U264" s="1357">
        <v>28175000</v>
      </c>
      <c r="V264" s="1357">
        <v>9555000</v>
      </c>
      <c r="W264" s="1357"/>
      <c r="X264" s="1207"/>
      <c r="Y264" s="1207"/>
      <c r="Z264" s="1207"/>
      <c r="AA264" s="1207"/>
      <c r="AB264" s="1207"/>
      <c r="AC264" s="1207"/>
      <c r="AD264" s="1207"/>
      <c r="AE264" s="1207"/>
      <c r="AF264" s="1207"/>
      <c r="AG264" s="1207"/>
      <c r="AH264" s="1207"/>
      <c r="AI264" s="1207"/>
      <c r="AJ264" s="1207"/>
      <c r="AK264" s="1207"/>
      <c r="AL264" s="1207"/>
      <c r="AM264" s="1207"/>
      <c r="AN264" s="1207"/>
      <c r="AO264" s="1207"/>
      <c r="AP264" s="1207"/>
      <c r="AQ264" s="1207"/>
      <c r="AR264" s="1207"/>
      <c r="AS264" s="1207"/>
      <c r="AT264" s="1207"/>
      <c r="AU264" s="1207"/>
      <c r="AV264" s="1207"/>
      <c r="AW264" s="1207"/>
      <c r="AX264" s="1207"/>
      <c r="AY264" s="1207"/>
      <c r="AZ264" s="1207"/>
      <c r="BA264" s="1207"/>
      <c r="BB264" s="1207"/>
      <c r="BC264" s="1207"/>
      <c r="BD264" s="1207"/>
      <c r="BE264" s="1207"/>
      <c r="BF264" s="1207"/>
      <c r="BG264" s="1207"/>
      <c r="BH264" s="1207"/>
      <c r="BI264" s="1207"/>
      <c r="BJ264" s="1207"/>
      <c r="BK264" s="1207"/>
      <c r="BL264" s="1207"/>
      <c r="BM264" s="1207"/>
      <c r="BN264" s="1207"/>
      <c r="BO264" s="1207"/>
      <c r="BP264" s="1207"/>
      <c r="BQ264" s="1207"/>
      <c r="BR264" s="1207"/>
      <c r="BS264" s="1207"/>
      <c r="BT264" s="1207"/>
      <c r="BU264" s="1207"/>
      <c r="BV264" s="1207"/>
      <c r="BW264" s="1207"/>
      <c r="BX264" s="1207"/>
      <c r="BY264" s="1207"/>
      <c r="BZ264" s="1207"/>
      <c r="CA264" s="1207"/>
      <c r="CB264" s="1207"/>
      <c r="CC264" s="1207"/>
      <c r="CD264" s="1207"/>
      <c r="CE264" s="1207"/>
      <c r="CF264" s="1207"/>
    </row>
    <row r="265" spans="1:84" ht="135" x14ac:dyDescent="0.25">
      <c r="A265" s="1355">
        <v>2022274</v>
      </c>
      <c r="B265" s="1172">
        <v>7658</v>
      </c>
      <c r="C265" s="1356" t="s">
        <v>679</v>
      </c>
      <c r="D265" s="1190" t="s">
        <v>689</v>
      </c>
      <c r="E265" s="1174">
        <v>80111600</v>
      </c>
      <c r="F265" s="1380" t="s">
        <v>940</v>
      </c>
      <c r="G265" s="1381">
        <v>44575</v>
      </c>
      <c r="H265" s="1381">
        <v>44575</v>
      </c>
      <c r="I265" s="1176">
        <v>11.5</v>
      </c>
      <c r="J265" s="1176" t="s">
        <v>673</v>
      </c>
      <c r="K265" s="1177" t="s">
        <v>674</v>
      </c>
      <c r="L265" s="1178" t="s">
        <v>675</v>
      </c>
      <c r="M265" s="1179">
        <v>28175000</v>
      </c>
      <c r="N265" s="1382" t="s">
        <v>931</v>
      </c>
      <c r="O265" s="1174" t="s">
        <v>915</v>
      </c>
      <c r="P265" s="1163" t="s">
        <v>678</v>
      </c>
      <c r="Q265" s="1163"/>
      <c r="R265" s="1357">
        <v>28175000</v>
      </c>
      <c r="S265" s="1357">
        <v>28175000</v>
      </c>
      <c r="T265" s="1357">
        <f>+Tabla16[[#This Row],[CDPS A 31 JULIO 2022]]-Tabla16[[#This Row],[CDP]]</f>
        <v>0</v>
      </c>
      <c r="U265" s="1357">
        <v>28175000</v>
      </c>
      <c r="V265" s="1357"/>
      <c r="W265" s="1357"/>
      <c r="X265" s="1207"/>
      <c r="Y265" s="1207"/>
      <c r="Z265" s="1207"/>
      <c r="AA265" s="1207"/>
      <c r="AB265" s="1207"/>
      <c r="AC265" s="1207"/>
      <c r="AD265" s="1207"/>
      <c r="AE265" s="1207"/>
      <c r="AF265" s="1207"/>
      <c r="AG265" s="1207"/>
      <c r="AH265" s="1207"/>
      <c r="AI265" s="1207"/>
      <c r="AJ265" s="1207"/>
      <c r="AK265" s="1207"/>
      <c r="AL265" s="1207"/>
      <c r="AM265" s="1207"/>
      <c r="AN265" s="1207"/>
      <c r="AO265" s="1207"/>
      <c r="AP265" s="1207"/>
      <c r="AQ265" s="1207"/>
      <c r="AR265" s="1207"/>
      <c r="AS265" s="1207"/>
      <c r="AT265" s="1207"/>
      <c r="AU265" s="1207"/>
      <c r="AV265" s="1207"/>
      <c r="AW265" s="1207"/>
      <c r="AX265" s="1207"/>
      <c r="AY265" s="1207"/>
      <c r="AZ265" s="1207"/>
      <c r="BA265" s="1207"/>
      <c r="BB265" s="1207"/>
      <c r="BC265" s="1207"/>
      <c r="BD265" s="1207"/>
      <c r="BE265" s="1207"/>
      <c r="BF265" s="1207"/>
      <c r="BG265" s="1207"/>
      <c r="BH265" s="1207"/>
      <c r="BI265" s="1207"/>
      <c r="BJ265" s="1207"/>
      <c r="BK265" s="1207"/>
      <c r="BL265" s="1207"/>
      <c r="BM265" s="1207"/>
      <c r="BN265" s="1207"/>
      <c r="BO265" s="1207"/>
      <c r="BP265" s="1207"/>
      <c r="BQ265" s="1207"/>
      <c r="BR265" s="1207"/>
      <c r="BS265" s="1207"/>
      <c r="BT265" s="1207"/>
      <c r="BU265" s="1207"/>
      <c r="BV265" s="1207"/>
      <c r="BW265" s="1207"/>
      <c r="BX265" s="1207"/>
      <c r="BY265" s="1207"/>
      <c r="BZ265" s="1207"/>
      <c r="CA265" s="1207"/>
      <c r="CB265" s="1207"/>
      <c r="CC265" s="1207"/>
      <c r="CD265" s="1207"/>
      <c r="CE265" s="1207"/>
      <c r="CF265" s="1207"/>
    </row>
    <row r="266" spans="1:84" ht="135" x14ac:dyDescent="0.25">
      <c r="A266" s="1355">
        <v>2022275</v>
      </c>
      <c r="B266" s="1172">
        <v>7658</v>
      </c>
      <c r="C266" s="1356" t="s">
        <v>679</v>
      </c>
      <c r="D266" s="1190" t="s">
        <v>689</v>
      </c>
      <c r="E266" s="1174">
        <v>80111600</v>
      </c>
      <c r="F266" s="1380" t="s">
        <v>940</v>
      </c>
      <c r="G266" s="1381">
        <v>44575</v>
      </c>
      <c r="H266" s="1381">
        <v>44575</v>
      </c>
      <c r="I266" s="1176">
        <v>11.5</v>
      </c>
      <c r="J266" s="1176" t="s">
        <v>673</v>
      </c>
      <c r="K266" s="1177" t="s">
        <v>674</v>
      </c>
      <c r="L266" s="1178" t="s">
        <v>675</v>
      </c>
      <c r="M266" s="1179">
        <v>28175000</v>
      </c>
      <c r="N266" s="1382" t="s">
        <v>931</v>
      </c>
      <c r="O266" s="1174" t="s">
        <v>915</v>
      </c>
      <c r="P266" s="1163" t="s">
        <v>678</v>
      </c>
      <c r="Q266" s="1163"/>
      <c r="R266" s="1357">
        <v>28175000</v>
      </c>
      <c r="S266" s="1357">
        <v>28175000</v>
      </c>
      <c r="T266" s="1357">
        <f>+Tabla16[[#This Row],[CDPS A 31 JULIO 2022]]-Tabla16[[#This Row],[CDP]]</f>
        <v>0</v>
      </c>
      <c r="U266" s="1357">
        <v>28175000</v>
      </c>
      <c r="V266" s="1357">
        <v>7595000</v>
      </c>
      <c r="W266" s="1357"/>
      <c r="X266" s="1207"/>
      <c r="Y266" s="1207"/>
      <c r="Z266" s="1207"/>
      <c r="AA266" s="1207"/>
      <c r="AB266" s="1207"/>
      <c r="AC266" s="1207"/>
      <c r="AD266" s="1207"/>
      <c r="AE266" s="1207"/>
      <c r="AF266" s="1207"/>
      <c r="AG266" s="1207"/>
      <c r="AH266" s="1207"/>
      <c r="AI266" s="1207"/>
      <c r="AJ266" s="1207"/>
      <c r="AK266" s="1207"/>
      <c r="AL266" s="1207"/>
      <c r="AM266" s="1207"/>
      <c r="AN266" s="1207"/>
      <c r="AO266" s="1207"/>
      <c r="AP266" s="1207"/>
      <c r="AQ266" s="1207"/>
      <c r="AR266" s="1207"/>
      <c r="AS266" s="1207"/>
      <c r="AT266" s="1207"/>
      <c r="AU266" s="1207"/>
      <c r="AV266" s="1207"/>
      <c r="AW266" s="1207"/>
      <c r="AX266" s="1207"/>
      <c r="AY266" s="1207"/>
      <c r="AZ266" s="1207"/>
      <c r="BA266" s="1207"/>
      <c r="BB266" s="1207"/>
      <c r="BC266" s="1207"/>
      <c r="BD266" s="1207"/>
      <c r="BE266" s="1207"/>
      <c r="BF266" s="1207"/>
      <c r="BG266" s="1207"/>
      <c r="BH266" s="1207"/>
      <c r="BI266" s="1207"/>
      <c r="BJ266" s="1207"/>
      <c r="BK266" s="1207"/>
      <c r="BL266" s="1207"/>
      <c r="BM266" s="1207"/>
      <c r="BN266" s="1207"/>
      <c r="BO266" s="1207"/>
      <c r="BP266" s="1207"/>
      <c r="BQ266" s="1207"/>
      <c r="BR266" s="1207"/>
      <c r="BS266" s="1207"/>
      <c r="BT266" s="1207"/>
      <c r="BU266" s="1207"/>
      <c r="BV266" s="1207"/>
      <c r="BW266" s="1207"/>
      <c r="BX266" s="1207"/>
      <c r="BY266" s="1207"/>
      <c r="BZ266" s="1207"/>
      <c r="CA266" s="1207"/>
      <c r="CB266" s="1207"/>
      <c r="CC266" s="1207"/>
      <c r="CD266" s="1207"/>
      <c r="CE266" s="1207"/>
      <c r="CF266" s="1207"/>
    </row>
    <row r="267" spans="1:84" ht="135" x14ac:dyDescent="0.25">
      <c r="A267" s="1355">
        <v>2022276</v>
      </c>
      <c r="B267" s="1172">
        <v>7658</v>
      </c>
      <c r="C267" s="1356" t="s">
        <v>679</v>
      </c>
      <c r="D267" s="1190" t="s">
        <v>689</v>
      </c>
      <c r="E267" s="1174">
        <v>80111600</v>
      </c>
      <c r="F267" s="1380" t="s">
        <v>940</v>
      </c>
      <c r="G267" s="1381">
        <v>44575</v>
      </c>
      <c r="H267" s="1381">
        <v>44575</v>
      </c>
      <c r="I267" s="1176">
        <v>11.5</v>
      </c>
      <c r="J267" s="1176" t="s">
        <v>673</v>
      </c>
      <c r="K267" s="1177" t="s">
        <v>674</v>
      </c>
      <c r="L267" s="1178" t="s">
        <v>675</v>
      </c>
      <c r="M267" s="1179">
        <v>24150000</v>
      </c>
      <c r="N267" s="1382" t="s">
        <v>931</v>
      </c>
      <c r="O267" s="1174" t="s">
        <v>915</v>
      </c>
      <c r="P267" s="1163" t="s">
        <v>678</v>
      </c>
      <c r="Q267" s="1163"/>
      <c r="R267" s="1357">
        <v>24150000</v>
      </c>
      <c r="S267" s="1357">
        <v>24150000</v>
      </c>
      <c r="T267" s="1357">
        <f>+Tabla16[[#This Row],[CDPS A 31 JULIO 2022]]-Tabla16[[#This Row],[CDP]]</f>
        <v>0</v>
      </c>
      <c r="U267" s="1357">
        <v>24150000</v>
      </c>
      <c r="V267" s="1357">
        <v>8400000</v>
      </c>
      <c r="W267" s="1357"/>
      <c r="X267" s="1207"/>
      <c r="Y267" s="1207"/>
      <c r="Z267" s="1207"/>
      <c r="AA267" s="1207"/>
      <c r="AB267" s="1207"/>
      <c r="AC267" s="1207"/>
      <c r="AD267" s="1207"/>
      <c r="AE267" s="1207"/>
      <c r="AF267" s="1207"/>
      <c r="AG267" s="1207"/>
      <c r="AH267" s="1207"/>
      <c r="AI267" s="1207"/>
      <c r="AJ267" s="1207"/>
      <c r="AK267" s="1207"/>
      <c r="AL267" s="1207"/>
      <c r="AM267" s="1207"/>
      <c r="AN267" s="1207"/>
      <c r="AO267" s="1207"/>
      <c r="AP267" s="1207"/>
      <c r="AQ267" s="1207"/>
      <c r="AR267" s="1207"/>
      <c r="AS267" s="1207"/>
      <c r="AT267" s="1207"/>
      <c r="AU267" s="1207"/>
      <c r="AV267" s="1207"/>
      <c r="AW267" s="1207"/>
      <c r="AX267" s="1207"/>
      <c r="AY267" s="1207"/>
      <c r="AZ267" s="1207"/>
      <c r="BA267" s="1207"/>
      <c r="BB267" s="1207"/>
      <c r="BC267" s="1207"/>
      <c r="BD267" s="1207"/>
      <c r="BE267" s="1207"/>
      <c r="BF267" s="1207"/>
      <c r="BG267" s="1207"/>
      <c r="BH267" s="1207"/>
      <c r="BI267" s="1207"/>
      <c r="BJ267" s="1207"/>
      <c r="BK267" s="1207"/>
      <c r="BL267" s="1207"/>
      <c r="BM267" s="1207"/>
      <c r="BN267" s="1207"/>
      <c r="BO267" s="1207"/>
      <c r="BP267" s="1207"/>
      <c r="BQ267" s="1207"/>
      <c r="BR267" s="1207"/>
      <c r="BS267" s="1207"/>
      <c r="BT267" s="1207"/>
      <c r="BU267" s="1207"/>
      <c r="BV267" s="1207"/>
      <c r="BW267" s="1207"/>
      <c r="BX267" s="1207"/>
      <c r="BY267" s="1207"/>
      <c r="BZ267" s="1207"/>
      <c r="CA267" s="1207"/>
      <c r="CB267" s="1207"/>
      <c r="CC267" s="1207"/>
      <c r="CD267" s="1207"/>
      <c r="CE267" s="1207"/>
      <c r="CF267" s="1207"/>
    </row>
    <row r="268" spans="1:84" ht="135" x14ac:dyDescent="0.25">
      <c r="A268" s="1355">
        <v>2022277</v>
      </c>
      <c r="B268" s="1172">
        <v>7658</v>
      </c>
      <c r="C268" s="1356" t="s">
        <v>679</v>
      </c>
      <c r="D268" s="1190" t="s">
        <v>689</v>
      </c>
      <c r="E268" s="1174">
        <v>80111600</v>
      </c>
      <c r="F268" s="1380" t="s">
        <v>940</v>
      </c>
      <c r="G268" s="1381">
        <v>44575</v>
      </c>
      <c r="H268" s="1381">
        <v>44575</v>
      </c>
      <c r="I268" s="1176">
        <v>11.5</v>
      </c>
      <c r="J268" s="1176" t="s">
        <v>673</v>
      </c>
      <c r="K268" s="1177" t="s">
        <v>674</v>
      </c>
      <c r="L268" s="1178" t="s">
        <v>675</v>
      </c>
      <c r="M268" s="1179">
        <v>28175000</v>
      </c>
      <c r="N268" s="1382" t="s">
        <v>931</v>
      </c>
      <c r="O268" s="1174" t="s">
        <v>915</v>
      </c>
      <c r="P268" s="1163" t="s">
        <v>678</v>
      </c>
      <c r="Q268" s="1163"/>
      <c r="R268" s="1357">
        <v>28175000</v>
      </c>
      <c r="S268" s="1357">
        <v>28175000</v>
      </c>
      <c r="T268" s="1357">
        <f>+Tabla16[[#This Row],[CDPS A 31 JULIO 2022]]-Tabla16[[#This Row],[CDP]]</f>
        <v>0</v>
      </c>
      <c r="U268" s="1357">
        <v>28175000</v>
      </c>
      <c r="V268" s="1357">
        <v>9718333</v>
      </c>
      <c r="W268" s="1357"/>
      <c r="X268" s="1207"/>
      <c r="Y268" s="1207"/>
      <c r="Z268" s="1207"/>
      <c r="AA268" s="1207"/>
      <c r="AB268" s="1207"/>
      <c r="AC268" s="1207"/>
      <c r="AD268" s="1207"/>
      <c r="AE268" s="1207"/>
      <c r="AF268" s="1207"/>
      <c r="AG268" s="1207"/>
      <c r="AH268" s="1207"/>
      <c r="AI268" s="1207"/>
      <c r="AJ268" s="1207"/>
      <c r="AK268" s="1207"/>
      <c r="AL268" s="1207"/>
      <c r="AM268" s="1207"/>
      <c r="AN268" s="1207"/>
      <c r="AO268" s="1207"/>
      <c r="AP268" s="1207"/>
      <c r="AQ268" s="1207"/>
      <c r="AR268" s="1207"/>
      <c r="AS268" s="1207"/>
      <c r="AT268" s="1207"/>
      <c r="AU268" s="1207"/>
      <c r="AV268" s="1207"/>
      <c r="AW268" s="1207"/>
      <c r="AX268" s="1207"/>
      <c r="AY268" s="1207"/>
      <c r="AZ268" s="1207"/>
      <c r="BA268" s="1207"/>
      <c r="BB268" s="1207"/>
      <c r="BC268" s="1207"/>
      <c r="BD268" s="1207"/>
      <c r="BE268" s="1207"/>
      <c r="BF268" s="1207"/>
      <c r="BG268" s="1207"/>
      <c r="BH268" s="1207"/>
      <c r="BI268" s="1207"/>
      <c r="BJ268" s="1207"/>
      <c r="BK268" s="1207"/>
      <c r="BL268" s="1207"/>
      <c r="BM268" s="1207"/>
      <c r="BN268" s="1207"/>
      <c r="BO268" s="1207"/>
      <c r="BP268" s="1207"/>
      <c r="BQ268" s="1207"/>
      <c r="BR268" s="1207"/>
      <c r="BS268" s="1207"/>
      <c r="BT268" s="1207"/>
      <c r="BU268" s="1207"/>
      <c r="BV268" s="1207"/>
      <c r="BW268" s="1207"/>
      <c r="BX268" s="1207"/>
      <c r="BY268" s="1207"/>
      <c r="BZ268" s="1207"/>
      <c r="CA268" s="1207"/>
      <c r="CB268" s="1207"/>
      <c r="CC268" s="1207"/>
      <c r="CD268" s="1207"/>
      <c r="CE268" s="1207"/>
      <c r="CF268" s="1207"/>
    </row>
    <row r="269" spans="1:84" ht="135" x14ac:dyDescent="0.25">
      <c r="A269" s="1355">
        <v>2022278</v>
      </c>
      <c r="B269" s="1172">
        <v>7658</v>
      </c>
      <c r="C269" s="1356" t="s">
        <v>679</v>
      </c>
      <c r="D269" s="1190" t="s">
        <v>689</v>
      </c>
      <c r="E269" s="1174">
        <v>80111600</v>
      </c>
      <c r="F269" s="1380" t="s">
        <v>940</v>
      </c>
      <c r="G269" s="1381">
        <v>44575</v>
      </c>
      <c r="H269" s="1381">
        <v>44575</v>
      </c>
      <c r="I269" s="1176">
        <v>11.5</v>
      </c>
      <c r="J269" s="1176" t="s">
        <v>673</v>
      </c>
      <c r="K269" s="1177" t="s">
        <v>674</v>
      </c>
      <c r="L269" s="1178" t="s">
        <v>675</v>
      </c>
      <c r="M269" s="1179">
        <v>28175000</v>
      </c>
      <c r="N269" s="1382" t="s">
        <v>931</v>
      </c>
      <c r="O269" s="1174" t="s">
        <v>915</v>
      </c>
      <c r="P269" s="1163" t="s">
        <v>678</v>
      </c>
      <c r="Q269" s="1163"/>
      <c r="R269" s="1357">
        <v>28175000</v>
      </c>
      <c r="S269" s="1357">
        <v>28175000</v>
      </c>
      <c r="T269" s="1357">
        <f>+Tabla16[[#This Row],[CDPS A 31 JULIO 2022]]-Tabla16[[#This Row],[CDP]]</f>
        <v>0</v>
      </c>
      <c r="U269" s="1357">
        <v>28175000</v>
      </c>
      <c r="V269" s="1357">
        <v>9718333</v>
      </c>
      <c r="W269" s="1357"/>
      <c r="X269" s="1207"/>
      <c r="Y269" s="1207"/>
      <c r="Z269" s="1207"/>
      <c r="AA269" s="1207"/>
      <c r="AB269" s="1207"/>
      <c r="AC269" s="1207"/>
      <c r="AD269" s="1207"/>
      <c r="AE269" s="1207"/>
      <c r="AF269" s="1207"/>
      <c r="AG269" s="1207"/>
      <c r="AH269" s="1207"/>
      <c r="AI269" s="1207"/>
      <c r="AJ269" s="1207"/>
      <c r="AK269" s="1207"/>
      <c r="AL269" s="1207"/>
      <c r="AM269" s="1207"/>
      <c r="AN269" s="1207"/>
      <c r="AO269" s="1207"/>
      <c r="AP269" s="1207"/>
      <c r="AQ269" s="1207"/>
      <c r="AR269" s="1207"/>
      <c r="AS269" s="1207"/>
      <c r="AT269" s="1207"/>
      <c r="AU269" s="1207"/>
      <c r="AV269" s="1207"/>
      <c r="AW269" s="1207"/>
      <c r="AX269" s="1207"/>
      <c r="AY269" s="1207"/>
      <c r="AZ269" s="1207"/>
      <c r="BA269" s="1207"/>
      <c r="BB269" s="1207"/>
      <c r="BC269" s="1207"/>
      <c r="BD269" s="1207"/>
      <c r="BE269" s="1207"/>
      <c r="BF269" s="1207"/>
      <c r="BG269" s="1207"/>
      <c r="BH269" s="1207"/>
      <c r="BI269" s="1207"/>
      <c r="BJ269" s="1207"/>
      <c r="BK269" s="1207"/>
      <c r="BL269" s="1207"/>
      <c r="BM269" s="1207"/>
      <c r="BN269" s="1207"/>
      <c r="BO269" s="1207"/>
      <c r="BP269" s="1207"/>
      <c r="BQ269" s="1207"/>
      <c r="BR269" s="1207"/>
      <c r="BS269" s="1207"/>
      <c r="BT269" s="1207"/>
      <c r="BU269" s="1207"/>
      <c r="BV269" s="1207"/>
      <c r="BW269" s="1207"/>
      <c r="BX269" s="1207"/>
      <c r="BY269" s="1207"/>
      <c r="BZ269" s="1207"/>
      <c r="CA269" s="1207"/>
      <c r="CB269" s="1207"/>
      <c r="CC269" s="1207"/>
      <c r="CD269" s="1207"/>
      <c r="CE269" s="1207"/>
      <c r="CF269" s="1207"/>
    </row>
    <row r="270" spans="1:84" ht="135" x14ac:dyDescent="0.25">
      <c r="A270" s="1355">
        <v>2022279</v>
      </c>
      <c r="B270" s="1172">
        <v>7658</v>
      </c>
      <c r="C270" s="1356" t="s">
        <v>679</v>
      </c>
      <c r="D270" s="1190" t="s">
        <v>689</v>
      </c>
      <c r="E270" s="1174">
        <v>80111600</v>
      </c>
      <c r="F270" s="1380" t="s">
        <v>940</v>
      </c>
      <c r="G270" s="1381">
        <v>44575</v>
      </c>
      <c r="H270" s="1381">
        <v>44575</v>
      </c>
      <c r="I270" s="1176">
        <v>11.5</v>
      </c>
      <c r="J270" s="1176" t="s">
        <v>673</v>
      </c>
      <c r="K270" s="1177" t="s">
        <v>674</v>
      </c>
      <c r="L270" s="1178" t="s">
        <v>675</v>
      </c>
      <c r="M270" s="1179">
        <v>28175000</v>
      </c>
      <c r="N270" s="1382" t="s">
        <v>931</v>
      </c>
      <c r="O270" s="1174" t="s">
        <v>915</v>
      </c>
      <c r="P270" s="1163" t="s">
        <v>678</v>
      </c>
      <c r="Q270" s="1163"/>
      <c r="R270" s="1269">
        <v>0</v>
      </c>
      <c r="S270" s="1357"/>
      <c r="T270" s="1357">
        <f>+Tabla16[[#This Row],[CDPS A 31 JULIO 2022]]-Tabla16[[#This Row],[CDP]]</f>
        <v>0</v>
      </c>
      <c r="U270" s="1357"/>
      <c r="V270" s="1357"/>
      <c r="W270" s="1357"/>
      <c r="X270" s="1207"/>
      <c r="Y270" s="1207"/>
      <c r="Z270" s="1207"/>
      <c r="AA270" s="1207"/>
      <c r="AB270" s="1207"/>
      <c r="AC270" s="1207"/>
      <c r="AD270" s="1207"/>
      <c r="AE270" s="1207"/>
      <c r="AF270" s="1207"/>
      <c r="AG270" s="1207"/>
      <c r="AH270" s="1207"/>
      <c r="AI270" s="1207"/>
      <c r="AJ270" s="1207"/>
      <c r="AK270" s="1207"/>
      <c r="AL270" s="1207"/>
      <c r="AM270" s="1207"/>
      <c r="AN270" s="1207"/>
      <c r="AO270" s="1207"/>
      <c r="AP270" s="1207"/>
      <c r="AQ270" s="1207"/>
      <c r="AR270" s="1207"/>
      <c r="AS270" s="1207"/>
      <c r="AT270" s="1207"/>
      <c r="AU270" s="1207"/>
      <c r="AV270" s="1207"/>
      <c r="AW270" s="1207"/>
      <c r="AX270" s="1207"/>
      <c r="AY270" s="1207"/>
      <c r="AZ270" s="1207"/>
      <c r="BA270" s="1207"/>
      <c r="BB270" s="1207"/>
      <c r="BC270" s="1207"/>
      <c r="BD270" s="1207"/>
      <c r="BE270" s="1207"/>
      <c r="BF270" s="1207"/>
      <c r="BG270" s="1207"/>
      <c r="BH270" s="1207"/>
      <c r="BI270" s="1207"/>
      <c r="BJ270" s="1207"/>
      <c r="BK270" s="1207"/>
      <c r="BL270" s="1207"/>
      <c r="BM270" s="1207"/>
      <c r="BN270" s="1207"/>
      <c r="BO270" s="1207"/>
      <c r="BP270" s="1207"/>
      <c r="BQ270" s="1207"/>
      <c r="BR270" s="1207"/>
      <c r="BS270" s="1207"/>
      <c r="BT270" s="1207"/>
      <c r="BU270" s="1207"/>
      <c r="BV270" s="1207"/>
      <c r="BW270" s="1207"/>
      <c r="BX270" s="1207"/>
      <c r="BY270" s="1207"/>
      <c r="BZ270" s="1207"/>
      <c r="CA270" s="1207"/>
      <c r="CB270" s="1207"/>
      <c r="CC270" s="1207"/>
      <c r="CD270" s="1207"/>
      <c r="CE270" s="1207"/>
      <c r="CF270" s="1207"/>
    </row>
    <row r="271" spans="1:84" ht="135" x14ac:dyDescent="0.25">
      <c r="A271" s="1355">
        <v>2022280</v>
      </c>
      <c r="B271" s="1172">
        <v>7658</v>
      </c>
      <c r="C271" s="1356" t="s">
        <v>679</v>
      </c>
      <c r="D271" s="1190" t="s">
        <v>689</v>
      </c>
      <c r="E271" s="1174">
        <v>80111600</v>
      </c>
      <c r="F271" s="1380" t="s">
        <v>940</v>
      </c>
      <c r="G271" s="1381">
        <v>44575</v>
      </c>
      <c r="H271" s="1381">
        <v>44575</v>
      </c>
      <c r="I271" s="1176">
        <v>11.5</v>
      </c>
      <c r="J271" s="1176" t="s">
        <v>673</v>
      </c>
      <c r="K271" s="1177" t="s">
        <v>674</v>
      </c>
      <c r="L271" s="1178" t="s">
        <v>675</v>
      </c>
      <c r="M271" s="1179">
        <v>28175000</v>
      </c>
      <c r="N271" s="1382" t="s">
        <v>931</v>
      </c>
      <c r="O271" s="1174" t="s">
        <v>915</v>
      </c>
      <c r="P271" s="1163" t="s">
        <v>678</v>
      </c>
      <c r="Q271" s="1163"/>
      <c r="R271" s="1357">
        <v>28175000</v>
      </c>
      <c r="S271" s="1357">
        <v>28175000</v>
      </c>
      <c r="T271" s="1357">
        <f>+Tabla16[[#This Row],[CDPS A 31 JULIO 2022]]-Tabla16[[#This Row],[CDP]]</f>
        <v>0</v>
      </c>
      <c r="U271" s="1357">
        <v>28175000</v>
      </c>
      <c r="V271" s="1357">
        <v>9718333</v>
      </c>
      <c r="W271" s="1357"/>
      <c r="X271" s="1207"/>
      <c r="Y271" s="1207"/>
      <c r="Z271" s="1207"/>
      <c r="AA271" s="1207"/>
      <c r="AB271" s="1207"/>
      <c r="AC271" s="1207"/>
      <c r="AD271" s="1207"/>
      <c r="AE271" s="1207"/>
      <c r="AF271" s="1207"/>
      <c r="AG271" s="1207"/>
      <c r="AH271" s="1207"/>
      <c r="AI271" s="1207"/>
      <c r="AJ271" s="1207"/>
      <c r="AK271" s="1207"/>
      <c r="AL271" s="1207"/>
      <c r="AM271" s="1207"/>
      <c r="AN271" s="1207"/>
      <c r="AO271" s="1207"/>
      <c r="AP271" s="1207"/>
      <c r="AQ271" s="1207"/>
      <c r="AR271" s="1207"/>
      <c r="AS271" s="1207"/>
      <c r="AT271" s="1207"/>
      <c r="AU271" s="1207"/>
      <c r="AV271" s="1207"/>
      <c r="AW271" s="1207"/>
      <c r="AX271" s="1207"/>
      <c r="AY271" s="1207"/>
      <c r="AZ271" s="1207"/>
      <c r="BA271" s="1207"/>
      <c r="BB271" s="1207"/>
      <c r="BC271" s="1207"/>
      <c r="BD271" s="1207"/>
      <c r="BE271" s="1207"/>
      <c r="BF271" s="1207"/>
      <c r="BG271" s="1207"/>
      <c r="BH271" s="1207"/>
      <c r="BI271" s="1207"/>
      <c r="BJ271" s="1207"/>
      <c r="BK271" s="1207"/>
      <c r="BL271" s="1207"/>
      <c r="BM271" s="1207"/>
      <c r="BN271" s="1207"/>
      <c r="BO271" s="1207"/>
      <c r="BP271" s="1207"/>
      <c r="BQ271" s="1207"/>
      <c r="BR271" s="1207"/>
      <c r="BS271" s="1207"/>
      <c r="BT271" s="1207"/>
      <c r="BU271" s="1207"/>
      <c r="BV271" s="1207"/>
      <c r="BW271" s="1207"/>
      <c r="BX271" s="1207"/>
      <c r="BY271" s="1207"/>
      <c r="BZ271" s="1207"/>
      <c r="CA271" s="1207"/>
      <c r="CB271" s="1207"/>
      <c r="CC271" s="1207"/>
      <c r="CD271" s="1207"/>
      <c r="CE271" s="1207"/>
      <c r="CF271" s="1207"/>
    </row>
    <row r="272" spans="1:84" ht="135" x14ac:dyDescent="0.25">
      <c r="A272" s="1355">
        <v>2022281</v>
      </c>
      <c r="B272" s="1172">
        <v>7658</v>
      </c>
      <c r="C272" s="1356" t="s">
        <v>679</v>
      </c>
      <c r="D272" s="1190" t="s">
        <v>689</v>
      </c>
      <c r="E272" s="1174">
        <v>80111600</v>
      </c>
      <c r="F272" s="1380" t="s">
        <v>940</v>
      </c>
      <c r="G272" s="1381">
        <v>44575</v>
      </c>
      <c r="H272" s="1381">
        <v>44575</v>
      </c>
      <c r="I272" s="1176">
        <v>11.5</v>
      </c>
      <c r="J272" s="1176" t="s">
        <v>673</v>
      </c>
      <c r="K272" s="1177" t="s">
        <v>674</v>
      </c>
      <c r="L272" s="1178" t="s">
        <v>675</v>
      </c>
      <c r="M272" s="1179">
        <v>28175000</v>
      </c>
      <c r="N272" s="1382" t="s">
        <v>931</v>
      </c>
      <c r="O272" s="1174" t="s">
        <v>915</v>
      </c>
      <c r="P272" s="1163" t="s">
        <v>678</v>
      </c>
      <c r="Q272" s="1163"/>
      <c r="R272" s="1357">
        <v>28175000</v>
      </c>
      <c r="S272" s="1357">
        <v>28175000</v>
      </c>
      <c r="T272" s="1357">
        <f>+Tabla16[[#This Row],[CDPS A 31 JULIO 2022]]-Tabla16[[#This Row],[CDP]]</f>
        <v>0</v>
      </c>
      <c r="U272" s="1357">
        <v>28175000</v>
      </c>
      <c r="V272" s="1357">
        <v>8983333</v>
      </c>
      <c r="W272" s="1357"/>
      <c r="X272" s="1207"/>
      <c r="Y272" s="1207"/>
      <c r="Z272" s="1207"/>
      <c r="AA272" s="1207"/>
      <c r="AB272" s="1207"/>
      <c r="AC272" s="1207"/>
      <c r="AD272" s="1207"/>
      <c r="AE272" s="1207"/>
      <c r="AF272" s="1207"/>
      <c r="AG272" s="1207"/>
      <c r="AH272" s="1207"/>
      <c r="AI272" s="1207"/>
      <c r="AJ272" s="1207"/>
      <c r="AK272" s="1207"/>
      <c r="AL272" s="1207"/>
      <c r="AM272" s="1207"/>
      <c r="AN272" s="1207"/>
      <c r="AO272" s="1207"/>
      <c r="AP272" s="1207"/>
      <c r="AQ272" s="1207"/>
      <c r="AR272" s="1207"/>
      <c r="AS272" s="1207"/>
      <c r="AT272" s="1207"/>
      <c r="AU272" s="1207"/>
      <c r="AV272" s="1207"/>
      <c r="AW272" s="1207"/>
      <c r="AX272" s="1207"/>
      <c r="AY272" s="1207"/>
      <c r="AZ272" s="1207"/>
      <c r="BA272" s="1207"/>
      <c r="BB272" s="1207"/>
      <c r="BC272" s="1207"/>
      <c r="BD272" s="1207"/>
      <c r="BE272" s="1207"/>
      <c r="BF272" s="1207"/>
      <c r="BG272" s="1207"/>
      <c r="BH272" s="1207"/>
      <c r="BI272" s="1207"/>
      <c r="BJ272" s="1207"/>
      <c r="BK272" s="1207"/>
      <c r="BL272" s="1207"/>
      <c r="BM272" s="1207"/>
      <c r="BN272" s="1207"/>
      <c r="BO272" s="1207"/>
      <c r="BP272" s="1207"/>
      <c r="BQ272" s="1207"/>
      <c r="BR272" s="1207"/>
      <c r="BS272" s="1207"/>
      <c r="BT272" s="1207"/>
      <c r="BU272" s="1207"/>
      <c r="BV272" s="1207"/>
      <c r="BW272" s="1207"/>
      <c r="BX272" s="1207"/>
      <c r="BY272" s="1207"/>
      <c r="BZ272" s="1207"/>
      <c r="CA272" s="1207"/>
      <c r="CB272" s="1207"/>
      <c r="CC272" s="1207"/>
      <c r="CD272" s="1207"/>
      <c r="CE272" s="1207"/>
      <c r="CF272" s="1207"/>
    </row>
    <row r="273" spans="1:84" ht="135" x14ac:dyDescent="0.25">
      <c r="A273" s="1355">
        <v>2022283</v>
      </c>
      <c r="B273" s="1172">
        <v>7658</v>
      </c>
      <c r="C273" s="1356" t="s">
        <v>679</v>
      </c>
      <c r="D273" s="1190" t="s">
        <v>689</v>
      </c>
      <c r="E273" s="1174">
        <v>80111600</v>
      </c>
      <c r="F273" s="1380" t="s">
        <v>941</v>
      </c>
      <c r="G273" s="1381">
        <v>44575</v>
      </c>
      <c r="H273" s="1381">
        <v>44575</v>
      </c>
      <c r="I273" s="1176">
        <v>11.5</v>
      </c>
      <c r="J273" s="1176" t="s">
        <v>673</v>
      </c>
      <c r="K273" s="1177" t="s">
        <v>674</v>
      </c>
      <c r="L273" s="1178" t="s">
        <v>675</v>
      </c>
      <c r="M273" s="1179">
        <v>47150000</v>
      </c>
      <c r="N273" s="1382" t="s">
        <v>931</v>
      </c>
      <c r="O273" s="1174" t="s">
        <v>915</v>
      </c>
      <c r="P273" s="1163" t="s">
        <v>678</v>
      </c>
      <c r="Q273" s="1163"/>
      <c r="R273" s="1357">
        <v>44275000</v>
      </c>
      <c r="S273" s="1357">
        <v>44275000</v>
      </c>
      <c r="T273" s="1357">
        <f>+Tabla16[[#This Row],[CDPS A 31 JULIO 2022]]-Tabla16[[#This Row],[CDP]]</f>
        <v>0</v>
      </c>
      <c r="U273" s="1357">
        <v>44275000</v>
      </c>
      <c r="V273" s="1357">
        <v>14501667</v>
      </c>
      <c r="W273" s="1357"/>
      <c r="X273" s="1207"/>
      <c r="Y273" s="1207"/>
      <c r="Z273" s="1207"/>
      <c r="AA273" s="1207"/>
      <c r="AB273" s="1207"/>
      <c r="AC273" s="1207"/>
      <c r="AD273" s="1207"/>
      <c r="AE273" s="1207"/>
      <c r="AF273" s="1207"/>
      <c r="AG273" s="1207"/>
      <c r="AH273" s="1207"/>
      <c r="AI273" s="1207"/>
      <c r="AJ273" s="1207"/>
      <c r="AK273" s="1207"/>
      <c r="AL273" s="1207"/>
      <c r="AM273" s="1207"/>
      <c r="AN273" s="1207"/>
      <c r="AO273" s="1207"/>
      <c r="AP273" s="1207"/>
      <c r="AQ273" s="1207"/>
      <c r="AR273" s="1207"/>
      <c r="AS273" s="1207"/>
      <c r="AT273" s="1207"/>
      <c r="AU273" s="1207"/>
      <c r="AV273" s="1207"/>
      <c r="AW273" s="1207"/>
      <c r="AX273" s="1207"/>
      <c r="AY273" s="1207"/>
      <c r="AZ273" s="1207"/>
      <c r="BA273" s="1207"/>
      <c r="BB273" s="1207"/>
      <c r="BC273" s="1207"/>
      <c r="BD273" s="1207"/>
      <c r="BE273" s="1207"/>
      <c r="BF273" s="1207"/>
      <c r="BG273" s="1207"/>
      <c r="BH273" s="1207"/>
      <c r="BI273" s="1207"/>
      <c r="BJ273" s="1207"/>
      <c r="BK273" s="1207"/>
      <c r="BL273" s="1207"/>
      <c r="BM273" s="1207"/>
      <c r="BN273" s="1207"/>
      <c r="BO273" s="1207"/>
      <c r="BP273" s="1207"/>
      <c r="BQ273" s="1207"/>
      <c r="BR273" s="1207"/>
      <c r="BS273" s="1207"/>
      <c r="BT273" s="1207"/>
      <c r="BU273" s="1207"/>
      <c r="BV273" s="1207"/>
      <c r="BW273" s="1207"/>
      <c r="BX273" s="1207"/>
      <c r="BY273" s="1207"/>
      <c r="BZ273" s="1207"/>
      <c r="CA273" s="1207"/>
      <c r="CB273" s="1207"/>
      <c r="CC273" s="1207"/>
      <c r="CD273" s="1207"/>
      <c r="CE273" s="1207"/>
      <c r="CF273" s="1207"/>
    </row>
    <row r="274" spans="1:84" ht="135" x14ac:dyDescent="0.25">
      <c r="A274" s="1358">
        <v>2022285</v>
      </c>
      <c r="B274" s="1172">
        <v>7658</v>
      </c>
      <c r="C274" s="1356" t="s">
        <v>679</v>
      </c>
      <c r="D274" s="1190" t="s">
        <v>689</v>
      </c>
      <c r="E274" s="1174" t="s">
        <v>942</v>
      </c>
      <c r="F274" s="1380" t="s">
        <v>943</v>
      </c>
      <c r="G274" s="1381">
        <v>44774</v>
      </c>
      <c r="H274" s="1381">
        <v>44774</v>
      </c>
      <c r="I274" s="1176">
        <v>5</v>
      </c>
      <c r="J274" s="1176" t="s">
        <v>687</v>
      </c>
      <c r="K274" s="1177" t="s">
        <v>674</v>
      </c>
      <c r="L274" s="1178" t="s">
        <v>944</v>
      </c>
      <c r="M274" s="1179">
        <f>100000000-80000000</f>
        <v>20000000</v>
      </c>
      <c r="N274" s="1382" t="s">
        <v>931</v>
      </c>
      <c r="O274" s="1174" t="s">
        <v>915</v>
      </c>
      <c r="P274" s="1163" t="s">
        <v>748</v>
      </c>
      <c r="Q274" s="1163" t="s">
        <v>945</v>
      </c>
      <c r="R274" s="1357">
        <v>20000000</v>
      </c>
      <c r="S274" s="1357">
        <v>20000000</v>
      </c>
      <c r="T274" s="1357">
        <f>+Tabla16[[#This Row],[CDPS A 31 JULIO 2022]]-Tabla16[[#This Row],[CDP]]</f>
        <v>0</v>
      </c>
      <c r="U274" s="1357"/>
      <c r="V274" s="1357"/>
      <c r="W274" s="1357"/>
      <c r="X274" s="1207"/>
      <c r="Y274" s="1207"/>
      <c r="Z274" s="1207"/>
      <c r="AA274" s="1207"/>
      <c r="AB274" s="1207"/>
      <c r="AC274" s="1207"/>
      <c r="AD274" s="1207"/>
      <c r="AE274" s="1207"/>
      <c r="AF274" s="1207"/>
      <c r="AG274" s="1207"/>
      <c r="AH274" s="1207"/>
      <c r="AI274" s="1207"/>
      <c r="AJ274" s="1207"/>
      <c r="AK274" s="1207"/>
      <c r="AL274" s="1207"/>
      <c r="AM274" s="1207"/>
      <c r="AN274" s="1207"/>
      <c r="AO274" s="1207"/>
      <c r="AP274" s="1207"/>
      <c r="AQ274" s="1207"/>
      <c r="AR274" s="1207"/>
      <c r="AS274" s="1207"/>
      <c r="AT274" s="1207"/>
      <c r="AU274" s="1207"/>
      <c r="AV274" s="1207"/>
      <c r="AW274" s="1207"/>
      <c r="AX274" s="1207"/>
      <c r="AY274" s="1207"/>
      <c r="AZ274" s="1207"/>
      <c r="BA274" s="1207"/>
      <c r="BB274" s="1207"/>
      <c r="BC274" s="1207"/>
      <c r="BD274" s="1207"/>
      <c r="BE274" s="1207"/>
      <c r="BF274" s="1207"/>
      <c r="BG274" s="1207"/>
      <c r="BH274" s="1207"/>
      <c r="BI274" s="1207"/>
      <c r="BJ274" s="1207"/>
      <c r="BK274" s="1207"/>
      <c r="BL274" s="1207"/>
      <c r="BM274" s="1207"/>
      <c r="BN274" s="1207"/>
      <c r="BO274" s="1207"/>
      <c r="BP274" s="1207"/>
      <c r="BQ274" s="1207"/>
      <c r="BR274" s="1207"/>
      <c r="BS274" s="1207"/>
      <c r="BT274" s="1207"/>
      <c r="BU274" s="1207"/>
      <c r="BV274" s="1207"/>
      <c r="BW274" s="1207"/>
      <c r="BX274" s="1207"/>
      <c r="BY274" s="1207"/>
      <c r="BZ274" s="1207"/>
      <c r="CA274" s="1207"/>
      <c r="CB274" s="1207"/>
      <c r="CC274" s="1207"/>
      <c r="CD274" s="1207"/>
      <c r="CE274" s="1207"/>
      <c r="CF274" s="1207"/>
    </row>
    <row r="275" spans="1:84" ht="135" x14ac:dyDescent="0.25">
      <c r="A275" s="1358">
        <v>2022286</v>
      </c>
      <c r="B275" s="1172">
        <v>7658</v>
      </c>
      <c r="C275" s="1356" t="s">
        <v>679</v>
      </c>
      <c r="D275" s="1190" t="s">
        <v>689</v>
      </c>
      <c r="E275" s="1174" t="s">
        <v>946</v>
      </c>
      <c r="F275" s="1380" t="s">
        <v>947</v>
      </c>
      <c r="G275" s="1381">
        <v>44774</v>
      </c>
      <c r="H275" s="1381">
        <v>44774</v>
      </c>
      <c r="I275" s="1176">
        <v>7</v>
      </c>
      <c r="J275" s="1176" t="s">
        <v>687</v>
      </c>
      <c r="K275" s="1177" t="s">
        <v>674</v>
      </c>
      <c r="L275" s="1178" t="s">
        <v>948</v>
      </c>
      <c r="M275" s="1179">
        <f>150000000-50000000</f>
        <v>100000000</v>
      </c>
      <c r="N275" s="1382" t="s">
        <v>931</v>
      </c>
      <c r="O275" s="1174" t="s">
        <v>915</v>
      </c>
      <c r="P275" s="1163" t="s">
        <v>678</v>
      </c>
      <c r="Q275" s="1163"/>
      <c r="R275" s="1357">
        <v>100000000</v>
      </c>
      <c r="S275" s="1357">
        <v>100000000</v>
      </c>
      <c r="T275" s="1357">
        <f>+Tabla16[[#This Row],[CDPS A 31 JULIO 2022]]-Tabla16[[#This Row],[CDP]]</f>
        <v>0</v>
      </c>
      <c r="U275" s="1357"/>
      <c r="V275" s="1357"/>
      <c r="W275" s="1357"/>
      <c r="X275" s="1207"/>
      <c r="Y275" s="1207"/>
      <c r="Z275" s="1207"/>
      <c r="AA275" s="1207"/>
      <c r="AB275" s="1207"/>
      <c r="AC275" s="1207"/>
      <c r="AD275" s="1207"/>
      <c r="AE275" s="1207"/>
      <c r="AF275" s="1207"/>
      <c r="AG275" s="1207"/>
      <c r="AH275" s="1207"/>
      <c r="AI275" s="1207"/>
      <c r="AJ275" s="1207"/>
      <c r="AK275" s="1207"/>
      <c r="AL275" s="1207"/>
      <c r="AM275" s="1207"/>
      <c r="AN275" s="1207"/>
      <c r="AO275" s="1207"/>
      <c r="AP275" s="1207"/>
      <c r="AQ275" s="1207"/>
      <c r="AR275" s="1207"/>
      <c r="AS275" s="1207"/>
      <c r="AT275" s="1207"/>
      <c r="AU275" s="1207"/>
      <c r="AV275" s="1207"/>
      <c r="AW275" s="1207"/>
      <c r="AX275" s="1207"/>
      <c r="AY275" s="1207"/>
      <c r="AZ275" s="1207"/>
      <c r="BA275" s="1207"/>
      <c r="BB275" s="1207"/>
      <c r="BC275" s="1207"/>
      <c r="BD275" s="1207"/>
      <c r="BE275" s="1207"/>
      <c r="BF275" s="1207"/>
      <c r="BG275" s="1207"/>
      <c r="BH275" s="1207"/>
      <c r="BI275" s="1207"/>
      <c r="BJ275" s="1207"/>
      <c r="BK275" s="1207"/>
      <c r="BL275" s="1207"/>
      <c r="BM275" s="1207"/>
      <c r="BN275" s="1207"/>
      <c r="BO275" s="1207"/>
      <c r="BP275" s="1207"/>
      <c r="BQ275" s="1207"/>
      <c r="BR275" s="1207"/>
      <c r="BS275" s="1207"/>
      <c r="BT275" s="1207"/>
      <c r="BU275" s="1207"/>
      <c r="BV275" s="1207"/>
      <c r="BW275" s="1207"/>
      <c r="BX275" s="1207"/>
      <c r="BY275" s="1207"/>
      <c r="BZ275" s="1207"/>
      <c r="CA275" s="1207"/>
      <c r="CB275" s="1207"/>
      <c r="CC275" s="1207"/>
      <c r="CD275" s="1207"/>
      <c r="CE275" s="1207"/>
      <c r="CF275" s="1207"/>
    </row>
    <row r="276" spans="1:84" ht="135" x14ac:dyDescent="0.25">
      <c r="A276" s="1355">
        <v>2022287</v>
      </c>
      <c r="B276" s="1172">
        <v>7658</v>
      </c>
      <c r="C276" s="1356" t="s">
        <v>679</v>
      </c>
      <c r="D276" s="1190" t="s">
        <v>689</v>
      </c>
      <c r="E276" s="1174" t="s">
        <v>949</v>
      </c>
      <c r="F276" s="1380" t="s">
        <v>950</v>
      </c>
      <c r="G276" s="1381">
        <v>44788</v>
      </c>
      <c r="H276" s="1381">
        <v>44768</v>
      </c>
      <c r="I276" s="1176">
        <v>6</v>
      </c>
      <c r="J276" s="1176" t="s">
        <v>699</v>
      </c>
      <c r="K276" s="1177" t="s">
        <v>674</v>
      </c>
      <c r="L276" s="1178" t="s">
        <v>948</v>
      </c>
      <c r="M276" s="1179">
        <f>100000000-60000000</f>
        <v>40000000</v>
      </c>
      <c r="N276" s="1382" t="s">
        <v>931</v>
      </c>
      <c r="O276" s="1174" t="s">
        <v>915</v>
      </c>
      <c r="P276" s="1163" t="s">
        <v>678</v>
      </c>
      <c r="Q276" s="1163"/>
      <c r="R276" s="1269">
        <v>0</v>
      </c>
      <c r="S276" s="1357"/>
      <c r="T276" s="1357">
        <f>+Tabla16[[#This Row],[CDPS A 31 JULIO 2022]]-Tabla16[[#This Row],[CDP]]</f>
        <v>0</v>
      </c>
      <c r="U276" s="1357"/>
      <c r="V276" s="1357"/>
      <c r="W276" s="1357"/>
      <c r="X276" s="1207"/>
      <c r="Y276" s="1207"/>
      <c r="Z276" s="1207"/>
      <c r="AA276" s="1207"/>
      <c r="AB276" s="1207"/>
      <c r="AC276" s="1207"/>
      <c r="AD276" s="1207"/>
      <c r="AE276" s="1207"/>
      <c r="AF276" s="1207"/>
      <c r="AG276" s="1207"/>
      <c r="AH276" s="1207"/>
      <c r="AI276" s="1207"/>
      <c r="AJ276" s="1207"/>
      <c r="AK276" s="1207"/>
      <c r="AL276" s="1207"/>
      <c r="AM276" s="1207"/>
      <c r="AN276" s="1207"/>
      <c r="AO276" s="1207"/>
      <c r="AP276" s="1207"/>
      <c r="AQ276" s="1207"/>
      <c r="AR276" s="1207"/>
      <c r="AS276" s="1207"/>
      <c r="AT276" s="1207"/>
      <c r="AU276" s="1207"/>
      <c r="AV276" s="1207"/>
      <c r="AW276" s="1207"/>
      <c r="AX276" s="1207"/>
      <c r="AY276" s="1207"/>
      <c r="AZ276" s="1207"/>
      <c r="BA276" s="1207"/>
      <c r="BB276" s="1207"/>
      <c r="BC276" s="1207"/>
      <c r="BD276" s="1207"/>
      <c r="BE276" s="1207"/>
      <c r="BF276" s="1207"/>
      <c r="BG276" s="1207"/>
      <c r="BH276" s="1207"/>
      <c r="BI276" s="1207"/>
      <c r="BJ276" s="1207"/>
      <c r="BK276" s="1207"/>
      <c r="BL276" s="1207"/>
      <c r="BM276" s="1207"/>
      <c r="BN276" s="1207"/>
      <c r="BO276" s="1207"/>
      <c r="BP276" s="1207"/>
      <c r="BQ276" s="1207"/>
      <c r="BR276" s="1207"/>
      <c r="BS276" s="1207"/>
      <c r="BT276" s="1207"/>
      <c r="BU276" s="1207"/>
      <c r="BV276" s="1207"/>
      <c r="BW276" s="1207"/>
      <c r="BX276" s="1207"/>
      <c r="BY276" s="1207"/>
      <c r="BZ276" s="1207"/>
      <c r="CA276" s="1207"/>
      <c r="CB276" s="1207"/>
      <c r="CC276" s="1207"/>
      <c r="CD276" s="1207"/>
      <c r="CE276" s="1207"/>
      <c r="CF276" s="1207"/>
    </row>
    <row r="277" spans="1:84" ht="135" x14ac:dyDescent="0.25">
      <c r="A277" s="1358">
        <v>2022290</v>
      </c>
      <c r="B277" s="1172">
        <v>7658</v>
      </c>
      <c r="C277" s="1356" t="s">
        <v>679</v>
      </c>
      <c r="D277" s="1190" t="s">
        <v>689</v>
      </c>
      <c r="E277" s="1174" t="s">
        <v>951</v>
      </c>
      <c r="F277" s="1380" t="s">
        <v>952</v>
      </c>
      <c r="G277" s="1381">
        <v>44593</v>
      </c>
      <c r="H277" s="1381">
        <v>44593</v>
      </c>
      <c r="I277" s="1176">
        <v>9</v>
      </c>
      <c r="J277" s="1176" t="s">
        <v>687</v>
      </c>
      <c r="K277" s="1177" t="s">
        <v>674</v>
      </c>
      <c r="L277" s="1178" t="s">
        <v>948</v>
      </c>
      <c r="M277" s="1179">
        <v>20000000</v>
      </c>
      <c r="N277" s="1382" t="s">
        <v>931</v>
      </c>
      <c r="O277" s="1174" t="s">
        <v>915</v>
      </c>
      <c r="P277" s="1163" t="s">
        <v>678</v>
      </c>
      <c r="Q277" s="1163"/>
      <c r="R277" s="1357">
        <v>20000000</v>
      </c>
      <c r="S277" s="1357">
        <v>20000000</v>
      </c>
      <c r="T277" s="1357">
        <f>+Tabla16[[#This Row],[CDPS A 31 JULIO 2022]]-Tabla16[[#This Row],[CDP]]</f>
        <v>0</v>
      </c>
      <c r="U277" s="1357"/>
      <c r="V277" s="1357"/>
      <c r="W277" s="1357"/>
      <c r="X277" s="1207"/>
      <c r="Y277" s="1207"/>
      <c r="Z277" s="1207"/>
      <c r="AA277" s="1207"/>
      <c r="AB277" s="1207"/>
      <c r="AC277" s="1207"/>
      <c r="AD277" s="1207"/>
      <c r="AE277" s="1207"/>
      <c r="AF277" s="1207"/>
      <c r="AG277" s="1207"/>
      <c r="AH277" s="1207"/>
      <c r="AI277" s="1207"/>
      <c r="AJ277" s="1207"/>
      <c r="AK277" s="1207"/>
      <c r="AL277" s="1207"/>
      <c r="AM277" s="1207"/>
      <c r="AN277" s="1207"/>
      <c r="AO277" s="1207"/>
      <c r="AP277" s="1207"/>
      <c r="AQ277" s="1207"/>
      <c r="AR277" s="1207"/>
      <c r="AS277" s="1207"/>
      <c r="AT277" s="1207"/>
      <c r="AU277" s="1207"/>
      <c r="AV277" s="1207"/>
      <c r="AW277" s="1207"/>
      <c r="AX277" s="1207"/>
      <c r="AY277" s="1207"/>
      <c r="AZ277" s="1207"/>
      <c r="BA277" s="1207"/>
      <c r="BB277" s="1207"/>
      <c r="BC277" s="1207"/>
      <c r="BD277" s="1207"/>
      <c r="BE277" s="1207"/>
      <c r="BF277" s="1207"/>
      <c r="BG277" s="1207"/>
      <c r="BH277" s="1207"/>
      <c r="BI277" s="1207"/>
      <c r="BJ277" s="1207"/>
      <c r="BK277" s="1207"/>
      <c r="BL277" s="1207"/>
      <c r="BM277" s="1207"/>
      <c r="BN277" s="1207"/>
      <c r="BO277" s="1207"/>
      <c r="BP277" s="1207"/>
      <c r="BQ277" s="1207"/>
      <c r="BR277" s="1207"/>
      <c r="BS277" s="1207"/>
      <c r="BT277" s="1207"/>
      <c r="BU277" s="1207"/>
      <c r="BV277" s="1207"/>
      <c r="BW277" s="1207"/>
      <c r="BX277" s="1207"/>
      <c r="BY277" s="1207"/>
      <c r="BZ277" s="1207"/>
      <c r="CA277" s="1207"/>
      <c r="CB277" s="1207"/>
      <c r="CC277" s="1207"/>
      <c r="CD277" s="1207"/>
      <c r="CE277" s="1207"/>
      <c r="CF277" s="1207"/>
    </row>
    <row r="278" spans="1:84" ht="60" x14ac:dyDescent="0.25">
      <c r="A278" s="1358">
        <v>2022291</v>
      </c>
      <c r="B278" s="1172">
        <v>7658</v>
      </c>
      <c r="C278" s="1356" t="s">
        <v>679</v>
      </c>
      <c r="D278" s="1190" t="s">
        <v>689</v>
      </c>
      <c r="E278" s="1174" t="s">
        <v>953</v>
      </c>
      <c r="F278" s="1380" t="s">
        <v>954</v>
      </c>
      <c r="G278" s="1381">
        <v>44593</v>
      </c>
      <c r="H278" s="1381">
        <v>44593</v>
      </c>
      <c r="I278" s="1176">
        <v>10</v>
      </c>
      <c r="J278" s="1176" t="s">
        <v>680</v>
      </c>
      <c r="K278" s="1177" t="s">
        <v>770</v>
      </c>
      <c r="L278" s="1178" t="s">
        <v>955</v>
      </c>
      <c r="M278" s="1179">
        <f>900000000-450000000</f>
        <v>450000000</v>
      </c>
      <c r="N278" s="1382" t="s">
        <v>782</v>
      </c>
      <c r="O278" s="1174" t="s">
        <v>767</v>
      </c>
      <c r="P278" s="1163" t="s">
        <v>678</v>
      </c>
      <c r="Q278" s="1163"/>
      <c r="R278" s="1357">
        <v>450000000</v>
      </c>
      <c r="S278" s="1357">
        <v>450000000</v>
      </c>
      <c r="T278" s="1357">
        <f>+Tabla16[[#This Row],[CDPS A 31 JULIO 2022]]-Tabla16[[#This Row],[CDP]]</f>
        <v>0</v>
      </c>
      <c r="U278" s="1357"/>
      <c r="V278" s="1357"/>
      <c r="W278" s="1357"/>
      <c r="X278" s="1207"/>
      <c r="Y278" s="1207"/>
      <c r="Z278" s="1207"/>
      <c r="AA278" s="1207"/>
      <c r="AB278" s="1207"/>
      <c r="AC278" s="1207"/>
      <c r="AD278" s="1207"/>
      <c r="AE278" s="1207"/>
      <c r="AF278" s="1207"/>
      <c r="AG278" s="1207"/>
      <c r="AH278" s="1207"/>
      <c r="AI278" s="1207"/>
      <c r="AJ278" s="1207"/>
      <c r="AK278" s="1207"/>
      <c r="AL278" s="1207"/>
      <c r="AM278" s="1207"/>
      <c r="AN278" s="1207"/>
      <c r="AO278" s="1207"/>
      <c r="AP278" s="1207"/>
      <c r="AQ278" s="1207"/>
      <c r="AR278" s="1207"/>
      <c r="AS278" s="1207"/>
      <c r="AT278" s="1207"/>
      <c r="AU278" s="1207"/>
      <c r="AV278" s="1207"/>
      <c r="AW278" s="1207"/>
      <c r="AX278" s="1207"/>
      <c r="AY278" s="1207"/>
      <c r="AZ278" s="1207"/>
      <c r="BA278" s="1207"/>
      <c r="BB278" s="1207"/>
      <c r="BC278" s="1207"/>
      <c r="BD278" s="1207"/>
      <c r="BE278" s="1207"/>
      <c r="BF278" s="1207"/>
      <c r="BG278" s="1207"/>
      <c r="BH278" s="1207"/>
      <c r="BI278" s="1207"/>
      <c r="BJ278" s="1207"/>
      <c r="BK278" s="1207"/>
      <c r="BL278" s="1207"/>
      <c r="BM278" s="1207"/>
      <c r="BN278" s="1207"/>
      <c r="BO278" s="1207"/>
      <c r="BP278" s="1207"/>
      <c r="BQ278" s="1207"/>
      <c r="BR278" s="1207"/>
      <c r="BS278" s="1207"/>
      <c r="BT278" s="1207"/>
      <c r="BU278" s="1207"/>
      <c r="BV278" s="1207"/>
      <c r="BW278" s="1207"/>
      <c r="BX278" s="1207"/>
      <c r="BY278" s="1207"/>
      <c r="BZ278" s="1207"/>
      <c r="CA278" s="1207"/>
      <c r="CB278" s="1207"/>
      <c r="CC278" s="1207"/>
      <c r="CD278" s="1207"/>
      <c r="CE278" s="1207"/>
      <c r="CF278" s="1207"/>
    </row>
    <row r="279" spans="1:84" ht="60" x14ac:dyDescent="0.25">
      <c r="A279" s="1358">
        <v>2022292</v>
      </c>
      <c r="B279" s="1172">
        <v>7658</v>
      </c>
      <c r="C279" s="1356" t="s">
        <v>679</v>
      </c>
      <c r="D279" s="1190" t="s">
        <v>689</v>
      </c>
      <c r="E279" s="1174" t="s">
        <v>956</v>
      </c>
      <c r="F279" s="1380" t="s">
        <v>957</v>
      </c>
      <c r="G279" s="1381">
        <v>44593</v>
      </c>
      <c r="H279" s="1381">
        <v>44593</v>
      </c>
      <c r="I279" s="1176">
        <v>11</v>
      </c>
      <c r="J279" s="1176" t="s">
        <v>680</v>
      </c>
      <c r="K279" s="1177" t="s">
        <v>770</v>
      </c>
      <c r="L279" s="1178" t="s">
        <v>955</v>
      </c>
      <c r="M279" s="1179">
        <f>180000000-71000000-19000000</f>
        <v>90000000</v>
      </c>
      <c r="N279" s="1382" t="s">
        <v>782</v>
      </c>
      <c r="O279" s="1174" t="s">
        <v>767</v>
      </c>
      <c r="P279" s="1163" t="s">
        <v>678</v>
      </c>
      <c r="Q279" s="1163"/>
      <c r="R279" s="1357">
        <v>90000000</v>
      </c>
      <c r="S279" s="1357"/>
      <c r="T279" s="1357">
        <f>+Tabla16[[#This Row],[CDPS A 31 JULIO 2022]]-Tabla16[[#This Row],[CDP]]</f>
        <v>90000000</v>
      </c>
      <c r="U279" s="1357"/>
      <c r="V279" s="1357"/>
      <c r="W279" s="1357"/>
      <c r="X279" s="1207"/>
      <c r="Y279" s="1207"/>
      <c r="Z279" s="1207"/>
      <c r="AA279" s="1207"/>
      <c r="AB279" s="1207"/>
      <c r="AC279" s="1207"/>
      <c r="AD279" s="1207"/>
      <c r="AE279" s="1207"/>
      <c r="AF279" s="1207"/>
      <c r="AG279" s="1207"/>
      <c r="AH279" s="1207"/>
      <c r="AI279" s="1207"/>
      <c r="AJ279" s="1207"/>
      <c r="AK279" s="1207"/>
      <c r="AL279" s="1207"/>
      <c r="AM279" s="1207"/>
      <c r="AN279" s="1207"/>
      <c r="AO279" s="1207"/>
      <c r="AP279" s="1207"/>
      <c r="AQ279" s="1207"/>
      <c r="AR279" s="1207"/>
      <c r="AS279" s="1207"/>
      <c r="AT279" s="1207"/>
      <c r="AU279" s="1207"/>
      <c r="AV279" s="1207"/>
      <c r="AW279" s="1207"/>
      <c r="AX279" s="1207"/>
      <c r="AY279" s="1207"/>
      <c r="AZ279" s="1207"/>
      <c r="BA279" s="1207"/>
      <c r="BB279" s="1207"/>
      <c r="BC279" s="1207"/>
      <c r="BD279" s="1207"/>
      <c r="BE279" s="1207"/>
      <c r="BF279" s="1207"/>
      <c r="BG279" s="1207"/>
      <c r="BH279" s="1207"/>
      <c r="BI279" s="1207"/>
      <c r="BJ279" s="1207"/>
      <c r="BK279" s="1207"/>
      <c r="BL279" s="1207"/>
      <c r="BM279" s="1207"/>
      <c r="BN279" s="1207"/>
      <c r="BO279" s="1207"/>
      <c r="BP279" s="1207"/>
      <c r="BQ279" s="1207"/>
      <c r="BR279" s="1207"/>
      <c r="BS279" s="1207"/>
      <c r="BT279" s="1207"/>
      <c r="BU279" s="1207"/>
      <c r="BV279" s="1207"/>
      <c r="BW279" s="1207"/>
      <c r="BX279" s="1207"/>
      <c r="BY279" s="1207"/>
      <c r="BZ279" s="1207"/>
      <c r="CA279" s="1207"/>
      <c r="CB279" s="1207"/>
      <c r="CC279" s="1207"/>
      <c r="CD279" s="1207"/>
      <c r="CE279" s="1207"/>
      <c r="CF279" s="1207"/>
    </row>
    <row r="280" spans="1:84" ht="135" x14ac:dyDescent="0.25">
      <c r="A280" s="1358">
        <v>2022295</v>
      </c>
      <c r="B280" s="1172">
        <v>7658</v>
      </c>
      <c r="C280" s="1356" t="s">
        <v>679</v>
      </c>
      <c r="D280" s="1190" t="s">
        <v>689</v>
      </c>
      <c r="E280" s="1174" t="s">
        <v>958</v>
      </c>
      <c r="F280" s="1380" t="s">
        <v>959</v>
      </c>
      <c r="G280" s="1381">
        <v>44593</v>
      </c>
      <c r="H280" s="1381">
        <v>44593</v>
      </c>
      <c r="I280" s="1176">
        <v>6</v>
      </c>
      <c r="J280" s="1176" t="s">
        <v>687</v>
      </c>
      <c r="K280" s="1177" t="s">
        <v>674</v>
      </c>
      <c r="L280" s="1178" t="s">
        <v>948</v>
      </c>
      <c r="M280" s="1179">
        <f>70000000+60000000+60000000-24453598-35546402</f>
        <v>130000000</v>
      </c>
      <c r="N280" s="1382" t="s">
        <v>931</v>
      </c>
      <c r="O280" s="1174" t="s">
        <v>915</v>
      </c>
      <c r="P280" s="1163" t="s">
        <v>678</v>
      </c>
      <c r="Q280" s="1163"/>
      <c r="R280" s="1357">
        <v>130000000</v>
      </c>
      <c r="S280" s="1357">
        <v>130000000</v>
      </c>
      <c r="T280" s="1357">
        <f>+Tabla16[[#This Row],[CDPS A 31 JULIO 2022]]-Tabla16[[#This Row],[CDP]]</f>
        <v>0</v>
      </c>
      <c r="U280" s="1357"/>
      <c r="V280" s="1357"/>
      <c r="W280" s="1357"/>
      <c r="X280" s="1207"/>
      <c r="Y280" s="1207"/>
      <c r="Z280" s="1207"/>
      <c r="AA280" s="1207"/>
      <c r="AB280" s="1207"/>
      <c r="AC280" s="1207"/>
      <c r="AD280" s="1207"/>
      <c r="AE280" s="1207"/>
      <c r="AF280" s="1207"/>
      <c r="AG280" s="1207"/>
      <c r="AH280" s="1207"/>
      <c r="AI280" s="1207"/>
      <c r="AJ280" s="1207"/>
      <c r="AK280" s="1207"/>
      <c r="AL280" s="1207"/>
      <c r="AM280" s="1207"/>
      <c r="AN280" s="1207"/>
      <c r="AO280" s="1207"/>
      <c r="AP280" s="1207"/>
      <c r="AQ280" s="1207"/>
      <c r="AR280" s="1207"/>
      <c r="AS280" s="1207"/>
      <c r="AT280" s="1207"/>
      <c r="AU280" s="1207"/>
      <c r="AV280" s="1207"/>
      <c r="AW280" s="1207"/>
      <c r="AX280" s="1207"/>
      <c r="AY280" s="1207"/>
      <c r="AZ280" s="1207"/>
      <c r="BA280" s="1207"/>
      <c r="BB280" s="1207"/>
      <c r="BC280" s="1207"/>
      <c r="BD280" s="1207"/>
      <c r="BE280" s="1207"/>
      <c r="BF280" s="1207"/>
      <c r="BG280" s="1207"/>
      <c r="BH280" s="1207"/>
      <c r="BI280" s="1207"/>
      <c r="BJ280" s="1207"/>
      <c r="BK280" s="1207"/>
      <c r="BL280" s="1207"/>
      <c r="BM280" s="1207"/>
      <c r="BN280" s="1207"/>
      <c r="BO280" s="1207"/>
      <c r="BP280" s="1207"/>
      <c r="BQ280" s="1207"/>
      <c r="BR280" s="1207"/>
      <c r="BS280" s="1207"/>
      <c r="BT280" s="1207"/>
      <c r="BU280" s="1207"/>
      <c r="BV280" s="1207"/>
      <c r="BW280" s="1207"/>
      <c r="BX280" s="1207"/>
      <c r="BY280" s="1207"/>
      <c r="BZ280" s="1207"/>
      <c r="CA280" s="1207"/>
      <c r="CB280" s="1207"/>
      <c r="CC280" s="1207"/>
      <c r="CD280" s="1207"/>
      <c r="CE280" s="1207"/>
      <c r="CF280" s="1207"/>
    </row>
    <row r="281" spans="1:84" ht="135" x14ac:dyDescent="0.25">
      <c r="A281" s="1355">
        <v>2022297</v>
      </c>
      <c r="B281" s="1172">
        <v>7658</v>
      </c>
      <c r="C281" s="1356" t="s">
        <v>679</v>
      </c>
      <c r="D281" s="1190" t="s">
        <v>689</v>
      </c>
      <c r="E281" s="1174" t="s">
        <v>960</v>
      </c>
      <c r="F281" s="1380" t="s">
        <v>961</v>
      </c>
      <c r="G281" s="1381">
        <v>44593</v>
      </c>
      <c r="H281" s="1381">
        <v>44593</v>
      </c>
      <c r="I281" s="1176">
        <v>5</v>
      </c>
      <c r="J281" s="1176" t="s">
        <v>645</v>
      </c>
      <c r="K281" s="1177" t="s">
        <v>674</v>
      </c>
      <c r="L281" s="1178" t="s">
        <v>955</v>
      </c>
      <c r="M281" s="1179">
        <f>1119870000-514000000-50011677-370857468-105559750+24453598+100000000+18500000+200000000+50011677+370857468+123844882+40150000+52400000+35700000+32850000+11791270</f>
        <v>1140000000</v>
      </c>
      <c r="N281" s="1382" t="s">
        <v>931</v>
      </c>
      <c r="O281" s="1174" t="s">
        <v>915</v>
      </c>
      <c r="P281" s="1163" t="s">
        <v>678</v>
      </c>
      <c r="Q281" s="1163"/>
      <c r="R281" s="1269">
        <v>0</v>
      </c>
      <c r="S281" s="1357"/>
      <c r="T281" s="1357">
        <f>+Tabla16[[#This Row],[CDPS A 31 JULIO 2022]]-Tabla16[[#This Row],[CDP]]</f>
        <v>0</v>
      </c>
      <c r="U281" s="1357"/>
      <c r="V281" s="1357"/>
      <c r="W281" s="1357"/>
      <c r="X281" s="1207"/>
      <c r="Y281" s="1207"/>
      <c r="Z281" s="1207"/>
      <c r="AA281" s="1207"/>
      <c r="AB281" s="1207"/>
      <c r="AC281" s="1207"/>
      <c r="AD281" s="1207"/>
      <c r="AE281" s="1207"/>
      <c r="AF281" s="1207"/>
      <c r="AG281" s="1207"/>
      <c r="AH281" s="1207"/>
      <c r="AI281" s="1207"/>
      <c r="AJ281" s="1207"/>
      <c r="AK281" s="1207"/>
      <c r="AL281" s="1207"/>
      <c r="AM281" s="1207"/>
      <c r="AN281" s="1207"/>
      <c r="AO281" s="1207"/>
      <c r="AP281" s="1207"/>
      <c r="AQ281" s="1207"/>
      <c r="AR281" s="1207"/>
      <c r="AS281" s="1207"/>
      <c r="AT281" s="1207"/>
      <c r="AU281" s="1207"/>
      <c r="AV281" s="1207"/>
      <c r="AW281" s="1207"/>
      <c r="AX281" s="1207"/>
      <c r="AY281" s="1207"/>
      <c r="AZ281" s="1207"/>
      <c r="BA281" s="1207"/>
      <c r="BB281" s="1207"/>
      <c r="BC281" s="1207"/>
      <c r="BD281" s="1207"/>
      <c r="BE281" s="1207"/>
      <c r="BF281" s="1207"/>
      <c r="BG281" s="1207"/>
      <c r="BH281" s="1207"/>
      <c r="BI281" s="1207"/>
      <c r="BJ281" s="1207"/>
      <c r="BK281" s="1207"/>
      <c r="BL281" s="1207"/>
      <c r="BM281" s="1207"/>
      <c r="BN281" s="1207"/>
      <c r="BO281" s="1207"/>
      <c r="BP281" s="1207"/>
      <c r="BQ281" s="1207"/>
      <c r="BR281" s="1207"/>
      <c r="BS281" s="1207"/>
      <c r="BT281" s="1207"/>
      <c r="BU281" s="1207"/>
      <c r="BV281" s="1207"/>
      <c r="BW281" s="1207"/>
      <c r="BX281" s="1207"/>
      <c r="BY281" s="1207"/>
      <c r="BZ281" s="1207"/>
      <c r="CA281" s="1207"/>
      <c r="CB281" s="1207"/>
      <c r="CC281" s="1207"/>
      <c r="CD281" s="1207"/>
      <c r="CE281" s="1207"/>
      <c r="CF281" s="1207"/>
    </row>
    <row r="282" spans="1:84" ht="135" x14ac:dyDescent="0.25">
      <c r="A282" s="1358">
        <v>2022298</v>
      </c>
      <c r="B282" s="1172">
        <v>7658</v>
      </c>
      <c r="C282" s="1356" t="s">
        <v>679</v>
      </c>
      <c r="D282" s="1190" t="s">
        <v>689</v>
      </c>
      <c r="E282" s="1174" t="s">
        <v>956</v>
      </c>
      <c r="F282" s="1380" t="s">
        <v>962</v>
      </c>
      <c r="G282" s="1381">
        <v>44593</v>
      </c>
      <c r="H282" s="1381">
        <v>44593</v>
      </c>
      <c r="I282" s="1176">
        <v>5</v>
      </c>
      <c r="J282" s="1176" t="s">
        <v>680</v>
      </c>
      <c r="K282" s="1177" t="s">
        <v>674</v>
      </c>
      <c r="L282" s="1178" t="s">
        <v>955</v>
      </c>
      <c r="M282" s="1179">
        <f>420000000-146500000-123500000+35546402</f>
        <v>185546402</v>
      </c>
      <c r="N282" s="1382" t="s">
        <v>931</v>
      </c>
      <c r="O282" s="1174" t="s">
        <v>915</v>
      </c>
      <c r="P282" s="1163" t="s">
        <v>678</v>
      </c>
      <c r="Q282" s="1163"/>
      <c r="R282" s="1269">
        <v>0</v>
      </c>
      <c r="S282" s="1357"/>
      <c r="T282" s="1357">
        <f>+Tabla16[[#This Row],[CDPS A 31 JULIO 2022]]-Tabla16[[#This Row],[CDP]]</f>
        <v>0</v>
      </c>
      <c r="U282" s="1357"/>
      <c r="V282" s="1357"/>
      <c r="W282" s="1357"/>
      <c r="X282" s="1207"/>
      <c r="Y282" s="1207"/>
      <c r="Z282" s="1207"/>
      <c r="AA282" s="1207"/>
      <c r="AB282" s="1207"/>
      <c r="AC282" s="1207"/>
      <c r="AD282" s="1207"/>
      <c r="AE282" s="1207"/>
      <c r="AF282" s="1207"/>
      <c r="AG282" s="1207"/>
      <c r="AH282" s="1207"/>
      <c r="AI282" s="1207"/>
      <c r="AJ282" s="1207"/>
      <c r="AK282" s="1207"/>
      <c r="AL282" s="1207"/>
      <c r="AM282" s="1207"/>
      <c r="AN282" s="1207"/>
      <c r="AO282" s="1207"/>
      <c r="AP282" s="1207"/>
      <c r="AQ282" s="1207"/>
      <c r="AR282" s="1207"/>
      <c r="AS282" s="1207"/>
      <c r="AT282" s="1207"/>
      <c r="AU282" s="1207"/>
      <c r="AV282" s="1207"/>
      <c r="AW282" s="1207"/>
      <c r="AX282" s="1207"/>
      <c r="AY282" s="1207"/>
      <c r="AZ282" s="1207"/>
      <c r="BA282" s="1207"/>
      <c r="BB282" s="1207"/>
      <c r="BC282" s="1207"/>
      <c r="BD282" s="1207"/>
      <c r="BE282" s="1207"/>
      <c r="BF282" s="1207"/>
      <c r="BG282" s="1207"/>
      <c r="BH282" s="1207"/>
      <c r="BI282" s="1207"/>
      <c r="BJ282" s="1207"/>
      <c r="BK282" s="1207"/>
      <c r="BL282" s="1207"/>
      <c r="BM282" s="1207"/>
      <c r="BN282" s="1207"/>
      <c r="BO282" s="1207"/>
      <c r="BP282" s="1207"/>
      <c r="BQ282" s="1207"/>
      <c r="BR282" s="1207"/>
      <c r="BS282" s="1207"/>
      <c r="BT282" s="1207"/>
      <c r="BU282" s="1207"/>
      <c r="BV282" s="1207"/>
      <c r="BW282" s="1207"/>
      <c r="BX282" s="1207"/>
      <c r="BY282" s="1207"/>
      <c r="BZ282" s="1207"/>
      <c r="CA282" s="1207"/>
      <c r="CB282" s="1207"/>
      <c r="CC282" s="1207"/>
      <c r="CD282" s="1207"/>
      <c r="CE282" s="1207"/>
      <c r="CF282" s="1207"/>
    </row>
    <row r="283" spans="1:84" ht="135" x14ac:dyDescent="0.25">
      <c r="A283" s="1358">
        <v>2022300</v>
      </c>
      <c r="B283" s="1172">
        <v>7658</v>
      </c>
      <c r="C283" s="1356" t="s">
        <v>679</v>
      </c>
      <c r="D283" s="1190" t="s">
        <v>689</v>
      </c>
      <c r="E283" s="1174" t="s">
        <v>963</v>
      </c>
      <c r="F283" s="1380" t="s">
        <v>964</v>
      </c>
      <c r="G283" s="1381">
        <v>44621</v>
      </c>
      <c r="H283" s="1381">
        <v>44621</v>
      </c>
      <c r="I283" s="1176">
        <v>4</v>
      </c>
      <c r="J283" s="1176" t="s">
        <v>696</v>
      </c>
      <c r="K283" s="1177" t="s">
        <v>770</v>
      </c>
      <c r="L283" s="1178" t="s">
        <v>955</v>
      </c>
      <c r="M283" s="1179">
        <v>300000000</v>
      </c>
      <c r="N283" s="1382" t="s">
        <v>931</v>
      </c>
      <c r="O283" s="1174" t="s">
        <v>915</v>
      </c>
      <c r="P283" s="1163" t="s">
        <v>678</v>
      </c>
      <c r="Q283" s="1163"/>
      <c r="R283" s="1269">
        <v>0</v>
      </c>
      <c r="S283" s="1357"/>
      <c r="T283" s="1357">
        <f>+Tabla16[[#This Row],[CDPS A 31 JULIO 2022]]-Tabla16[[#This Row],[CDP]]</f>
        <v>0</v>
      </c>
      <c r="U283" s="1357"/>
      <c r="V283" s="1357"/>
      <c r="W283" s="1357"/>
      <c r="X283" s="1207"/>
      <c r="Y283" s="1207"/>
      <c r="Z283" s="1207"/>
      <c r="AA283" s="1207"/>
      <c r="AB283" s="1207"/>
      <c r="AC283" s="1207"/>
      <c r="AD283" s="1207"/>
      <c r="AE283" s="1207"/>
      <c r="AF283" s="1207"/>
      <c r="AG283" s="1207"/>
      <c r="AH283" s="1207"/>
      <c r="AI283" s="1207"/>
      <c r="AJ283" s="1207"/>
      <c r="AK283" s="1207"/>
      <c r="AL283" s="1207"/>
      <c r="AM283" s="1207"/>
      <c r="AN283" s="1207"/>
      <c r="AO283" s="1207"/>
      <c r="AP283" s="1207"/>
      <c r="AQ283" s="1207"/>
      <c r="AR283" s="1207"/>
      <c r="AS283" s="1207"/>
      <c r="AT283" s="1207"/>
      <c r="AU283" s="1207"/>
      <c r="AV283" s="1207"/>
      <c r="AW283" s="1207"/>
      <c r="AX283" s="1207"/>
      <c r="AY283" s="1207"/>
      <c r="AZ283" s="1207"/>
      <c r="BA283" s="1207"/>
      <c r="BB283" s="1207"/>
      <c r="BC283" s="1207"/>
      <c r="BD283" s="1207"/>
      <c r="BE283" s="1207"/>
      <c r="BF283" s="1207"/>
      <c r="BG283" s="1207"/>
      <c r="BH283" s="1207"/>
      <c r="BI283" s="1207"/>
      <c r="BJ283" s="1207"/>
      <c r="BK283" s="1207"/>
      <c r="BL283" s="1207"/>
      <c r="BM283" s="1207"/>
      <c r="BN283" s="1207"/>
      <c r="BO283" s="1207"/>
      <c r="BP283" s="1207"/>
      <c r="BQ283" s="1207"/>
      <c r="BR283" s="1207"/>
      <c r="BS283" s="1207"/>
      <c r="BT283" s="1207"/>
      <c r="BU283" s="1207"/>
      <c r="BV283" s="1207"/>
      <c r="BW283" s="1207"/>
      <c r="BX283" s="1207"/>
      <c r="BY283" s="1207"/>
      <c r="BZ283" s="1207"/>
      <c r="CA283" s="1207"/>
      <c r="CB283" s="1207"/>
      <c r="CC283" s="1207"/>
      <c r="CD283" s="1207"/>
      <c r="CE283" s="1207"/>
      <c r="CF283" s="1207"/>
    </row>
    <row r="284" spans="1:84" s="1445" customFormat="1" ht="60" x14ac:dyDescent="0.25">
      <c r="A284" s="1355">
        <v>2022301</v>
      </c>
      <c r="B284" s="1172">
        <v>7658</v>
      </c>
      <c r="C284" s="1356" t="s">
        <v>679</v>
      </c>
      <c r="D284" s="1436" t="s">
        <v>689</v>
      </c>
      <c r="E284" s="1437" t="s">
        <v>97</v>
      </c>
      <c r="F284" s="1438" t="s">
        <v>1001</v>
      </c>
      <c r="G284" s="1439">
        <v>44621</v>
      </c>
      <c r="H284" s="1439">
        <v>44621</v>
      </c>
      <c r="I284" s="1440" t="s">
        <v>97</v>
      </c>
      <c r="J284" s="1440" t="s">
        <v>97</v>
      </c>
      <c r="K284" s="1441" t="s">
        <v>516</v>
      </c>
      <c r="L284" s="1442" t="s">
        <v>994</v>
      </c>
      <c r="M284" s="1179">
        <f>46155118</f>
        <v>46155118</v>
      </c>
      <c r="N284" s="1443" t="s">
        <v>782</v>
      </c>
      <c r="O284" s="1437" t="s">
        <v>767</v>
      </c>
      <c r="P284" s="1444" t="s">
        <v>748</v>
      </c>
      <c r="Q284" s="1444"/>
      <c r="R284" s="1357">
        <v>46155118</v>
      </c>
      <c r="S284" s="1357">
        <v>46155118</v>
      </c>
      <c r="T284" s="1357">
        <f>+Tabla16[[#This Row],[CDPS A 31 JULIO 2022]]-Tabla16[[#This Row],[CDP]]</f>
        <v>0</v>
      </c>
      <c r="U284" s="1357">
        <v>46155118</v>
      </c>
      <c r="V284" s="1357">
        <v>46155118</v>
      </c>
      <c r="W284" s="1357"/>
    </row>
    <row r="285" spans="1:84" ht="135" x14ac:dyDescent="0.25">
      <c r="A285" s="1355">
        <v>2022302</v>
      </c>
      <c r="B285" s="1172">
        <v>7658</v>
      </c>
      <c r="C285" s="1356" t="s">
        <v>679</v>
      </c>
      <c r="D285" s="1190" t="s">
        <v>689</v>
      </c>
      <c r="E285" s="1174" t="s">
        <v>965</v>
      </c>
      <c r="F285" s="1380" t="s">
        <v>966</v>
      </c>
      <c r="G285" s="1381">
        <v>44652</v>
      </c>
      <c r="H285" s="1381">
        <v>44652</v>
      </c>
      <c r="I285" s="1176">
        <v>10</v>
      </c>
      <c r="J285" s="1176" t="s">
        <v>645</v>
      </c>
      <c r="K285" s="1177" t="s">
        <v>674</v>
      </c>
      <c r="L285" s="1178" t="s">
        <v>967</v>
      </c>
      <c r="M285" s="1179">
        <v>308129000</v>
      </c>
      <c r="N285" s="1382" t="s">
        <v>931</v>
      </c>
      <c r="O285" s="1174" t="s">
        <v>915</v>
      </c>
      <c r="P285" s="1163" t="s">
        <v>678</v>
      </c>
      <c r="Q285" s="1163"/>
      <c r="R285" s="1357">
        <v>308129000</v>
      </c>
      <c r="S285" s="1357">
        <v>308129000</v>
      </c>
      <c r="T285" s="1357">
        <f>+Tabla16[[#This Row],[CDPS A 31 JULIO 2022]]-Tabla16[[#This Row],[CDP]]</f>
        <v>0</v>
      </c>
      <c r="U285" s="1357">
        <v>308129000</v>
      </c>
      <c r="V285" s="1357"/>
      <c r="W285" s="1357"/>
      <c r="X285" s="1207"/>
      <c r="Y285" s="1207"/>
      <c r="Z285" s="1207"/>
      <c r="AA285" s="1207"/>
      <c r="AB285" s="1207"/>
      <c r="AC285" s="1207"/>
      <c r="AD285" s="1207"/>
      <c r="AE285" s="1207"/>
      <c r="AF285" s="1207"/>
      <c r="AG285" s="1207"/>
      <c r="AH285" s="1207"/>
      <c r="AI285" s="1207"/>
      <c r="AJ285" s="1207"/>
      <c r="AK285" s="1207"/>
      <c r="AL285" s="1207"/>
      <c r="AM285" s="1207"/>
      <c r="AN285" s="1207"/>
      <c r="AO285" s="1207"/>
      <c r="AP285" s="1207"/>
      <c r="AQ285" s="1207"/>
      <c r="AR285" s="1207"/>
      <c r="AS285" s="1207"/>
      <c r="AT285" s="1207"/>
      <c r="AU285" s="1207"/>
      <c r="AV285" s="1207"/>
      <c r="AW285" s="1207"/>
      <c r="AX285" s="1207"/>
      <c r="AY285" s="1207"/>
      <c r="AZ285" s="1207"/>
      <c r="BA285" s="1207"/>
      <c r="BB285" s="1207"/>
      <c r="BC285" s="1207"/>
      <c r="BD285" s="1207"/>
      <c r="BE285" s="1207"/>
      <c r="BF285" s="1207"/>
      <c r="BG285" s="1207"/>
      <c r="BH285" s="1207"/>
      <c r="BI285" s="1207"/>
      <c r="BJ285" s="1207"/>
      <c r="BK285" s="1207"/>
      <c r="BL285" s="1207"/>
      <c r="BM285" s="1207"/>
      <c r="BN285" s="1207"/>
      <c r="BO285" s="1207"/>
      <c r="BP285" s="1207"/>
      <c r="BQ285" s="1207"/>
      <c r="BR285" s="1207"/>
      <c r="BS285" s="1207"/>
      <c r="BT285" s="1207"/>
      <c r="BU285" s="1207"/>
      <c r="BV285" s="1207"/>
      <c r="BW285" s="1207"/>
      <c r="BX285" s="1207"/>
      <c r="BY285" s="1207"/>
      <c r="BZ285" s="1207"/>
      <c r="CA285" s="1207"/>
      <c r="CB285" s="1207"/>
      <c r="CC285" s="1207"/>
      <c r="CD285" s="1207"/>
      <c r="CE285" s="1207"/>
      <c r="CF285" s="1207"/>
    </row>
    <row r="286" spans="1:84" ht="135" x14ac:dyDescent="0.25">
      <c r="A286" s="1355">
        <v>2022303</v>
      </c>
      <c r="B286" s="1172">
        <v>7658</v>
      </c>
      <c r="C286" s="1356" t="s">
        <v>679</v>
      </c>
      <c r="D286" s="1190" t="s">
        <v>689</v>
      </c>
      <c r="E286" s="1174" t="s">
        <v>968</v>
      </c>
      <c r="F286" s="1380" t="s">
        <v>969</v>
      </c>
      <c r="G286" s="1381">
        <v>44819</v>
      </c>
      <c r="H286" s="1381">
        <v>44822</v>
      </c>
      <c r="I286" s="1176">
        <v>2</v>
      </c>
      <c r="J286" s="1176" t="s">
        <v>720</v>
      </c>
      <c r="K286" s="1177" t="s">
        <v>674</v>
      </c>
      <c r="L286" s="1178" t="s">
        <v>970</v>
      </c>
      <c r="M286" s="1179">
        <f>10600000+9540387+79859613</f>
        <v>100000000</v>
      </c>
      <c r="N286" s="1382" t="s">
        <v>931</v>
      </c>
      <c r="O286" s="1174" t="s">
        <v>915</v>
      </c>
      <c r="P286" s="1163" t="s">
        <v>748</v>
      </c>
      <c r="Q286" s="1163"/>
      <c r="R286" s="1269">
        <v>0</v>
      </c>
      <c r="S286" s="1357"/>
      <c r="T286" s="1357">
        <f>+Tabla16[[#This Row],[CDPS A 31 JULIO 2022]]-Tabla16[[#This Row],[CDP]]</f>
        <v>0</v>
      </c>
      <c r="U286" s="1357"/>
      <c r="V286" s="1357"/>
      <c r="W286" s="1357"/>
      <c r="X286" s="1207"/>
      <c r="Y286" s="1207"/>
      <c r="Z286" s="1207"/>
      <c r="AA286" s="1207"/>
      <c r="AB286" s="1207"/>
      <c r="AC286" s="1207"/>
      <c r="AD286" s="1207"/>
      <c r="AE286" s="1207"/>
      <c r="AF286" s="1207"/>
      <c r="AG286" s="1207"/>
      <c r="AH286" s="1207"/>
      <c r="AI286" s="1207"/>
      <c r="AJ286" s="1207"/>
      <c r="AK286" s="1207"/>
      <c r="AL286" s="1207"/>
      <c r="AM286" s="1207"/>
      <c r="AN286" s="1207"/>
      <c r="AO286" s="1207"/>
      <c r="AP286" s="1207"/>
      <c r="AQ286" s="1207"/>
      <c r="AR286" s="1207"/>
      <c r="AS286" s="1207"/>
      <c r="AT286" s="1207"/>
      <c r="AU286" s="1207"/>
      <c r="AV286" s="1207"/>
      <c r="AW286" s="1207"/>
      <c r="AX286" s="1207"/>
      <c r="AY286" s="1207"/>
      <c r="AZ286" s="1207"/>
      <c r="BA286" s="1207"/>
      <c r="BB286" s="1207"/>
      <c r="BC286" s="1207"/>
      <c r="BD286" s="1207"/>
      <c r="BE286" s="1207"/>
      <c r="BF286" s="1207"/>
      <c r="BG286" s="1207"/>
      <c r="BH286" s="1207"/>
      <c r="BI286" s="1207"/>
      <c r="BJ286" s="1207"/>
      <c r="BK286" s="1207"/>
      <c r="BL286" s="1207"/>
      <c r="BM286" s="1207"/>
      <c r="BN286" s="1207"/>
      <c r="BO286" s="1207"/>
      <c r="BP286" s="1207"/>
      <c r="BQ286" s="1207"/>
      <c r="BR286" s="1207"/>
      <c r="BS286" s="1207"/>
      <c r="BT286" s="1207"/>
      <c r="BU286" s="1207"/>
      <c r="BV286" s="1207"/>
      <c r="BW286" s="1207"/>
      <c r="BX286" s="1207"/>
      <c r="BY286" s="1207"/>
      <c r="BZ286" s="1207"/>
      <c r="CA286" s="1207"/>
      <c r="CB286" s="1207"/>
      <c r="CC286" s="1207"/>
      <c r="CD286" s="1207"/>
      <c r="CE286" s="1207"/>
      <c r="CF286" s="1207"/>
    </row>
    <row r="287" spans="1:84" ht="135" x14ac:dyDescent="0.25">
      <c r="A287" s="1355">
        <v>2022304</v>
      </c>
      <c r="B287" s="1172">
        <v>7658</v>
      </c>
      <c r="C287" s="1356" t="s">
        <v>679</v>
      </c>
      <c r="D287" s="1190" t="s">
        <v>689</v>
      </c>
      <c r="E287" s="1174" t="s">
        <v>968</v>
      </c>
      <c r="F287" s="1380" t="s">
        <v>971</v>
      </c>
      <c r="G287" s="1381">
        <v>44606</v>
      </c>
      <c r="H287" s="1381">
        <v>44606</v>
      </c>
      <c r="I287" s="1176">
        <v>11</v>
      </c>
      <c r="J287" s="1176" t="s">
        <v>720</v>
      </c>
      <c r="K287" s="1177" t="s">
        <v>674</v>
      </c>
      <c r="L287" s="1178" t="s">
        <v>970</v>
      </c>
      <c r="M287" s="1179">
        <f>109400000-9540387</f>
        <v>99859613</v>
      </c>
      <c r="N287" s="1382" t="s">
        <v>931</v>
      </c>
      <c r="O287" s="1174" t="s">
        <v>915</v>
      </c>
      <c r="P287" s="1163" t="s">
        <v>678</v>
      </c>
      <c r="Q287" s="1163"/>
      <c r="R287" s="1357">
        <v>99859613</v>
      </c>
      <c r="S287" s="1357">
        <v>99859613</v>
      </c>
      <c r="T287" s="1357">
        <f>+Tabla16[[#This Row],[CDPS A 31 JULIO 2022]]-Tabla16[[#This Row],[CDP]]</f>
        <v>0</v>
      </c>
      <c r="U287" s="1357">
        <v>99859613</v>
      </c>
      <c r="V287" s="1357">
        <v>43996890</v>
      </c>
      <c r="W287" s="1357"/>
      <c r="X287" s="1207"/>
      <c r="Y287" s="1207"/>
      <c r="Z287" s="1207"/>
      <c r="AA287" s="1207"/>
      <c r="AB287" s="1207"/>
      <c r="AC287" s="1207"/>
      <c r="AD287" s="1207"/>
      <c r="AE287" s="1207"/>
      <c r="AF287" s="1207"/>
      <c r="AG287" s="1207"/>
      <c r="AH287" s="1207"/>
      <c r="AI287" s="1207"/>
      <c r="AJ287" s="1207"/>
      <c r="AK287" s="1207"/>
      <c r="AL287" s="1207"/>
      <c r="AM287" s="1207"/>
      <c r="AN287" s="1207"/>
      <c r="AO287" s="1207"/>
      <c r="AP287" s="1207"/>
      <c r="AQ287" s="1207"/>
      <c r="AR287" s="1207"/>
      <c r="AS287" s="1207"/>
      <c r="AT287" s="1207"/>
      <c r="AU287" s="1207"/>
      <c r="AV287" s="1207"/>
      <c r="AW287" s="1207"/>
      <c r="AX287" s="1207"/>
      <c r="AY287" s="1207"/>
      <c r="AZ287" s="1207"/>
      <c r="BA287" s="1207"/>
      <c r="BB287" s="1207"/>
      <c r="BC287" s="1207"/>
      <c r="BD287" s="1207"/>
      <c r="BE287" s="1207"/>
      <c r="BF287" s="1207"/>
      <c r="BG287" s="1207"/>
      <c r="BH287" s="1207"/>
      <c r="BI287" s="1207"/>
      <c r="BJ287" s="1207"/>
      <c r="BK287" s="1207"/>
      <c r="BL287" s="1207"/>
      <c r="BM287" s="1207"/>
      <c r="BN287" s="1207"/>
      <c r="BO287" s="1207"/>
      <c r="BP287" s="1207"/>
      <c r="BQ287" s="1207"/>
      <c r="BR287" s="1207"/>
      <c r="BS287" s="1207"/>
      <c r="BT287" s="1207"/>
      <c r="BU287" s="1207"/>
      <c r="BV287" s="1207"/>
      <c r="BW287" s="1207"/>
      <c r="BX287" s="1207"/>
      <c r="BY287" s="1207"/>
      <c r="BZ287" s="1207"/>
      <c r="CA287" s="1207"/>
      <c r="CB287" s="1207"/>
      <c r="CC287" s="1207"/>
      <c r="CD287" s="1207"/>
      <c r="CE287" s="1207"/>
      <c r="CF287" s="1207"/>
    </row>
    <row r="288" spans="1:84" ht="135" x14ac:dyDescent="0.25">
      <c r="A288" s="1358">
        <v>2022305</v>
      </c>
      <c r="B288" s="1172">
        <v>7658</v>
      </c>
      <c r="C288" s="1356" t="s">
        <v>679</v>
      </c>
      <c r="D288" s="1190" t="s">
        <v>689</v>
      </c>
      <c r="E288" s="1174" t="s">
        <v>972</v>
      </c>
      <c r="F288" s="1380" t="s">
        <v>973</v>
      </c>
      <c r="G288" s="1381">
        <v>44757</v>
      </c>
      <c r="H288" s="1381">
        <v>44819</v>
      </c>
      <c r="I288" s="1176">
        <v>7</v>
      </c>
      <c r="J288" s="1176" t="s">
        <v>687</v>
      </c>
      <c r="K288" s="1177" t="s">
        <v>770</v>
      </c>
      <c r="L288" s="1178" t="s">
        <v>955</v>
      </c>
      <c r="M288" s="1179">
        <f>205000000-90000000-10000000-15000000</f>
        <v>90000000</v>
      </c>
      <c r="N288" s="1382" t="s">
        <v>931</v>
      </c>
      <c r="O288" s="1174" t="s">
        <v>915</v>
      </c>
      <c r="P288" s="1163" t="s">
        <v>678</v>
      </c>
      <c r="Q288" s="1163"/>
      <c r="R288" s="1269">
        <v>0</v>
      </c>
      <c r="S288" s="1357"/>
      <c r="T288" s="1357">
        <f>+Tabla16[[#This Row],[CDPS A 31 JULIO 2022]]-Tabla16[[#This Row],[CDP]]</f>
        <v>0</v>
      </c>
      <c r="U288" s="1357"/>
      <c r="V288" s="1357"/>
      <c r="W288" s="1357"/>
      <c r="X288" s="1207"/>
      <c r="Y288" s="1207"/>
      <c r="Z288" s="1207"/>
      <c r="AA288" s="1207"/>
      <c r="AB288" s="1207"/>
      <c r="AC288" s="1207"/>
      <c r="AD288" s="1207"/>
      <c r="AE288" s="1207"/>
      <c r="AF288" s="1207"/>
      <c r="AG288" s="1207"/>
      <c r="AH288" s="1207"/>
      <c r="AI288" s="1207"/>
      <c r="AJ288" s="1207"/>
      <c r="AK288" s="1207"/>
      <c r="AL288" s="1207"/>
      <c r="AM288" s="1207"/>
      <c r="AN288" s="1207"/>
      <c r="AO288" s="1207"/>
      <c r="AP288" s="1207"/>
      <c r="AQ288" s="1207"/>
      <c r="AR288" s="1207"/>
      <c r="AS288" s="1207"/>
      <c r="AT288" s="1207"/>
      <c r="AU288" s="1207"/>
      <c r="AV288" s="1207"/>
      <c r="AW288" s="1207"/>
      <c r="AX288" s="1207"/>
      <c r="AY288" s="1207"/>
      <c r="AZ288" s="1207"/>
      <c r="BA288" s="1207"/>
      <c r="BB288" s="1207"/>
      <c r="BC288" s="1207"/>
      <c r="BD288" s="1207"/>
      <c r="BE288" s="1207"/>
      <c r="BF288" s="1207"/>
      <c r="BG288" s="1207"/>
      <c r="BH288" s="1207"/>
      <c r="BI288" s="1207"/>
      <c r="BJ288" s="1207"/>
      <c r="BK288" s="1207"/>
      <c r="BL288" s="1207"/>
      <c r="BM288" s="1207"/>
      <c r="BN288" s="1207"/>
      <c r="BO288" s="1207"/>
      <c r="BP288" s="1207"/>
      <c r="BQ288" s="1207"/>
      <c r="BR288" s="1207"/>
      <c r="BS288" s="1207"/>
      <c r="BT288" s="1207"/>
      <c r="BU288" s="1207"/>
      <c r="BV288" s="1207"/>
      <c r="BW288" s="1207"/>
      <c r="BX288" s="1207"/>
      <c r="BY288" s="1207"/>
      <c r="BZ288" s="1207"/>
      <c r="CA288" s="1207"/>
      <c r="CB288" s="1207"/>
      <c r="CC288" s="1207"/>
      <c r="CD288" s="1207"/>
      <c r="CE288" s="1207"/>
      <c r="CF288" s="1207"/>
    </row>
    <row r="289" spans="1:84" ht="75" x14ac:dyDescent="0.25">
      <c r="A289" s="1419">
        <v>2022307</v>
      </c>
      <c r="B289" s="1401">
        <v>7658</v>
      </c>
      <c r="C289" s="1402" t="s">
        <v>679</v>
      </c>
      <c r="D289" s="1403" t="s">
        <v>689</v>
      </c>
      <c r="E289" s="1404" t="s">
        <v>958</v>
      </c>
      <c r="F289" s="1403" t="s">
        <v>974</v>
      </c>
      <c r="G289" s="1406">
        <v>44634</v>
      </c>
      <c r="H289" s="1406">
        <v>44634</v>
      </c>
      <c r="I289" s="1407">
        <v>6</v>
      </c>
      <c r="J289" s="1407" t="s">
        <v>645</v>
      </c>
      <c r="K289" s="1408" t="s">
        <v>770</v>
      </c>
      <c r="L289" s="1409" t="s">
        <v>955</v>
      </c>
      <c r="M289" s="1410">
        <f>1000000000-200000000+450000000+250000000-70643252-179356748</f>
        <v>1250000000</v>
      </c>
      <c r="N289" s="1411" t="s">
        <v>782</v>
      </c>
      <c r="O289" s="1404" t="s">
        <v>767</v>
      </c>
      <c r="P289" s="1413" t="s">
        <v>678</v>
      </c>
      <c r="Q289" s="1163"/>
      <c r="R289" s="1357">
        <v>1500000000</v>
      </c>
      <c r="S289" s="1357"/>
      <c r="T289" s="1357">
        <f>+Tabla16[[#This Row],[CDPS A 31 JULIO 2022]]-Tabla16[[#This Row],[CDP]]</f>
        <v>1500000000</v>
      </c>
      <c r="U289" s="1357"/>
      <c r="V289" s="1357"/>
      <c r="W289" s="1357"/>
      <c r="X289" s="1207"/>
      <c r="Y289" s="1207"/>
      <c r="Z289" s="1207"/>
      <c r="AA289" s="1207"/>
      <c r="AB289" s="1207"/>
      <c r="AC289" s="1207"/>
      <c r="AD289" s="1207"/>
      <c r="AE289" s="1207"/>
      <c r="AF289" s="1207"/>
      <c r="AG289" s="1207"/>
      <c r="AH289" s="1207"/>
      <c r="AI289" s="1207"/>
      <c r="AJ289" s="1207"/>
      <c r="AK289" s="1207"/>
      <c r="AL289" s="1207"/>
      <c r="AM289" s="1207"/>
      <c r="AN289" s="1207"/>
      <c r="AO289" s="1207"/>
      <c r="AP289" s="1207"/>
      <c r="AQ289" s="1207"/>
      <c r="AR289" s="1207"/>
      <c r="AS289" s="1207"/>
      <c r="AT289" s="1207"/>
      <c r="AU289" s="1207"/>
      <c r="AV289" s="1207"/>
      <c r="AW289" s="1207"/>
      <c r="AX289" s="1207"/>
      <c r="AY289" s="1207"/>
      <c r="AZ289" s="1207"/>
      <c r="BA289" s="1207"/>
      <c r="BB289" s="1207"/>
      <c r="BC289" s="1207"/>
      <c r="BD289" s="1207"/>
      <c r="BE289" s="1207"/>
      <c r="BF289" s="1207"/>
      <c r="BG289" s="1207"/>
      <c r="BH289" s="1207"/>
      <c r="BI289" s="1207"/>
      <c r="BJ289" s="1207"/>
      <c r="BK289" s="1207"/>
      <c r="BL289" s="1207"/>
      <c r="BM289" s="1207"/>
      <c r="BN289" s="1207"/>
      <c r="BO289" s="1207"/>
      <c r="BP289" s="1207"/>
      <c r="BQ289" s="1207"/>
      <c r="BR289" s="1207"/>
      <c r="BS289" s="1207"/>
      <c r="BT289" s="1207"/>
      <c r="BU289" s="1207"/>
      <c r="BV289" s="1207"/>
      <c r="BW289" s="1207"/>
      <c r="BX289" s="1207"/>
      <c r="BY289" s="1207"/>
      <c r="BZ289" s="1207"/>
      <c r="CA289" s="1207"/>
      <c r="CB289" s="1207"/>
      <c r="CC289" s="1207"/>
      <c r="CD289" s="1207"/>
      <c r="CE289" s="1207"/>
      <c r="CF289" s="1207"/>
    </row>
    <row r="290" spans="1:84" ht="75" x14ac:dyDescent="0.25">
      <c r="A290" s="1358">
        <v>2022308</v>
      </c>
      <c r="B290" s="1172">
        <v>7658</v>
      </c>
      <c r="C290" s="1356" t="s">
        <v>679</v>
      </c>
      <c r="D290" s="1190" t="s">
        <v>689</v>
      </c>
      <c r="E290" s="1174" t="s">
        <v>956</v>
      </c>
      <c r="F290" s="1190" t="s">
        <v>975</v>
      </c>
      <c r="G290" s="1381">
        <v>44757</v>
      </c>
      <c r="H290" s="1381">
        <v>44819</v>
      </c>
      <c r="I290" s="1176">
        <v>6</v>
      </c>
      <c r="J290" s="1176" t="s">
        <v>680</v>
      </c>
      <c r="K290" s="1177" t="s">
        <v>770</v>
      </c>
      <c r="L290" s="1178" t="s">
        <v>955</v>
      </c>
      <c r="M290" s="1179">
        <f>345000000-25000000-168000000+90000000+46992633-51183595</f>
        <v>237809038</v>
      </c>
      <c r="N290" s="1382" t="s">
        <v>782</v>
      </c>
      <c r="O290" s="1174" t="s">
        <v>767</v>
      </c>
      <c r="P290" s="1163" t="s">
        <v>678</v>
      </c>
      <c r="Q290" s="1163"/>
      <c r="R290" s="1269">
        <v>0</v>
      </c>
      <c r="S290" s="1357"/>
      <c r="T290" s="1357">
        <f>+Tabla16[[#This Row],[CDPS A 31 JULIO 2022]]-Tabla16[[#This Row],[CDP]]</f>
        <v>0</v>
      </c>
      <c r="U290" s="1357"/>
      <c r="V290" s="1357"/>
      <c r="W290" s="1357"/>
      <c r="X290" s="1207"/>
      <c r="Y290" s="1207"/>
      <c r="Z290" s="1207"/>
      <c r="AA290" s="1207"/>
      <c r="AB290" s="1207"/>
      <c r="AC290" s="1207"/>
      <c r="AD290" s="1207"/>
      <c r="AE290" s="1207"/>
      <c r="AF290" s="1207"/>
      <c r="AG290" s="1207"/>
      <c r="AH290" s="1207"/>
      <c r="AI290" s="1207"/>
      <c r="AJ290" s="1207"/>
      <c r="AK290" s="1207"/>
      <c r="AL290" s="1207"/>
      <c r="AM290" s="1207"/>
      <c r="AN290" s="1207"/>
      <c r="AO290" s="1207"/>
      <c r="AP290" s="1207"/>
      <c r="AQ290" s="1207"/>
      <c r="AR290" s="1207"/>
      <c r="AS290" s="1207"/>
      <c r="AT290" s="1207"/>
      <c r="AU290" s="1207"/>
      <c r="AV290" s="1207"/>
      <c r="AW290" s="1207"/>
      <c r="AX290" s="1207"/>
      <c r="AY290" s="1207"/>
      <c r="AZ290" s="1207"/>
      <c r="BA290" s="1207"/>
      <c r="BB290" s="1207"/>
      <c r="BC290" s="1207"/>
      <c r="BD290" s="1207"/>
      <c r="BE290" s="1207"/>
      <c r="BF290" s="1207"/>
      <c r="BG290" s="1207"/>
      <c r="BH290" s="1207"/>
      <c r="BI290" s="1207"/>
      <c r="BJ290" s="1207"/>
      <c r="BK290" s="1207"/>
      <c r="BL290" s="1207"/>
      <c r="BM290" s="1207"/>
      <c r="BN290" s="1207"/>
      <c r="BO290" s="1207"/>
      <c r="BP290" s="1207"/>
      <c r="BQ290" s="1207"/>
      <c r="BR290" s="1207"/>
      <c r="BS290" s="1207"/>
      <c r="BT290" s="1207"/>
      <c r="BU290" s="1207"/>
      <c r="BV290" s="1207"/>
      <c r="BW290" s="1207"/>
      <c r="BX290" s="1207"/>
      <c r="BY290" s="1207"/>
      <c r="BZ290" s="1207"/>
      <c r="CA290" s="1207"/>
      <c r="CB290" s="1207"/>
      <c r="CC290" s="1207"/>
      <c r="CD290" s="1207"/>
      <c r="CE290" s="1207"/>
      <c r="CF290" s="1207"/>
    </row>
    <row r="291" spans="1:84" ht="120" x14ac:dyDescent="0.25">
      <c r="A291" s="1358">
        <v>2022309</v>
      </c>
      <c r="B291" s="1359">
        <v>7658</v>
      </c>
      <c r="C291" s="1360" t="s">
        <v>679</v>
      </c>
      <c r="D291" s="1386" t="s">
        <v>689</v>
      </c>
      <c r="E291" s="1387" t="s">
        <v>976</v>
      </c>
      <c r="F291" s="1388" t="s">
        <v>977</v>
      </c>
      <c r="G291" s="1389">
        <v>44711</v>
      </c>
      <c r="H291" s="1389">
        <v>44727</v>
      </c>
      <c r="I291" s="1268">
        <v>4</v>
      </c>
      <c r="J291" s="1176" t="s">
        <v>687</v>
      </c>
      <c r="K291" s="1390" t="s">
        <v>770</v>
      </c>
      <c r="L291" s="1178" t="s">
        <v>955</v>
      </c>
      <c r="M291" s="1249">
        <f>175000000+25000000+220000000-537358</f>
        <v>419462642</v>
      </c>
      <c r="N291" s="1382" t="s">
        <v>777</v>
      </c>
      <c r="O291" s="1387" t="s">
        <v>978</v>
      </c>
      <c r="P291" s="1163" t="s">
        <v>678</v>
      </c>
      <c r="Q291" s="1163"/>
      <c r="R291" s="1269">
        <v>0</v>
      </c>
      <c r="S291" s="1357"/>
      <c r="T291" s="1357">
        <f>+Tabla16[[#This Row],[CDPS A 31 JULIO 2022]]-Tabla16[[#This Row],[CDP]]</f>
        <v>0</v>
      </c>
      <c r="U291" s="1357"/>
      <c r="V291" s="1357"/>
      <c r="W291" s="1357"/>
      <c r="X291" s="1207"/>
      <c r="Y291" s="1207"/>
      <c r="Z291" s="1207"/>
      <c r="AA291" s="1207"/>
      <c r="AB291" s="1207"/>
      <c r="AC291" s="1207"/>
      <c r="AD291" s="1207"/>
      <c r="AE291" s="1207"/>
      <c r="AF291" s="1207"/>
      <c r="AG291" s="1207"/>
      <c r="AH291" s="1207"/>
      <c r="AI291" s="1207"/>
      <c r="AJ291" s="1207"/>
      <c r="AK291" s="1207"/>
      <c r="AL291" s="1207"/>
      <c r="AM291" s="1207"/>
      <c r="AN291" s="1207"/>
      <c r="AO291" s="1207"/>
      <c r="AP291" s="1207"/>
      <c r="AQ291" s="1207"/>
      <c r="AR291" s="1207"/>
      <c r="AS291" s="1207"/>
      <c r="AT291" s="1207"/>
      <c r="AU291" s="1207"/>
      <c r="AV291" s="1207"/>
      <c r="AW291" s="1207"/>
      <c r="AX291" s="1207"/>
      <c r="AY291" s="1207"/>
      <c r="AZ291" s="1207"/>
      <c r="BA291" s="1207"/>
      <c r="BB291" s="1207"/>
      <c r="BC291" s="1207"/>
      <c r="BD291" s="1207"/>
      <c r="BE291" s="1207"/>
      <c r="BF291" s="1207"/>
      <c r="BG291" s="1207"/>
      <c r="BH291" s="1207"/>
      <c r="BI291" s="1207"/>
      <c r="BJ291" s="1207"/>
      <c r="BK291" s="1207"/>
      <c r="BL291" s="1207"/>
      <c r="BM291" s="1207"/>
      <c r="BN291" s="1207"/>
      <c r="BO291" s="1207"/>
      <c r="BP291" s="1207"/>
      <c r="BQ291" s="1207"/>
      <c r="BR291" s="1207"/>
      <c r="BS291" s="1207"/>
      <c r="BT291" s="1207"/>
      <c r="BU291" s="1207"/>
      <c r="BV291" s="1207"/>
      <c r="BW291" s="1207"/>
      <c r="BX291" s="1207"/>
      <c r="BY291" s="1207"/>
      <c r="BZ291" s="1207"/>
      <c r="CA291" s="1207"/>
      <c r="CB291" s="1207"/>
      <c r="CC291" s="1207"/>
      <c r="CD291" s="1207"/>
      <c r="CE291" s="1207"/>
      <c r="CF291" s="1207"/>
    </row>
    <row r="292" spans="1:84" ht="90" x14ac:dyDescent="0.25">
      <c r="A292" s="1355">
        <v>2022310</v>
      </c>
      <c r="B292" s="1172">
        <v>7658</v>
      </c>
      <c r="C292" s="1356" t="s">
        <v>679</v>
      </c>
      <c r="D292" s="1190" t="s">
        <v>695</v>
      </c>
      <c r="E292" s="1174">
        <v>80111600</v>
      </c>
      <c r="F292" s="1380" t="s">
        <v>979</v>
      </c>
      <c r="G292" s="1381">
        <v>44562</v>
      </c>
      <c r="H292" s="1381">
        <v>44592</v>
      </c>
      <c r="I292" s="1176">
        <v>7</v>
      </c>
      <c r="J292" s="1176" t="s">
        <v>673</v>
      </c>
      <c r="K292" s="1177" t="s">
        <v>674</v>
      </c>
      <c r="L292" s="1178" t="s">
        <v>675</v>
      </c>
      <c r="M292" s="1179">
        <f>30429000-10500000+1806000</f>
        <v>21735000</v>
      </c>
      <c r="N292" s="1382" t="s">
        <v>765</v>
      </c>
      <c r="O292" s="1174" t="s">
        <v>764</v>
      </c>
      <c r="P292" s="1207" t="s">
        <v>678</v>
      </c>
      <c r="Q292" s="1163"/>
      <c r="R292" s="1357">
        <v>21735000</v>
      </c>
      <c r="S292" s="1357"/>
      <c r="T292" s="1357">
        <f>+Tabla16[[#This Row],[CDPS A 31 JULIO 2022]]-Tabla16[[#This Row],[CDP]]</f>
        <v>21735000</v>
      </c>
      <c r="U292" s="1357"/>
      <c r="V292" s="1357"/>
      <c r="W292" s="1357"/>
      <c r="X292" s="1207"/>
      <c r="Y292" s="1207"/>
      <c r="Z292" s="1207"/>
      <c r="AA292" s="1207"/>
      <c r="AB292" s="1207"/>
      <c r="AC292" s="1207"/>
      <c r="AD292" s="1207"/>
      <c r="AE292" s="1207"/>
      <c r="AF292" s="1207"/>
      <c r="AG292" s="1207"/>
      <c r="AH292" s="1207"/>
      <c r="AI292" s="1207"/>
      <c r="AJ292" s="1207"/>
      <c r="AK292" s="1207"/>
      <c r="AL292" s="1207"/>
      <c r="AM292" s="1207"/>
      <c r="AN292" s="1207"/>
      <c r="AO292" s="1207"/>
      <c r="AP292" s="1207"/>
      <c r="AQ292" s="1207"/>
      <c r="AR292" s="1207"/>
      <c r="AS292" s="1207"/>
      <c r="AT292" s="1207"/>
      <c r="AU292" s="1207"/>
      <c r="AV292" s="1207"/>
      <c r="AW292" s="1207"/>
      <c r="AX292" s="1207"/>
      <c r="AY292" s="1207"/>
      <c r="AZ292" s="1207"/>
      <c r="BA292" s="1207"/>
      <c r="BB292" s="1207"/>
      <c r="BC292" s="1207"/>
      <c r="BD292" s="1207"/>
      <c r="BE292" s="1207"/>
      <c r="BF292" s="1207"/>
      <c r="BG292" s="1207"/>
      <c r="BH292" s="1207"/>
      <c r="BI292" s="1207"/>
      <c r="BJ292" s="1207"/>
      <c r="BK292" s="1207"/>
      <c r="BL292" s="1207"/>
      <c r="BM292" s="1207"/>
      <c r="BN292" s="1207"/>
      <c r="BO292" s="1207"/>
      <c r="BP292" s="1207"/>
      <c r="BQ292" s="1207"/>
      <c r="BR292" s="1207"/>
      <c r="BS292" s="1207"/>
      <c r="BT292" s="1207"/>
      <c r="BU292" s="1207"/>
      <c r="BV292" s="1207"/>
      <c r="BW292" s="1207"/>
      <c r="BX292" s="1207"/>
      <c r="BY292" s="1207"/>
      <c r="BZ292" s="1207"/>
      <c r="CA292" s="1207"/>
      <c r="CB292" s="1207"/>
      <c r="CC292" s="1207"/>
      <c r="CD292" s="1207"/>
      <c r="CE292" s="1207"/>
      <c r="CF292" s="1207"/>
    </row>
    <row r="293" spans="1:84" ht="90" x14ac:dyDescent="0.25">
      <c r="A293" s="1355">
        <v>2022311</v>
      </c>
      <c r="B293" s="1172">
        <v>7658</v>
      </c>
      <c r="C293" s="1356" t="s">
        <v>679</v>
      </c>
      <c r="D293" s="1190" t="s">
        <v>695</v>
      </c>
      <c r="E293" s="1174">
        <v>80111600</v>
      </c>
      <c r="F293" s="1380" t="s">
        <v>980</v>
      </c>
      <c r="G293" s="1381">
        <v>44562</v>
      </c>
      <c r="H293" s="1381">
        <v>44592</v>
      </c>
      <c r="I293" s="1176">
        <v>11</v>
      </c>
      <c r="J293" s="1176" t="s">
        <v>673</v>
      </c>
      <c r="K293" s="1177" t="s">
        <v>674</v>
      </c>
      <c r="L293" s="1178" t="s">
        <v>675</v>
      </c>
      <c r="M293" s="1367">
        <f>26950000-9800000</f>
        <v>17150000</v>
      </c>
      <c r="N293" s="1382" t="s">
        <v>765</v>
      </c>
      <c r="O293" s="1174" t="s">
        <v>764</v>
      </c>
      <c r="P293" s="1207" t="s">
        <v>678</v>
      </c>
      <c r="Q293" s="1163"/>
      <c r="R293" s="1357">
        <v>17150000</v>
      </c>
      <c r="S293" s="1357">
        <v>17150000</v>
      </c>
      <c r="T293" s="1357">
        <f>+Tabla16[[#This Row],[CDPS A 31 JULIO 2022]]-Tabla16[[#This Row],[CDP]]</f>
        <v>0</v>
      </c>
      <c r="U293" s="1357">
        <v>17150000</v>
      </c>
      <c r="V293" s="1357">
        <v>10371667</v>
      </c>
      <c r="W293" s="1357"/>
      <c r="X293" s="1207"/>
      <c r="Y293" s="1207"/>
      <c r="Z293" s="1207"/>
      <c r="AA293" s="1207"/>
      <c r="AB293" s="1207"/>
      <c r="AC293" s="1207"/>
      <c r="AD293" s="1207"/>
      <c r="AE293" s="1207"/>
      <c r="AF293" s="1207"/>
      <c r="AG293" s="1207"/>
      <c r="AH293" s="1207"/>
      <c r="AI293" s="1207"/>
      <c r="AJ293" s="1207"/>
      <c r="AK293" s="1207"/>
      <c r="AL293" s="1207"/>
      <c r="AM293" s="1207"/>
      <c r="AN293" s="1207"/>
      <c r="AO293" s="1207"/>
      <c r="AP293" s="1207"/>
      <c r="AQ293" s="1207"/>
      <c r="AR293" s="1207"/>
      <c r="AS293" s="1207"/>
      <c r="AT293" s="1207"/>
      <c r="AU293" s="1207"/>
      <c r="AV293" s="1207"/>
      <c r="AW293" s="1207"/>
      <c r="AX293" s="1207"/>
      <c r="AY293" s="1207"/>
      <c r="AZ293" s="1207"/>
      <c r="BA293" s="1207"/>
      <c r="BB293" s="1207"/>
      <c r="BC293" s="1207"/>
      <c r="BD293" s="1207"/>
      <c r="BE293" s="1207"/>
      <c r="BF293" s="1207"/>
      <c r="BG293" s="1207"/>
      <c r="BH293" s="1207"/>
      <c r="BI293" s="1207"/>
      <c r="BJ293" s="1207"/>
      <c r="BK293" s="1207"/>
      <c r="BL293" s="1207"/>
      <c r="BM293" s="1207"/>
      <c r="BN293" s="1207"/>
      <c r="BO293" s="1207"/>
      <c r="BP293" s="1207"/>
      <c r="BQ293" s="1207"/>
      <c r="BR293" s="1207"/>
      <c r="BS293" s="1207"/>
      <c r="BT293" s="1207"/>
      <c r="BU293" s="1207"/>
      <c r="BV293" s="1207"/>
      <c r="BW293" s="1207"/>
      <c r="BX293" s="1207"/>
      <c r="BY293" s="1207"/>
      <c r="BZ293" s="1207"/>
      <c r="CA293" s="1207"/>
      <c r="CB293" s="1207"/>
      <c r="CC293" s="1207"/>
      <c r="CD293" s="1207"/>
      <c r="CE293" s="1207"/>
      <c r="CF293" s="1207"/>
    </row>
    <row r="294" spans="1:84" ht="90" x14ac:dyDescent="0.25">
      <c r="A294" s="1355">
        <v>2022312</v>
      </c>
      <c r="B294" s="1172">
        <v>7658</v>
      </c>
      <c r="C294" s="1356" t="s">
        <v>679</v>
      </c>
      <c r="D294" s="1190" t="s">
        <v>695</v>
      </c>
      <c r="E294" s="1174">
        <v>80111600</v>
      </c>
      <c r="F294" s="1380" t="s">
        <v>980</v>
      </c>
      <c r="G294" s="1381">
        <v>44562</v>
      </c>
      <c r="H294" s="1381">
        <v>44592</v>
      </c>
      <c r="I294" s="1176">
        <v>11</v>
      </c>
      <c r="J294" s="1176" t="s">
        <v>673</v>
      </c>
      <c r="K294" s="1177" t="s">
        <v>674</v>
      </c>
      <c r="L294" s="1178" t="s">
        <v>675</v>
      </c>
      <c r="M294" s="1179">
        <f>26950000-2359000-7441000</f>
        <v>17150000</v>
      </c>
      <c r="N294" s="1382" t="s">
        <v>765</v>
      </c>
      <c r="O294" s="1174" t="s">
        <v>764</v>
      </c>
      <c r="P294" s="1207" t="s">
        <v>678</v>
      </c>
      <c r="Q294" s="1163"/>
      <c r="R294" s="1357">
        <v>17150000</v>
      </c>
      <c r="S294" s="1357">
        <v>17150000</v>
      </c>
      <c r="T294" s="1357">
        <f>+Tabla16[[#This Row],[CDPS A 31 JULIO 2022]]-Tabla16[[#This Row],[CDP]]</f>
        <v>0</v>
      </c>
      <c r="U294" s="1357">
        <v>17150000</v>
      </c>
      <c r="V294" s="1357">
        <v>8003333</v>
      </c>
      <c r="W294" s="1357"/>
      <c r="X294" s="1207"/>
      <c r="Y294" s="1207"/>
      <c r="Z294" s="1207"/>
      <c r="AA294" s="1207"/>
      <c r="AB294" s="1207"/>
      <c r="AC294" s="1207"/>
      <c r="AD294" s="1207"/>
      <c r="AE294" s="1207"/>
      <c r="AF294" s="1207"/>
      <c r="AG294" s="1207"/>
      <c r="AH294" s="1207"/>
      <c r="AI294" s="1207"/>
      <c r="AJ294" s="1207"/>
      <c r="AK294" s="1207"/>
      <c r="AL294" s="1207"/>
      <c r="AM294" s="1207"/>
      <c r="AN294" s="1207"/>
      <c r="AO294" s="1207"/>
      <c r="AP294" s="1207"/>
      <c r="AQ294" s="1207"/>
      <c r="AR294" s="1207"/>
      <c r="AS294" s="1207"/>
      <c r="AT294" s="1207"/>
      <c r="AU294" s="1207"/>
      <c r="AV294" s="1207"/>
      <c r="AW294" s="1207"/>
      <c r="AX294" s="1207"/>
      <c r="AY294" s="1207"/>
      <c r="AZ294" s="1207"/>
      <c r="BA294" s="1207"/>
      <c r="BB294" s="1207"/>
      <c r="BC294" s="1207"/>
      <c r="BD294" s="1207"/>
      <c r="BE294" s="1207"/>
      <c r="BF294" s="1207"/>
      <c r="BG294" s="1207"/>
      <c r="BH294" s="1207"/>
      <c r="BI294" s="1207"/>
      <c r="BJ294" s="1207"/>
      <c r="BK294" s="1207"/>
      <c r="BL294" s="1207"/>
      <c r="BM294" s="1207"/>
      <c r="BN294" s="1207"/>
      <c r="BO294" s="1207"/>
      <c r="BP294" s="1207"/>
      <c r="BQ294" s="1207"/>
      <c r="BR294" s="1207"/>
      <c r="BS294" s="1207"/>
      <c r="BT294" s="1207"/>
      <c r="BU294" s="1207"/>
      <c r="BV294" s="1207"/>
      <c r="BW294" s="1207"/>
      <c r="BX294" s="1207"/>
      <c r="BY294" s="1207"/>
      <c r="BZ294" s="1207"/>
      <c r="CA294" s="1207"/>
      <c r="CB294" s="1207"/>
      <c r="CC294" s="1207"/>
      <c r="CD294" s="1207"/>
      <c r="CE294" s="1207"/>
      <c r="CF294" s="1207"/>
    </row>
    <row r="295" spans="1:84" ht="90" x14ac:dyDescent="0.25">
      <c r="A295" s="1355">
        <v>2022313</v>
      </c>
      <c r="B295" s="1172">
        <v>7658</v>
      </c>
      <c r="C295" s="1356" t="s">
        <v>679</v>
      </c>
      <c r="D295" s="1190" t="s">
        <v>695</v>
      </c>
      <c r="E295" s="1174">
        <v>80111600</v>
      </c>
      <c r="F295" s="1380" t="s">
        <v>981</v>
      </c>
      <c r="G295" s="1381">
        <v>44562</v>
      </c>
      <c r="H295" s="1381">
        <v>44592</v>
      </c>
      <c r="I295" s="1176">
        <v>11</v>
      </c>
      <c r="J295" s="1176" t="s">
        <v>673</v>
      </c>
      <c r="K295" s="1177" t="s">
        <v>674</v>
      </c>
      <c r="L295" s="1178" t="s">
        <v>675</v>
      </c>
      <c r="M295" s="1179">
        <f>59202000-9490000-15087800</f>
        <v>34624200</v>
      </c>
      <c r="N295" s="1382" t="s">
        <v>765</v>
      </c>
      <c r="O295" s="1174" t="s">
        <v>764</v>
      </c>
      <c r="P295" s="1207" t="s">
        <v>678</v>
      </c>
      <c r="Q295" s="1163"/>
      <c r="R295" s="1357">
        <v>48438000</v>
      </c>
      <c r="S295" s="1357">
        <v>48438000</v>
      </c>
      <c r="T295" s="1357">
        <f>+Tabla16[[#This Row],[CDPS A 31 JULIO 2022]]-Tabla16[[#This Row],[CDP]]</f>
        <v>0</v>
      </c>
      <c r="U295" s="1357">
        <v>48438000</v>
      </c>
      <c r="V295" s="1357">
        <v>23860200</v>
      </c>
      <c r="W295" s="1357"/>
      <c r="X295" s="1207"/>
      <c r="Y295" s="1207"/>
      <c r="Z295" s="1207"/>
      <c r="AA295" s="1207"/>
      <c r="AB295" s="1207"/>
      <c r="AC295" s="1207"/>
      <c r="AD295" s="1207"/>
      <c r="AE295" s="1207"/>
      <c r="AF295" s="1207"/>
      <c r="AG295" s="1207"/>
      <c r="AH295" s="1207"/>
      <c r="AI295" s="1207"/>
      <c r="AJ295" s="1207"/>
      <c r="AK295" s="1207"/>
      <c r="AL295" s="1207"/>
      <c r="AM295" s="1207"/>
      <c r="AN295" s="1207"/>
      <c r="AO295" s="1207"/>
      <c r="AP295" s="1207"/>
      <c r="AQ295" s="1207"/>
      <c r="AR295" s="1207"/>
      <c r="AS295" s="1207"/>
      <c r="AT295" s="1207"/>
      <c r="AU295" s="1207"/>
      <c r="AV295" s="1207"/>
      <c r="AW295" s="1207"/>
      <c r="AX295" s="1207"/>
      <c r="AY295" s="1207"/>
      <c r="AZ295" s="1207"/>
      <c r="BA295" s="1207"/>
      <c r="BB295" s="1207"/>
      <c r="BC295" s="1207"/>
      <c r="BD295" s="1207"/>
      <c r="BE295" s="1207"/>
      <c r="BF295" s="1207"/>
      <c r="BG295" s="1207"/>
      <c r="BH295" s="1207"/>
      <c r="BI295" s="1207"/>
      <c r="BJ295" s="1207"/>
      <c r="BK295" s="1207"/>
      <c r="BL295" s="1207"/>
      <c r="BM295" s="1207"/>
      <c r="BN295" s="1207"/>
      <c r="BO295" s="1207"/>
      <c r="BP295" s="1207"/>
      <c r="BQ295" s="1207"/>
      <c r="BR295" s="1207"/>
      <c r="BS295" s="1207"/>
      <c r="BT295" s="1207"/>
      <c r="BU295" s="1207"/>
      <c r="BV295" s="1207"/>
      <c r="BW295" s="1207"/>
      <c r="BX295" s="1207"/>
      <c r="BY295" s="1207"/>
      <c r="BZ295" s="1207"/>
      <c r="CA295" s="1207"/>
      <c r="CB295" s="1207"/>
      <c r="CC295" s="1207"/>
      <c r="CD295" s="1207"/>
      <c r="CE295" s="1207"/>
      <c r="CF295" s="1207"/>
    </row>
    <row r="296" spans="1:84" ht="90" x14ac:dyDescent="0.25">
      <c r="A296" s="1400">
        <v>2022314</v>
      </c>
      <c r="B296" s="1401">
        <v>7658</v>
      </c>
      <c r="C296" s="1402" t="s">
        <v>679</v>
      </c>
      <c r="D296" s="1403" t="s">
        <v>695</v>
      </c>
      <c r="E296" s="1404">
        <v>80111600</v>
      </c>
      <c r="F296" s="1404" t="s">
        <v>982</v>
      </c>
      <c r="G296" s="1406">
        <v>44562</v>
      </c>
      <c r="H296" s="1406">
        <v>44592</v>
      </c>
      <c r="I296" s="1407">
        <v>11</v>
      </c>
      <c r="J296" s="1407" t="s">
        <v>673</v>
      </c>
      <c r="K296" s="1408" t="s">
        <v>674</v>
      </c>
      <c r="L296" s="1409" t="s">
        <v>675</v>
      </c>
      <c r="M296" s="1410">
        <f>36850000-2691000-3477600-2898000-3850000-1600066</f>
        <v>22333334</v>
      </c>
      <c r="N296" s="1411" t="s">
        <v>765</v>
      </c>
      <c r="O296" s="1404" t="s">
        <v>764</v>
      </c>
      <c r="P296" s="1412" t="s">
        <v>678</v>
      </c>
      <c r="Q296" s="1163"/>
      <c r="R296" s="1357">
        <v>36850000</v>
      </c>
      <c r="S296" s="1357">
        <v>36850000</v>
      </c>
      <c r="T296" s="1357">
        <f>+Tabla16[[#This Row],[CDPS A 31 JULIO 2022]]-Tabla16[[#This Row],[CDP]]</f>
        <v>0</v>
      </c>
      <c r="U296" s="1357">
        <v>36850000</v>
      </c>
      <c r="V296" s="1357">
        <v>13846667</v>
      </c>
      <c r="W296" s="1357"/>
      <c r="X296" s="1207"/>
      <c r="Y296" s="1207"/>
      <c r="Z296" s="1207"/>
      <c r="AA296" s="1207"/>
      <c r="AB296" s="1207"/>
      <c r="AC296" s="1207"/>
      <c r="AD296" s="1207"/>
      <c r="AE296" s="1207"/>
      <c r="AF296" s="1207"/>
      <c r="AG296" s="1207"/>
      <c r="AH296" s="1207"/>
      <c r="AI296" s="1207"/>
      <c r="AJ296" s="1207"/>
      <c r="AK296" s="1207"/>
      <c r="AL296" s="1207"/>
      <c r="AM296" s="1207"/>
      <c r="AN296" s="1207"/>
      <c r="AO296" s="1207"/>
      <c r="AP296" s="1207"/>
      <c r="AQ296" s="1207"/>
      <c r="AR296" s="1207"/>
      <c r="AS296" s="1207"/>
      <c r="AT296" s="1207"/>
      <c r="AU296" s="1207"/>
      <c r="AV296" s="1207"/>
      <c r="AW296" s="1207"/>
      <c r="AX296" s="1207"/>
      <c r="AY296" s="1207"/>
      <c r="AZ296" s="1207"/>
      <c r="BA296" s="1207"/>
      <c r="BB296" s="1207"/>
      <c r="BC296" s="1207"/>
      <c r="BD296" s="1207"/>
      <c r="BE296" s="1207"/>
      <c r="BF296" s="1207"/>
      <c r="BG296" s="1207"/>
      <c r="BH296" s="1207"/>
      <c r="BI296" s="1207"/>
      <c r="BJ296" s="1207"/>
      <c r="BK296" s="1207"/>
      <c r="BL296" s="1207"/>
      <c r="BM296" s="1207"/>
      <c r="BN296" s="1207"/>
      <c r="BO296" s="1207"/>
      <c r="BP296" s="1207"/>
      <c r="BQ296" s="1207"/>
      <c r="BR296" s="1207"/>
      <c r="BS296" s="1207"/>
      <c r="BT296" s="1207"/>
      <c r="BU296" s="1207"/>
      <c r="BV296" s="1207"/>
      <c r="BW296" s="1207"/>
      <c r="BX296" s="1207"/>
      <c r="BY296" s="1207"/>
      <c r="BZ296" s="1207"/>
      <c r="CA296" s="1207"/>
      <c r="CB296" s="1207"/>
      <c r="CC296" s="1207"/>
      <c r="CD296" s="1207"/>
      <c r="CE296" s="1207"/>
      <c r="CF296" s="1207"/>
    </row>
    <row r="297" spans="1:84" ht="90" x14ac:dyDescent="0.25">
      <c r="A297" s="1355">
        <v>2022315</v>
      </c>
      <c r="B297" s="1172">
        <v>7658</v>
      </c>
      <c r="C297" s="1356" t="s">
        <v>679</v>
      </c>
      <c r="D297" s="1190" t="s">
        <v>695</v>
      </c>
      <c r="E297" s="1174">
        <v>80111600</v>
      </c>
      <c r="F297" s="1380" t="s">
        <v>983</v>
      </c>
      <c r="G297" s="1381">
        <v>44562</v>
      </c>
      <c r="H297" s="1381">
        <v>44592</v>
      </c>
      <c r="I297" s="1176">
        <v>11</v>
      </c>
      <c r="J297" s="1176" t="s">
        <v>673</v>
      </c>
      <c r="K297" s="1177" t="s">
        <v>674</v>
      </c>
      <c r="L297" s="1178" t="s">
        <v>675</v>
      </c>
      <c r="M297" s="1179">
        <f>47817000-16953300-434700</f>
        <v>30429000</v>
      </c>
      <c r="N297" s="1382" t="s">
        <v>765</v>
      </c>
      <c r="O297" s="1174" t="s">
        <v>764</v>
      </c>
      <c r="P297" s="1207" t="s">
        <v>678</v>
      </c>
      <c r="Q297" s="1163"/>
      <c r="R297" s="1357">
        <v>30429000</v>
      </c>
      <c r="S297" s="1357">
        <v>30429000</v>
      </c>
      <c r="T297" s="1357">
        <f>+Tabla16[[#This Row],[CDPS A 31 JULIO 2022]]-Tabla16[[#This Row],[CDP]]</f>
        <v>0</v>
      </c>
      <c r="U297" s="1357">
        <v>30429000</v>
      </c>
      <c r="V297" s="1357">
        <v>18981900</v>
      </c>
      <c r="W297" s="1357"/>
      <c r="X297" s="1207"/>
      <c r="Y297" s="1207"/>
      <c r="Z297" s="1207"/>
      <c r="AA297" s="1207"/>
      <c r="AB297" s="1207"/>
      <c r="AC297" s="1207"/>
      <c r="AD297" s="1207"/>
      <c r="AE297" s="1207"/>
      <c r="AF297" s="1207"/>
      <c r="AG297" s="1207"/>
      <c r="AH297" s="1207"/>
      <c r="AI297" s="1207"/>
      <c r="AJ297" s="1207"/>
      <c r="AK297" s="1207"/>
      <c r="AL297" s="1207"/>
      <c r="AM297" s="1207"/>
      <c r="AN297" s="1207"/>
      <c r="AO297" s="1207"/>
      <c r="AP297" s="1207"/>
      <c r="AQ297" s="1207"/>
      <c r="AR297" s="1207"/>
      <c r="AS297" s="1207"/>
      <c r="AT297" s="1207"/>
      <c r="AU297" s="1207"/>
      <c r="AV297" s="1207"/>
      <c r="AW297" s="1207"/>
      <c r="AX297" s="1207"/>
      <c r="AY297" s="1207"/>
      <c r="AZ297" s="1207"/>
      <c r="BA297" s="1207"/>
      <c r="BB297" s="1207"/>
      <c r="BC297" s="1207"/>
      <c r="BD297" s="1207"/>
      <c r="BE297" s="1207"/>
      <c r="BF297" s="1207"/>
      <c r="BG297" s="1207"/>
      <c r="BH297" s="1207"/>
      <c r="BI297" s="1207"/>
      <c r="BJ297" s="1207"/>
      <c r="BK297" s="1207"/>
      <c r="BL297" s="1207"/>
      <c r="BM297" s="1207"/>
      <c r="BN297" s="1207"/>
      <c r="BO297" s="1207"/>
      <c r="BP297" s="1207"/>
      <c r="BQ297" s="1207"/>
      <c r="BR297" s="1207"/>
      <c r="BS297" s="1207"/>
      <c r="BT297" s="1207"/>
      <c r="BU297" s="1207"/>
      <c r="BV297" s="1207"/>
      <c r="BW297" s="1207"/>
      <c r="BX297" s="1207"/>
      <c r="BY297" s="1207"/>
      <c r="BZ297" s="1207"/>
      <c r="CA297" s="1207"/>
      <c r="CB297" s="1207"/>
      <c r="CC297" s="1207"/>
      <c r="CD297" s="1207"/>
      <c r="CE297" s="1207"/>
      <c r="CF297" s="1207"/>
    </row>
    <row r="298" spans="1:84" ht="90" x14ac:dyDescent="0.25">
      <c r="A298" s="1355">
        <v>2022316</v>
      </c>
      <c r="B298" s="1172">
        <v>7658</v>
      </c>
      <c r="C298" s="1356" t="s">
        <v>679</v>
      </c>
      <c r="D298" s="1190" t="s">
        <v>695</v>
      </c>
      <c r="E298" s="1174">
        <v>80111600</v>
      </c>
      <c r="F298" s="1380" t="s">
        <v>984</v>
      </c>
      <c r="G298" s="1381">
        <v>44562</v>
      </c>
      <c r="H298" s="1381">
        <v>44592</v>
      </c>
      <c r="I298" s="1176">
        <v>11</v>
      </c>
      <c r="J298" s="1176" t="s">
        <v>673</v>
      </c>
      <c r="K298" s="1177" t="s">
        <v>674</v>
      </c>
      <c r="L298" s="1178" t="s">
        <v>675</v>
      </c>
      <c r="M298" s="1179">
        <v>59202000</v>
      </c>
      <c r="N298" s="1382" t="s">
        <v>765</v>
      </c>
      <c r="O298" s="1174" t="s">
        <v>764</v>
      </c>
      <c r="P298" s="1207" t="s">
        <v>678</v>
      </c>
      <c r="Q298" s="1163"/>
      <c r="R298" s="1357">
        <v>59202000</v>
      </c>
      <c r="S298" s="1357">
        <v>59202000</v>
      </c>
      <c r="T298" s="1357">
        <f>+Tabla16[[#This Row],[CDPS A 31 JULIO 2022]]-Tabla16[[#This Row],[CDP]]</f>
        <v>0</v>
      </c>
      <c r="U298" s="1357">
        <v>59202000</v>
      </c>
      <c r="V298" s="1357">
        <v>21528000</v>
      </c>
      <c r="W298" s="1357"/>
      <c r="X298" s="1207"/>
      <c r="Y298" s="1207"/>
      <c r="Z298" s="1207"/>
      <c r="AA298" s="1207"/>
      <c r="AB298" s="1207"/>
      <c r="AC298" s="1207"/>
      <c r="AD298" s="1207"/>
      <c r="AE298" s="1207"/>
      <c r="AF298" s="1207"/>
      <c r="AG298" s="1207"/>
      <c r="AH298" s="1207"/>
      <c r="AI298" s="1207"/>
      <c r="AJ298" s="1207"/>
      <c r="AK298" s="1207"/>
      <c r="AL298" s="1207"/>
      <c r="AM298" s="1207"/>
      <c r="AN298" s="1207"/>
      <c r="AO298" s="1207"/>
      <c r="AP298" s="1207"/>
      <c r="AQ298" s="1207"/>
      <c r="AR298" s="1207"/>
      <c r="AS298" s="1207"/>
      <c r="AT298" s="1207"/>
      <c r="AU298" s="1207"/>
      <c r="AV298" s="1207"/>
      <c r="AW298" s="1207"/>
      <c r="AX298" s="1207"/>
      <c r="AY298" s="1207"/>
      <c r="AZ298" s="1207"/>
      <c r="BA298" s="1207"/>
      <c r="BB298" s="1207"/>
      <c r="BC298" s="1207"/>
      <c r="BD298" s="1207"/>
      <c r="BE298" s="1207"/>
      <c r="BF298" s="1207"/>
      <c r="BG298" s="1207"/>
      <c r="BH298" s="1207"/>
      <c r="BI298" s="1207"/>
      <c r="BJ298" s="1207"/>
      <c r="BK298" s="1207"/>
      <c r="BL298" s="1207"/>
      <c r="BM298" s="1207"/>
      <c r="BN298" s="1207"/>
      <c r="BO298" s="1207"/>
      <c r="BP298" s="1207"/>
      <c r="BQ298" s="1207"/>
      <c r="BR298" s="1207"/>
      <c r="BS298" s="1207"/>
      <c r="BT298" s="1207"/>
      <c r="BU298" s="1207"/>
      <c r="BV298" s="1207"/>
      <c r="BW298" s="1207"/>
      <c r="BX298" s="1207"/>
      <c r="BY298" s="1207"/>
      <c r="BZ298" s="1207"/>
      <c r="CA298" s="1207"/>
      <c r="CB298" s="1207"/>
      <c r="CC298" s="1207"/>
      <c r="CD298" s="1207"/>
      <c r="CE298" s="1207"/>
      <c r="CF298" s="1207"/>
    </row>
    <row r="299" spans="1:84" ht="90" x14ac:dyDescent="0.25">
      <c r="A299" s="1355">
        <v>2022317</v>
      </c>
      <c r="B299" s="1172">
        <v>7658</v>
      </c>
      <c r="C299" s="1356" t="s">
        <v>679</v>
      </c>
      <c r="D299" s="1190" t="s">
        <v>695</v>
      </c>
      <c r="E299" s="1174">
        <v>80111600</v>
      </c>
      <c r="F299" s="1380" t="s">
        <v>985</v>
      </c>
      <c r="G299" s="1381">
        <v>44562</v>
      </c>
      <c r="H299" s="1381">
        <v>44592</v>
      </c>
      <c r="I299" s="1176">
        <v>11</v>
      </c>
      <c r="J299" s="1176" t="s">
        <v>673</v>
      </c>
      <c r="K299" s="1177" t="s">
        <v>674</v>
      </c>
      <c r="L299" s="1178" t="s">
        <v>675</v>
      </c>
      <c r="M299" s="1179">
        <f>31880000-3985000</f>
        <v>27895000</v>
      </c>
      <c r="N299" s="1382" t="s">
        <v>765</v>
      </c>
      <c r="O299" s="1174" t="s">
        <v>764</v>
      </c>
      <c r="P299" s="1207" t="s">
        <v>678</v>
      </c>
      <c r="Q299" s="1163"/>
      <c r="R299" s="1357">
        <v>27895000</v>
      </c>
      <c r="S299" s="1357">
        <v>27895000</v>
      </c>
      <c r="T299" s="1357">
        <f>+Tabla16[[#This Row],[CDPS A 31 JULIO 2022]]-Tabla16[[#This Row],[CDP]]</f>
        <v>0</v>
      </c>
      <c r="U299" s="1357">
        <v>27895000</v>
      </c>
      <c r="V299" s="1357"/>
      <c r="W299" s="1357"/>
      <c r="X299" s="1207"/>
      <c r="Y299" s="1207"/>
      <c r="Z299" s="1207"/>
      <c r="AA299" s="1207"/>
      <c r="AB299" s="1207"/>
      <c r="AC299" s="1207"/>
      <c r="AD299" s="1207"/>
      <c r="AE299" s="1207"/>
      <c r="AF299" s="1207"/>
      <c r="AG299" s="1207"/>
      <c r="AH299" s="1207"/>
      <c r="AI299" s="1207"/>
      <c r="AJ299" s="1207"/>
      <c r="AK299" s="1207"/>
      <c r="AL299" s="1207"/>
      <c r="AM299" s="1207"/>
      <c r="AN299" s="1207"/>
      <c r="AO299" s="1207"/>
      <c r="AP299" s="1207"/>
      <c r="AQ299" s="1207"/>
      <c r="AR299" s="1207"/>
      <c r="AS299" s="1207"/>
      <c r="AT299" s="1207"/>
      <c r="AU299" s="1207"/>
      <c r="AV299" s="1207"/>
      <c r="AW299" s="1207"/>
      <c r="AX299" s="1207"/>
      <c r="AY299" s="1207"/>
      <c r="AZ299" s="1207"/>
      <c r="BA299" s="1207"/>
      <c r="BB299" s="1207"/>
      <c r="BC299" s="1207"/>
      <c r="BD299" s="1207"/>
      <c r="BE299" s="1207"/>
      <c r="BF299" s="1207"/>
      <c r="BG299" s="1207"/>
      <c r="BH299" s="1207"/>
      <c r="BI299" s="1207"/>
      <c r="BJ299" s="1207"/>
      <c r="BK299" s="1207"/>
      <c r="BL299" s="1207"/>
      <c r="BM299" s="1207"/>
      <c r="BN299" s="1207"/>
      <c r="BO299" s="1207"/>
      <c r="BP299" s="1207"/>
      <c r="BQ299" s="1207"/>
      <c r="BR299" s="1207"/>
      <c r="BS299" s="1207"/>
      <c r="BT299" s="1207"/>
      <c r="BU299" s="1207"/>
      <c r="BV299" s="1207"/>
      <c r="BW299" s="1207"/>
      <c r="BX299" s="1207"/>
      <c r="BY299" s="1207"/>
      <c r="BZ299" s="1207"/>
      <c r="CA299" s="1207"/>
      <c r="CB299" s="1207"/>
      <c r="CC299" s="1207"/>
      <c r="CD299" s="1207"/>
      <c r="CE299" s="1207"/>
      <c r="CF299" s="1207"/>
    </row>
    <row r="300" spans="1:84" ht="90" x14ac:dyDescent="0.25">
      <c r="A300" s="1355">
        <v>2022318</v>
      </c>
      <c r="B300" s="1172">
        <v>7658</v>
      </c>
      <c r="C300" s="1356" t="s">
        <v>679</v>
      </c>
      <c r="D300" s="1190" t="s">
        <v>695</v>
      </c>
      <c r="E300" s="1174">
        <v>80111600</v>
      </c>
      <c r="F300" s="1380" t="s">
        <v>986</v>
      </c>
      <c r="G300" s="1381">
        <v>44562</v>
      </c>
      <c r="H300" s="1381">
        <v>44592</v>
      </c>
      <c r="I300" s="1176">
        <v>11</v>
      </c>
      <c r="J300" s="1176" t="s">
        <v>673</v>
      </c>
      <c r="K300" s="1177" t="s">
        <v>674</v>
      </c>
      <c r="L300" s="1178" t="s">
        <v>675</v>
      </c>
      <c r="M300" s="1179">
        <v>16146000</v>
      </c>
      <c r="N300" s="1382" t="s">
        <v>765</v>
      </c>
      <c r="O300" s="1174" t="s">
        <v>764</v>
      </c>
      <c r="P300" s="1207" t="s">
        <v>678</v>
      </c>
      <c r="Q300" s="1163"/>
      <c r="R300" s="1357">
        <v>16146000</v>
      </c>
      <c r="S300" s="1357">
        <v>16146000</v>
      </c>
      <c r="T300" s="1357">
        <f>+Tabla16[[#This Row],[CDPS A 31 JULIO 2022]]-Tabla16[[#This Row],[CDP]]</f>
        <v>0</v>
      </c>
      <c r="U300" s="1357">
        <v>16146000</v>
      </c>
      <c r="V300" s="1357">
        <v>11391900</v>
      </c>
      <c r="W300" s="1357"/>
      <c r="X300" s="1207"/>
      <c r="Y300" s="1207"/>
      <c r="Z300" s="1207"/>
      <c r="AA300" s="1207"/>
      <c r="AB300" s="1207"/>
      <c r="AC300" s="1207"/>
      <c r="AD300" s="1207"/>
      <c r="AE300" s="1207"/>
      <c r="AF300" s="1207"/>
      <c r="AG300" s="1207"/>
      <c r="AH300" s="1207"/>
      <c r="AI300" s="1207"/>
      <c r="AJ300" s="1207"/>
      <c r="AK300" s="1207"/>
      <c r="AL300" s="1207"/>
      <c r="AM300" s="1207"/>
      <c r="AN300" s="1207"/>
      <c r="AO300" s="1207"/>
      <c r="AP300" s="1207"/>
      <c r="AQ300" s="1207"/>
      <c r="AR300" s="1207"/>
      <c r="AS300" s="1207"/>
      <c r="AT300" s="1207"/>
      <c r="AU300" s="1207"/>
      <c r="AV300" s="1207"/>
      <c r="AW300" s="1207"/>
      <c r="AX300" s="1207"/>
      <c r="AY300" s="1207"/>
      <c r="AZ300" s="1207"/>
      <c r="BA300" s="1207"/>
      <c r="BB300" s="1207"/>
      <c r="BC300" s="1207"/>
      <c r="BD300" s="1207"/>
      <c r="BE300" s="1207"/>
      <c r="BF300" s="1207"/>
      <c r="BG300" s="1207"/>
      <c r="BH300" s="1207"/>
      <c r="BI300" s="1207"/>
      <c r="BJ300" s="1207"/>
      <c r="BK300" s="1207"/>
      <c r="BL300" s="1207"/>
      <c r="BM300" s="1207"/>
      <c r="BN300" s="1207"/>
      <c r="BO300" s="1207"/>
      <c r="BP300" s="1207"/>
      <c r="BQ300" s="1207"/>
      <c r="BR300" s="1207"/>
      <c r="BS300" s="1207"/>
      <c r="BT300" s="1207"/>
      <c r="BU300" s="1207"/>
      <c r="BV300" s="1207"/>
      <c r="BW300" s="1207"/>
      <c r="BX300" s="1207"/>
      <c r="BY300" s="1207"/>
      <c r="BZ300" s="1207"/>
      <c r="CA300" s="1207"/>
      <c r="CB300" s="1207"/>
      <c r="CC300" s="1207"/>
      <c r="CD300" s="1207"/>
      <c r="CE300" s="1207"/>
      <c r="CF300" s="1207"/>
    </row>
    <row r="301" spans="1:84" ht="90" x14ac:dyDescent="0.25">
      <c r="A301" s="1355">
        <v>2022319</v>
      </c>
      <c r="B301" s="1172">
        <v>7658</v>
      </c>
      <c r="C301" s="1356" t="s">
        <v>679</v>
      </c>
      <c r="D301" s="1190" t="s">
        <v>695</v>
      </c>
      <c r="E301" s="1174">
        <v>80111600</v>
      </c>
      <c r="F301" s="1380" t="s">
        <v>987</v>
      </c>
      <c r="G301" s="1381">
        <v>44562</v>
      </c>
      <c r="H301" s="1381">
        <v>44592</v>
      </c>
      <c r="I301" s="1176">
        <v>11</v>
      </c>
      <c r="J301" s="1176" t="s">
        <v>673</v>
      </c>
      <c r="K301" s="1177" t="s">
        <v>674</v>
      </c>
      <c r="L301" s="1178" t="s">
        <v>675</v>
      </c>
      <c r="M301" s="1179">
        <f>80300000-16146000-21528000-4422667</f>
        <v>38203333</v>
      </c>
      <c r="N301" s="1382" t="s">
        <v>765</v>
      </c>
      <c r="O301" s="1174" t="s">
        <v>764</v>
      </c>
      <c r="P301" s="1207" t="s">
        <v>678</v>
      </c>
      <c r="Q301" s="1163"/>
      <c r="R301" s="1357">
        <v>80300000</v>
      </c>
      <c r="S301" s="1357">
        <v>80300000</v>
      </c>
      <c r="T301" s="1357">
        <f>+Tabla16[[#This Row],[CDPS A 31 JULIO 2022]]-Tabla16[[#This Row],[CDP]]</f>
        <v>0</v>
      </c>
      <c r="U301" s="1357">
        <v>80300000</v>
      </c>
      <c r="V301" s="1357">
        <v>30903333</v>
      </c>
      <c r="W301" s="1357"/>
      <c r="X301" s="1207"/>
      <c r="Y301" s="1207"/>
      <c r="Z301" s="1207"/>
      <c r="AA301" s="1207"/>
      <c r="AB301" s="1207"/>
      <c r="AC301" s="1207"/>
      <c r="AD301" s="1207"/>
      <c r="AE301" s="1207"/>
      <c r="AF301" s="1207"/>
      <c r="AG301" s="1207"/>
      <c r="AH301" s="1207"/>
      <c r="AI301" s="1207"/>
      <c r="AJ301" s="1207"/>
      <c r="AK301" s="1207"/>
      <c r="AL301" s="1207"/>
      <c r="AM301" s="1207"/>
      <c r="AN301" s="1207"/>
      <c r="AO301" s="1207"/>
      <c r="AP301" s="1207"/>
      <c r="AQ301" s="1207"/>
      <c r="AR301" s="1207"/>
      <c r="AS301" s="1207"/>
      <c r="AT301" s="1207"/>
      <c r="AU301" s="1207"/>
      <c r="AV301" s="1207"/>
      <c r="AW301" s="1207"/>
      <c r="AX301" s="1207"/>
      <c r="AY301" s="1207"/>
      <c r="AZ301" s="1207"/>
      <c r="BA301" s="1207"/>
      <c r="BB301" s="1207"/>
      <c r="BC301" s="1207"/>
      <c r="BD301" s="1207"/>
      <c r="BE301" s="1207"/>
      <c r="BF301" s="1207"/>
      <c r="BG301" s="1207"/>
      <c r="BH301" s="1207"/>
      <c r="BI301" s="1207"/>
      <c r="BJ301" s="1207"/>
      <c r="BK301" s="1207"/>
      <c r="BL301" s="1207"/>
      <c r="BM301" s="1207"/>
      <c r="BN301" s="1207"/>
      <c r="BO301" s="1207"/>
      <c r="BP301" s="1207"/>
      <c r="BQ301" s="1207"/>
      <c r="BR301" s="1207"/>
      <c r="BS301" s="1207"/>
      <c r="BT301" s="1207"/>
      <c r="BU301" s="1207"/>
      <c r="BV301" s="1207"/>
      <c r="BW301" s="1207"/>
      <c r="BX301" s="1207"/>
      <c r="BY301" s="1207"/>
      <c r="BZ301" s="1207"/>
      <c r="CA301" s="1207"/>
      <c r="CB301" s="1207"/>
      <c r="CC301" s="1207"/>
      <c r="CD301" s="1207"/>
      <c r="CE301" s="1207"/>
      <c r="CF301" s="1207"/>
    </row>
    <row r="302" spans="1:84" ht="90" x14ac:dyDescent="0.25">
      <c r="A302" s="1355">
        <v>2022320</v>
      </c>
      <c r="B302" s="1172">
        <v>7658</v>
      </c>
      <c r="C302" s="1356" t="s">
        <v>679</v>
      </c>
      <c r="D302" s="1190" t="s">
        <v>695</v>
      </c>
      <c r="E302" s="1174">
        <v>80111600</v>
      </c>
      <c r="F302" s="1380" t="s">
        <v>988</v>
      </c>
      <c r="G302" s="1381">
        <v>44562</v>
      </c>
      <c r="H302" s="1381">
        <v>44592</v>
      </c>
      <c r="I302" s="1176">
        <v>11</v>
      </c>
      <c r="J302" s="1176" t="s">
        <v>673</v>
      </c>
      <c r="K302" s="1177" t="s">
        <v>674</v>
      </c>
      <c r="L302" s="1178" t="s">
        <v>675</v>
      </c>
      <c r="M302" s="1179">
        <f>56925000-20700000</f>
        <v>36225000</v>
      </c>
      <c r="N302" s="1382" t="s">
        <v>765</v>
      </c>
      <c r="O302" s="1174" t="s">
        <v>764</v>
      </c>
      <c r="P302" s="1207" t="s">
        <v>678</v>
      </c>
      <c r="Q302" s="1163"/>
      <c r="R302" s="1357">
        <v>36225000</v>
      </c>
      <c r="S302" s="1357">
        <v>36225000</v>
      </c>
      <c r="T302" s="1357">
        <f>+Tabla16[[#This Row],[CDPS A 31 JULIO 2022]]-Tabla16[[#This Row],[CDP]]</f>
        <v>0</v>
      </c>
      <c r="U302" s="1357">
        <v>36225000</v>
      </c>
      <c r="V302" s="1357">
        <v>22942500</v>
      </c>
      <c r="W302" s="1357"/>
      <c r="X302" s="1207"/>
      <c r="Y302" s="1207"/>
      <c r="Z302" s="1207"/>
      <c r="AA302" s="1207"/>
      <c r="AB302" s="1207"/>
      <c r="AC302" s="1207"/>
      <c r="AD302" s="1207"/>
      <c r="AE302" s="1207"/>
      <c r="AF302" s="1207"/>
      <c r="AG302" s="1207"/>
      <c r="AH302" s="1207"/>
      <c r="AI302" s="1207"/>
      <c r="AJ302" s="1207"/>
      <c r="AK302" s="1207"/>
      <c r="AL302" s="1207"/>
      <c r="AM302" s="1207"/>
      <c r="AN302" s="1207"/>
      <c r="AO302" s="1207"/>
      <c r="AP302" s="1207"/>
      <c r="AQ302" s="1207"/>
      <c r="AR302" s="1207"/>
      <c r="AS302" s="1207"/>
      <c r="AT302" s="1207"/>
      <c r="AU302" s="1207"/>
      <c r="AV302" s="1207"/>
      <c r="AW302" s="1207"/>
      <c r="AX302" s="1207"/>
      <c r="AY302" s="1207"/>
      <c r="AZ302" s="1207"/>
      <c r="BA302" s="1207"/>
      <c r="BB302" s="1207"/>
      <c r="BC302" s="1207"/>
      <c r="BD302" s="1207"/>
      <c r="BE302" s="1207"/>
      <c r="BF302" s="1207"/>
      <c r="BG302" s="1207"/>
      <c r="BH302" s="1207"/>
      <c r="BI302" s="1207"/>
      <c r="BJ302" s="1207"/>
      <c r="BK302" s="1207"/>
      <c r="BL302" s="1207"/>
      <c r="BM302" s="1207"/>
      <c r="BN302" s="1207"/>
      <c r="BO302" s="1207"/>
      <c r="BP302" s="1207"/>
      <c r="BQ302" s="1207"/>
      <c r="BR302" s="1207"/>
      <c r="BS302" s="1207"/>
      <c r="BT302" s="1207"/>
      <c r="BU302" s="1207"/>
      <c r="BV302" s="1207"/>
      <c r="BW302" s="1207"/>
      <c r="BX302" s="1207"/>
      <c r="BY302" s="1207"/>
      <c r="BZ302" s="1207"/>
      <c r="CA302" s="1207"/>
      <c r="CB302" s="1207"/>
      <c r="CC302" s="1207"/>
      <c r="CD302" s="1207"/>
      <c r="CE302" s="1207"/>
      <c r="CF302" s="1207"/>
    </row>
    <row r="303" spans="1:84" ht="90" x14ac:dyDescent="0.25">
      <c r="A303" s="1355">
        <v>2022321</v>
      </c>
      <c r="B303" s="1172">
        <v>7658</v>
      </c>
      <c r="C303" s="1356" t="s">
        <v>679</v>
      </c>
      <c r="D303" s="1190" t="s">
        <v>695</v>
      </c>
      <c r="E303" s="1174">
        <v>80111600</v>
      </c>
      <c r="F303" s="1380" t="s">
        <v>989</v>
      </c>
      <c r="G303" s="1381">
        <v>44562</v>
      </c>
      <c r="H303" s="1381">
        <v>44592</v>
      </c>
      <c r="I303" s="1176">
        <v>10</v>
      </c>
      <c r="J303" s="1176" t="s">
        <v>673</v>
      </c>
      <c r="K303" s="1177" t="s">
        <v>674</v>
      </c>
      <c r="L303" s="1178" t="s">
        <v>675</v>
      </c>
      <c r="M303" s="1179">
        <f>23100000-11550000</f>
        <v>11550000</v>
      </c>
      <c r="N303" s="1382" t="s">
        <v>765</v>
      </c>
      <c r="O303" s="1174" t="s">
        <v>764</v>
      </c>
      <c r="P303" s="1207" t="s">
        <v>678</v>
      </c>
      <c r="Q303" s="1163"/>
      <c r="R303" s="1357">
        <v>11550000</v>
      </c>
      <c r="S303" s="1357">
        <v>11550000</v>
      </c>
      <c r="T303" s="1357">
        <f>+Tabla16[[#This Row],[CDPS A 31 JULIO 2022]]-Tabla16[[#This Row],[CDP]]</f>
        <v>0</v>
      </c>
      <c r="U303" s="1357">
        <v>11550000</v>
      </c>
      <c r="V303" s="1357">
        <v>10780000</v>
      </c>
      <c r="W303" s="1357"/>
      <c r="X303" s="1207"/>
      <c r="Y303" s="1207"/>
      <c r="Z303" s="1207"/>
      <c r="AA303" s="1207"/>
      <c r="AB303" s="1207"/>
      <c r="AC303" s="1207"/>
      <c r="AD303" s="1207"/>
      <c r="AE303" s="1207"/>
      <c r="AF303" s="1207"/>
      <c r="AG303" s="1207"/>
      <c r="AH303" s="1207"/>
      <c r="AI303" s="1207"/>
      <c r="AJ303" s="1207"/>
      <c r="AK303" s="1207"/>
      <c r="AL303" s="1207"/>
      <c r="AM303" s="1207"/>
      <c r="AN303" s="1207"/>
      <c r="AO303" s="1207"/>
      <c r="AP303" s="1207"/>
      <c r="AQ303" s="1207"/>
      <c r="AR303" s="1207"/>
      <c r="AS303" s="1207"/>
      <c r="AT303" s="1207"/>
      <c r="AU303" s="1207"/>
      <c r="AV303" s="1207"/>
      <c r="AW303" s="1207"/>
      <c r="AX303" s="1207"/>
      <c r="AY303" s="1207"/>
      <c r="AZ303" s="1207"/>
      <c r="BA303" s="1207"/>
      <c r="BB303" s="1207"/>
      <c r="BC303" s="1207"/>
      <c r="BD303" s="1207"/>
      <c r="BE303" s="1207"/>
      <c r="BF303" s="1207"/>
      <c r="BG303" s="1207"/>
      <c r="BH303" s="1207"/>
      <c r="BI303" s="1207"/>
      <c r="BJ303" s="1207"/>
      <c r="BK303" s="1207"/>
      <c r="BL303" s="1207"/>
      <c r="BM303" s="1207"/>
      <c r="BN303" s="1207"/>
      <c r="BO303" s="1207"/>
      <c r="BP303" s="1207"/>
      <c r="BQ303" s="1207"/>
      <c r="BR303" s="1207"/>
      <c r="BS303" s="1207"/>
      <c r="BT303" s="1207"/>
      <c r="BU303" s="1207"/>
      <c r="BV303" s="1207"/>
      <c r="BW303" s="1207"/>
      <c r="BX303" s="1207"/>
      <c r="BY303" s="1207"/>
      <c r="BZ303" s="1207"/>
      <c r="CA303" s="1207"/>
      <c r="CB303" s="1207"/>
      <c r="CC303" s="1207"/>
      <c r="CD303" s="1207"/>
      <c r="CE303" s="1207"/>
      <c r="CF303" s="1207"/>
    </row>
    <row r="304" spans="1:84" ht="90" x14ac:dyDescent="0.25">
      <c r="A304" s="1355">
        <v>2022322</v>
      </c>
      <c r="B304" s="1172">
        <v>7658</v>
      </c>
      <c r="C304" s="1356" t="s">
        <v>679</v>
      </c>
      <c r="D304" s="1190" t="s">
        <v>695</v>
      </c>
      <c r="E304" s="1174">
        <v>80111600</v>
      </c>
      <c r="F304" s="1380" t="s">
        <v>990</v>
      </c>
      <c r="G304" s="1381">
        <v>44562</v>
      </c>
      <c r="H304" s="1381">
        <v>44592</v>
      </c>
      <c r="I304" s="1176">
        <v>4</v>
      </c>
      <c r="J304" s="1176" t="s">
        <v>673</v>
      </c>
      <c r="K304" s="1177" t="s">
        <v>674</v>
      </c>
      <c r="L304" s="1178" t="s">
        <v>675</v>
      </c>
      <c r="M304" s="1179">
        <v>26950000</v>
      </c>
      <c r="N304" s="1382" t="s">
        <v>765</v>
      </c>
      <c r="O304" s="1174" t="s">
        <v>764</v>
      </c>
      <c r="P304" s="1207" t="s">
        <v>678</v>
      </c>
      <c r="Q304" s="1163"/>
      <c r="R304" s="1357">
        <v>26950000</v>
      </c>
      <c r="S304" s="1357">
        <v>26950000</v>
      </c>
      <c r="T304" s="1357">
        <f>+Tabla16[[#This Row],[CDPS A 31 JULIO 2022]]-Tabla16[[#This Row],[CDP]]</f>
        <v>0</v>
      </c>
      <c r="U304" s="1357">
        <v>26950000</v>
      </c>
      <c r="V304" s="1357">
        <v>15400000</v>
      </c>
      <c r="W304" s="1357"/>
      <c r="X304" s="1207"/>
      <c r="Y304" s="1207"/>
      <c r="Z304" s="1207"/>
      <c r="AA304" s="1207"/>
      <c r="AB304" s="1207"/>
      <c r="AC304" s="1207"/>
      <c r="AD304" s="1207"/>
      <c r="AE304" s="1207"/>
      <c r="AF304" s="1207"/>
      <c r="AG304" s="1207"/>
      <c r="AH304" s="1207"/>
      <c r="AI304" s="1207"/>
      <c r="AJ304" s="1207"/>
      <c r="AK304" s="1207"/>
      <c r="AL304" s="1207"/>
      <c r="AM304" s="1207"/>
      <c r="AN304" s="1207"/>
      <c r="AO304" s="1207"/>
      <c r="AP304" s="1207"/>
      <c r="AQ304" s="1207"/>
      <c r="AR304" s="1207"/>
      <c r="AS304" s="1207"/>
      <c r="AT304" s="1207"/>
      <c r="AU304" s="1207"/>
      <c r="AV304" s="1207"/>
      <c r="AW304" s="1207"/>
      <c r="AX304" s="1207"/>
      <c r="AY304" s="1207"/>
      <c r="AZ304" s="1207"/>
      <c r="BA304" s="1207"/>
      <c r="BB304" s="1207"/>
      <c r="BC304" s="1207"/>
      <c r="BD304" s="1207"/>
      <c r="BE304" s="1207"/>
      <c r="BF304" s="1207"/>
      <c r="BG304" s="1207"/>
      <c r="BH304" s="1207"/>
      <c r="BI304" s="1207"/>
      <c r="BJ304" s="1207"/>
      <c r="BK304" s="1207"/>
      <c r="BL304" s="1207"/>
      <c r="BM304" s="1207"/>
      <c r="BN304" s="1207"/>
      <c r="BO304" s="1207"/>
      <c r="BP304" s="1207"/>
      <c r="BQ304" s="1207"/>
      <c r="BR304" s="1207"/>
      <c r="BS304" s="1207"/>
      <c r="BT304" s="1207"/>
      <c r="BU304" s="1207"/>
      <c r="BV304" s="1207"/>
      <c r="BW304" s="1207"/>
      <c r="BX304" s="1207"/>
      <c r="BY304" s="1207"/>
      <c r="BZ304" s="1207"/>
      <c r="CA304" s="1207"/>
      <c r="CB304" s="1207"/>
      <c r="CC304" s="1207"/>
      <c r="CD304" s="1207"/>
      <c r="CE304" s="1207"/>
      <c r="CF304" s="1207"/>
    </row>
    <row r="305" spans="1:84" ht="90" x14ac:dyDescent="0.25">
      <c r="A305" s="1355">
        <v>2022323</v>
      </c>
      <c r="B305" s="1172">
        <v>7658</v>
      </c>
      <c r="C305" s="1356" t="s">
        <v>679</v>
      </c>
      <c r="D305" s="1190" t="s">
        <v>695</v>
      </c>
      <c r="E305" s="1174">
        <v>80111600</v>
      </c>
      <c r="F305" s="1380" t="s">
        <v>991</v>
      </c>
      <c r="G305" s="1381">
        <v>44562</v>
      </c>
      <c r="H305" s="1381">
        <v>44592</v>
      </c>
      <c r="I305" s="1176">
        <v>11</v>
      </c>
      <c r="J305" s="1176" t="s">
        <v>673</v>
      </c>
      <c r="K305" s="1177" t="s">
        <v>674</v>
      </c>
      <c r="L305" s="1178" t="s">
        <v>675</v>
      </c>
      <c r="M305" s="1179">
        <f>47817000-13041000</f>
        <v>34776000</v>
      </c>
      <c r="N305" s="1382" t="s">
        <v>765</v>
      </c>
      <c r="O305" s="1174" t="s">
        <v>764</v>
      </c>
      <c r="P305" s="1207" t="s">
        <v>678</v>
      </c>
      <c r="Q305" s="1163"/>
      <c r="R305" s="1357">
        <v>34776000</v>
      </c>
      <c r="S305" s="1357">
        <v>34776000</v>
      </c>
      <c r="T305" s="1357">
        <f>+Tabla16[[#This Row],[CDPS A 31 JULIO 2022]]-Tabla16[[#This Row],[CDP]]</f>
        <v>0</v>
      </c>
      <c r="U305" s="1357">
        <v>34776000</v>
      </c>
      <c r="V305" s="1357">
        <v>18402300</v>
      </c>
      <c r="W305" s="1357"/>
      <c r="X305" s="1207"/>
      <c r="Y305" s="1207"/>
      <c r="Z305" s="1207"/>
      <c r="AA305" s="1207"/>
      <c r="AB305" s="1207"/>
      <c r="AC305" s="1207"/>
      <c r="AD305" s="1207"/>
      <c r="AE305" s="1207"/>
      <c r="AF305" s="1207"/>
      <c r="AG305" s="1207"/>
      <c r="AH305" s="1207"/>
      <c r="AI305" s="1207"/>
      <c r="AJ305" s="1207"/>
      <c r="AK305" s="1207"/>
      <c r="AL305" s="1207"/>
      <c r="AM305" s="1207"/>
      <c r="AN305" s="1207"/>
      <c r="AO305" s="1207"/>
      <c r="AP305" s="1207"/>
      <c r="AQ305" s="1207"/>
      <c r="AR305" s="1207"/>
      <c r="AS305" s="1207"/>
      <c r="AT305" s="1207"/>
      <c r="AU305" s="1207"/>
      <c r="AV305" s="1207"/>
      <c r="AW305" s="1207"/>
      <c r="AX305" s="1207"/>
      <c r="AY305" s="1207"/>
      <c r="AZ305" s="1207"/>
      <c r="BA305" s="1207"/>
      <c r="BB305" s="1207"/>
      <c r="BC305" s="1207"/>
      <c r="BD305" s="1207"/>
      <c r="BE305" s="1207"/>
      <c r="BF305" s="1207"/>
      <c r="BG305" s="1207"/>
      <c r="BH305" s="1207"/>
      <c r="BI305" s="1207"/>
      <c r="BJ305" s="1207"/>
      <c r="BK305" s="1207"/>
      <c r="BL305" s="1207"/>
      <c r="BM305" s="1207"/>
      <c r="BN305" s="1207"/>
      <c r="BO305" s="1207"/>
      <c r="BP305" s="1207"/>
      <c r="BQ305" s="1207"/>
      <c r="BR305" s="1207"/>
      <c r="BS305" s="1207"/>
      <c r="BT305" s="1207"/>
      <c r="BU305" s="1207"/>
      <c r="BV305" s="1207"/>
      <c r="BW305" s="1207"/>
      <c r="BX305" s="1207"/>
      <c r="BY305" s="1207"/>
      <c r="BZ305" s="1207"/>
      <c r="CA305" s="1207"/>
      <c r="CB305" s="1207"/>
      <c r="CC305" s="1207"/>
      <c r="CD305" s="1207"/>
      <c r="CE305" s="1207"/>
      <c r="CF305" s="1207"/>
    </row>
    <row r="306" spans="1:84" ht="225" x14ac:dyDescent="0.25">
      <c r="A306" s="1355">
        <v>2022324</v>
      </c>
      <c r="B306" s="1172">
        <v>7658</v>
      </c>
      <c r="C306" s="1356" t="s">
        <v>679</v>
      </c>
      <c r="D306" s="1190" t="s">
        <v>695</v>
      </c>
      <c r="E306" s="1174" t="s">
        <v>992</v>
      </c>
      <c r="F306" s="1380" t="s">
        <v>993</v>
      </c>
      <c r="G306" s="1381">
        <v>44711</v>
      </c>
      <c r="H306" s="1381">
        <v>44728</v>
      </c>
      <c r="I306" s="1176">
        <v>6</v>
      </c>
      <c r="J306" s="1176" t="s">
        <v>645</v>
      </c>
      <c r="K306" s="1177" t="s">
        <v>770</v>
      </c>
      <c r="L306" s="1178" t="s">
        <v>994</v>
      </c>
      <c r="M306" s="1179">
        <f>200000000+65961254</f>
        <v>265961254</v>
      </c>
      <c r="N306" s="1382" t="s">
        <v>765</v>
      </c>
      <c r="O306" s="1174" t="s">
        <v>764</v>
      </c>
      <c r="P306" s="1207" t="s">
        <v>678</v>
      </c>
      <c r="Q306" s="1163"/>
      <c r="R306" s="1357">
        <v>265961254</v>
      </c>
      <c r="S306" s="1357">
        <v>265961254</v>
      </c>
      <c r="T306" s="1357">
        <f>+Tabla16[[#This Row],[CDPS A 31 JULIO 2022]]-Tabla16[[#This Row],[CDP]]</f>
        <v>0</v>
      </c>
      <c r="U306" s="1357"/>
      <c r="V306" s="1357"/>
      <c r="W306" s="1357"/>
      <c r="X306" s="1207"/>
      <c r="Y306" s="1207"/>
      <c r="Z306" s="1207"/>
      <c r="AA306" s="1207"/>
      <c r="AB306" s="1207"/>
      <c r="AC306" s="1207"/>
      <c r="AD306" s="1207"/>
      <c r="AE306" s="1207"/>
      <c r="AF306" s="1207"/>
      <c r="AG306" s="1207"/>
      <c r="AH306" s="1207"/>
      <c r="AI306" s="1207"/>
      <c r="AJ306" s="1207"/>
      <c r="AK306" s="1207"/>
      <c r="AL306" s="1207"/>
      <c r="AM306" s="1207"/>
      <c r="AN306" s="1207"/>
      <c r="AO306" s="1207"/>
      <c r="AP306" s="1207"/>
      <c r="AQ306" s="1207"/>
      <c r="AR306" s="1207"/>
      <c r="AS306" s="1207"/>
      <c r="AT306" s="1207"/>
      <c r="AU306" s="1207"/>
      <c r="AV306" s="1207"/>
      <c r="AW306" s="1207"/>
      <c r="AX306" s="1207"/>
      <c r="AY306" s="1207"/>
      <c r="AZ306" s="1207"/>
      <c r="BA306" s="1207"/>
      <c r="BB306" s="1207"/>
      <c r="BC306" s="1207"/>
      <c r="BD306" s="1207"/>
      <c r="BE306" s="1207"/>
      <c r="BF306" s="1207"/>
      <c r="BG306" s="1207"/>
      <c r="BH306" s="1207"/>
      <c r="BI306" s="1207"/>
      <c r="BJ306" s="1207"/>
      <c r="BK306" s="1207"/>
      <c r="BL306" s="1207"/>
      <c r="BM306" s="1207"/>
      <c r="BN306" s="1207"/>
      <c r="BO306" s="1207"/>
      <c r="BP306" s="1207"/>
      <c r="BQ306" s="1207"/>
      <c r="BR306" s="1207"/>
      <c r="BS306" s="1207"/>
      <c r="BT306" s="1207"/>
      <c r="BU306" s="1207"/>
      <c r="BV306" s="1207"/>
      <c r="BW306" s="1207"/>
      <c r="BX306" s="1207"/>
      <c r="BY306" s="1207"/>
      <c r="BZ306" s="1207"/>
      <c r="CA306" s="1207"/>
      <c r="CB306" s="1207"/>
      <c r="CC306" s="1207"/>
      <c r="CD306" s="1207"/>
      <c r="CE306" s="1207"/>
      <c r="CF306" s="1207"/>
    </row>
    <row r="307" spans="1:84" ht="105" x14ac:dyDescent="0.25">
      <c r="A307" s="1400">
        <v>2022325</v>
      </c>
      <c r="B307" s="1401">
        <v>7658</v>
      </c>
      <c r="C307" s="1402" t="s">
        <v>679</v>
      </c>
      <c r="D307" s="1403" t="s">
        <v>695</v>
      </c>
      <c r="E307" s="1404" t="s">
        <v>995</v>
      </c>
      <c r="F307" s="1404" t="s">
        <v>996</v>
      </c>
      <c r="G307" s="1406">
        <v>44682</v>
      </c>
      <c r="H307" s="1406">
        <v>44712</v>
      </c>
      <c r="I307" s="1407">
        <v>6</v>
      </c>
      <c r="J307" s="1407" t="s">
        <v>645</v>
      </c>
      <c r="K307" s="1408" t="s">
        <v>674</v>
      </c>
      <c r="L307" s="1409" t="s">
        <v>675</v>
      </c>
      <c r="M307" s="1410">
        <f>770904000-1836467-11482000-10200000-13500000-120970064-200000000-50955469</f>
        <v>361960000</v>
      </c>
      <c r="N307" s="1411" t="s">
        <v>765</v>
      </c>
      <c r="O307" s="1404" t="s">
        <v>764</v>
      </c>
      <c r="P307" s="1412" t="s">
        <v>678</v>
      </c>
      <c r="Q307" s="1163"/>
      <c r="R307" s="1357">
        <v>770904000</v>
      </c>
      <c r="S307" s="1357">
        <v>770904000</v>
      </c>
      <c r="T307" s="1357">
        <f>+Tabla16[[#This Row],[CDPS A 31 JULIO 2022]]-Tabla16[[#This Row],[CDP]]</f>
        <v>0</v>
      </c>
      <c r="U307" s="1357"/>
      <c r="V307" s="1357"/>
      <c r="W307" s="1357"/>
      <c r="X307" s="1207"/>
      <c r="Y307" s="1207"/>
      <c r="Z307" s="1207"/>
      <c r="AA307" s="1207"/>
      <c r="AB307" s="1207"/>
      <c r="AC307" s="1207"/>
      <c r="AD307" s="1207"/>
      <c r="AE307" s="1207"/>
      <c r="AF307" s="1207"/>
      <c r="AG307" s="1207"/>
      <c r="AH307" s="1207"/>
      <c r="AI307" s="1207"/>
      <c r="AJ307" s="1207"/>
      <c r="AK307" s="1207"/>
      <c r="AL307" s="1207"/>
      <c r="AM307" s="1207"/>
      <c r="AN307" s="1207"/>
      <c r="AO307" s="1207"/>
      <c r="AP307" s="1207"/>
      <c r="AQ307" s="1207"/>
      <c r="AR307" s="1207"/>
      <c r="AS307" s="1207"/>
      <c r="AT307" s="1207"/>
      <c r="AU307" s="1207"/>
      <c r="AV307" s="1207"/>
      <c r="AW307" s="1207"/>
      <c r="AX307" s="1207"/>
      <c r="AY307" s="1207"/>
      <c r="AZ307" s="1207"/>
      <c r="BA307" s="1207"/>
      <c r="BB307" s="1207"/>
      <c r="BC307" s="1207"/>
      <c r="BD307" s="1207"/>
      <c r="BE307" s="1207"/>
      <c r="BF307" s="1207"/>
      <c r="BG307" s="1207"/>
      <c r="BH307" s="1207"/>
      <c r="BI307" s="1207"/>
      <c r="BJ307" s="1207"/>
      <c r="BK307" s="1207"/>
      <c r="BL307" s="1207"/>
      <c r="BM307" s="1207"/>
      <c r="BN307" s="1207"/>
      <c r="BO307" s="1207"/>
      <c r="BP307" s="1207"/>
      <c r="BQ307" s="1207"/>
      <c r="BR307" s="1207"/>
      <c r="BS307" s="1207"/>
      <c r="BT307" s="1207"/>
      <c r="BU307" s="1207"/>
      <c r="BV307" s="1207"/>
      <c r="BW307" s="1207"/>
      <c r="BX307" s="1207"/>
      <c r="BY307" s="1207"/>
      <c r="BZ307" s="1207"/>
      <c r="CA307" s="1207"/>
      <c r="CB307" s="1207"/>
      <c r="CC307" s="1207"/>
      <c r="CD307" s="1207"/>
      <c r="CE307" s="1207"/>
      <c r="CF307" s="1207"/>
    </row>
    <row r="308" spans="1:84" ht="90" x14ac:dyDescent="0.25">
      <c r="A308" s="1400">
        <v>2022326</v>
      </c>
      <c r="B308" s="1401">
        <v>7658</v>
      </c>
      <c r="C308" s="1402" t="s">
        <v>679</v>
      </c>
      <c r="D308" s="1403" t="s">
        <v>695</v>
      </c>
      <c r="E308" s="1404" t="s">
        <v>997</v>
      </c>
      <c r="F308" s="1404" t="s">
        <v>998</v>
      </c>
      <c r="G308" s="1406">
        <v>44711</v>
      </c>
      <c r="H308" s="1406">
        <v>44728</v>
      </c>
      <c r="I308" s="1407">
        <v>6</v>
      </c>
      <c r="J308" s="1407" t="s">
        <v>645</v>
      </c>
      <c r="K308" s="1408" t="s">
        <v>770</v>
      </c>
      <c r="L308" s="1409" t="s">
        <v>994</v>
      </c>
      <c r="M308" s="1410">
        <f>1100000000-65961254-110000</f>
        <v>1033928746</v>
      </c>
      <c r="N308" s="1411" t="s">
        <v>765</v>
      </c>
      <c r="O308" s="1404" t="s">
        <v>764</v>
      </c>
      <c r="P308" s="1412" t="s">
        <v>678</v>
      </c>
      <c r="Q308" s="1163"/>
      <c r="R308" s="1357">
        <v>1034038746</v>
      </c>
      <c r="S308" s="1357">
        <v>1034038746</v>
      </c>
      <c r="T308" s="1357">
        <f>+Tabla16[[#This Row],[CDPS A 31 JULIO 2022]]-Tabla16[[#This Row],[CDP]]</f>
        <v>0</v>
      </c>
      <c r="U308" s="1357"/>
      <c r="V308" s="1357"/>
      <c r="W308" s="1357"/>
      <c r="X308" s="1207"/>
      <c r="Y308" s="1207"/>
      <c r="Z308" s="1207"/>
      <c r="AA308" s="1207"/>
      <c r="AB308" s="1207"/>
      <c r="AC308" s="1207"/>
      <c r="AD308" s="1207"/>
      <c r="AE308" s="1207"/>
      <c r="AF308" s="1207"/>
      <c r="AG308" s="1207"/>
      <c r="AH308" s="1207"/>
      <c r="AI308" s="1207"/>
      <c r="AJ308" s="1207"/>
      <c r="AK308" s="1207"/>
      <c r="AL308" s="1207"/>
      <c r="AM308" s="1207"/>
      <c r="AN308" s="1207"/>
      <c r="AO308" s="1207"/>
      <c r="AP308" s="1207"/>
      <c r="AQ308" s="1207"/>
      <c r="AR308" s="1207"/>
      <c r="AS308" s="1207"/>
      <c r="AT308" s="1207"/>
      <c r="AU308" s="1207"/>
      <c r="AV308" s="1207"/>
      <c r="AW308" s="1207"/>
      <c r="AX308" s="1207"/>
      <c r="AY308" s="1207"/>
      <c r="AZ308" s="1207"/>
      <c r="BA308" s="1207"/>
      <c r="BB308" s="1207"/>
      <c r="BC308" s="1207"/>
      <c r="BD308" s="1207"/>
      <c r="BE308" s="1207"/>
      <c r="BF308" s="1207"/>
      <c r="BG308" s="1207"/>
      <c r="BH308" s="1207"/>
      <c r="BI308" s="1207"/>
      <c r="BJ308" s="1207"/>
      <c r="BK308" s="1207"/>
      <c r="BL308" s="1207"/>
      <c r="BM308" s="1207"/>
      <c r="BN308" s="1207"/>
      <c r="BO308" s="1207"/>
      <c r="BP308" s="1207"/>
      <c r="BQ308" s="1207"/>
      <c r="BR308" s="1207"/>
      <c r="BS308" s="1207"/>
      <c r="BT308" s="1207"/>
      <c r="BU308" s="1207"/>
      <c r="BV308" s="1207"/>
      <c r="BW308" s="1207"/>
      <c r="BX308" s="1207"/>
      <c r="BY308" s="1207"/>
      <c r="BZ308" s="1207"/>
      <c r="CA308" s="1207"/>
      <c r="CB308" s="1207"/>
      <c r="CC308" s="1207"/>
      <c r="CD308" s="1207"/>
      <c r="CE308" s="1207"/>
      <c r="CF308" s="1207"/>
    </row>
    <row r="309" spans="1:84" ht="90" x14ac:dyDescent="0.25">
      <c r="A309" s="1355">
        <v>2022327</v>
      </c>
      <c r="B309" s="1172">
        <v>7658</v>
      </c>
      <c r="C309" s="1356" t="s">
        <v>679</v>
      </c>
      <c r="D309" s="1190" t="s">
        <v>695</v>
      </c>
      <c r="E309" s="1174">
        <v>90121800</v>
      </c>
      <c r="F309" s="1380" t="s">
        <v>999</v>
      </c>
      <c r="G309" s="1381">
        <v>44562</v>
      </c>
      <c r="H309" s="1381">
        <v>44592</v>
      </c>
      <c r="I309" s="1176">
        <v>12</v>
      </c>
      <c r="J309" s="1176" t="s">
        <v>97</v>
      </c>
      <c r="K309" s="1177" t="s">
        <v>674</v>
      </c>
      <c r="L309" s="1178" t="s">
        <v>675</v>
      </c>
      <c r="M309" s="1179">
        <f>40000000+10000000+10000000+54800000+15000000+75000000</f>
        <v>204800000</v>
      </c>
      <c r="N309" s="1382" t="s">
        <v>765</v>
      </c>
      <c r="O309" s="1174" t="s">
        <v>764</v>
      </c>
      <c r="P309" s="1207" t="s">
        <v>678</v>
      </c>
      <c r="Q309" s="1163"/>
      <c r="R309" s="1357">
        <v>190731814</v>
      </c>
      <c r="S309" s="1357">
        <v>40731814</v>
      </c>
      <c r="T309" s="1357">
        <f>+Tabla16[[#This Row],[CDPS A 31 JULIO 2022]]-Tabla16[[#This Row],[CDP]]</f>
        <v>150000000</v>
      </c>
      <c r="U309" s="1357">
        <v>27119209</v>
      </c>
      <c r="V309" s="1357">
        <v>27119209</v>
      </c>
      <c r="W309" s="1357"/>
      <c r="X309" s="1207"/>
      <c r="Y309" s="1207"/>
      <c r="Z309" s="1207"/>
      <c r="AA309" s="1207"/>
      <c r="AB309" s="1207"/>
      <c r="AC309" s="1207"/>
      <c r="AD309" s="1207"/>
      <c r="AE309" s="1207"/>
      <c r="AF309" s="1207"/>
      <c r="AG309" s="1207"/>
      <c r="AH309" s="1207"/>
      <c r="AI309" s="1207"/>
      <c r="AJ309" s="1207"/>
      <c r="AK309" s="1207"/>
      <c r="AL309" s="1207"/>
      <c r="AM309" s="1207"/>
      <c r="AN309" s="1207"/>
      <c r="AO309" s="1207"/>
      <c r="AP309" s="1207"/>
      <c r="AQ309" s="1207"/>
      <c r="AR309" s="1207"/>
      <c r="AS309" s="1207"/>
      <c r="AT309" s="1207"/>
      <c r="AU309" s="1207"/>
      <c r="AV309" s="1207"/>
      <c r="AW309" s="1207"/>
      <c r="AX309" s="1207"/>
      <c r="AY309" s="1207"/>
      <c r="AZ309" s="1207"/>
      <c r="BA309" s="1207"/>
      <c r="BB309" s="1207"/>
      <c r="BC309" s="1207"/>
      <c r="BD309" s="1207"/>
      <c r="BE309" s="1207"/>
      <c r="BF309" s="1207"/>
      <c r="BG309" s="1207"/>
      <c r="BH309" s="1207"/>
      <c r="BI309" s="1207"/>
      <c r="BJ309" s="1207"/>
      <c r="BK309" s="1207"/>
      <c r="BL309" s="1207"/>
      <c r="BM309" s="1207"/>
      <c r="BN309" s="1207"/>
      <c r="BO309" s="1207"/>
      <c r="BP309" s="1207"/>
      <c r="BQ309" s="1207"/>
      <c r="BR309" s="1207"/>
      <c r="BS309" s="1207"/>
      <c r="BT309" s="1207"/>
      <c r="BU309" s="1207"/>
      <c r="BV309" s="1207"/>
      <c r="BW309" s="1207"/>
      <c r="BX309" s="1207"/>
      <c r="BY309" s="1207"/>
      <c r="BZ309" s="1207"/>
      <c r="CA309" s="1207"/>
      <c r="CB309" s="1207"/>
      <c r="CC309" s="1207"/>
      <c r="CD309" s="1207"/>
      <c r="CE309" s="1207"/>
      <c r="CF309" s="1207"/>
    </row>
    <row r="310" spans="1:84" ht="90" x14ac:dyDescent="0.25">
      <c r="A310" s="1355">
        <v>2022328</v>
      </c>
      <c r="B310" s="1172">
        <v>7658</v>
      </c>
      <c r="C310" s="1356" t="s">
        <v>679</v>
      </c>
      <c r="D310" s="1190" t="s">
        <v>695</v>
      </c>
      <c r="E310" s="1174">
        <v>90121800</v>
      </c>
      <c r="F310" s="1380" t="s">
        <v>1000</v>
      </c>
      <c r="G310" s="1381">
        <v>44562</v>
      </c>
      <c r="H310" s="1381">
        <v>44592</v>
      </c>
      <c r="I310" s="1176">
        <v>12</v>
      </c>
      <c r="J310" s="1176" t="s">
        <v>97</v>
      </c>
      <c r="K310" s="1177" t="s">
        <v>674</v>
      </c>
      <c r="L310" s="1178" t="s">
        <v>675</v>
      </c>
      <c r="M310" s="1179">
        <v>80000000</v>
      </c>
      <c r="N310" s="1382" t="s">
        <v>765</v>
      </c>
      <c r="O310" s="1174" t="s">
        <v>764</v>
      </c>
      <c r="P310" s="1207" t="s">
        <v>678</v>
      </c>
      <c r="Q310" s="1163"/>
      <c r="R310" s="1357">
        <v>50000000</v>
      </c>
      <c r="S310" s="1357">
        <v>50000000</v>
      </c>
      <c r="T310" s="1357">
        <f>+Tabla16[[#This Row],[CDPS A 31 JULIO 2022]]-Tabla16[[#This Row],[CDP]]</f>
        <v>0</v>
      </c>
      <c r="U310" s="1357"/>
      <c r="V310" s="1357"/>
      <c r="W310" s="1357"/>
      <c r="X310" s="1207"/>
      <c r="Y310" s="1207"/>
      <c r="Z310" s="1207"/>
      <c r="AA310" s="1207"/>
      <c r="AB310" s="1207"/>
      <c r="AC310" s="1207"/>
      <c r="AD310" s="1207"/>
      <c r="AE310" s="1207"/>
      <c r="AF310" s="1207"/>
      <c r="AG310" s="1207"/>
      <c r="AH310" s="1207"/>
      <c r="AI310" s="1207"/>
      <c r="AJ310" s="1207"/>
      <c r="AK310" s="1207"/>
      <c r="AL310" s="1207"/>
      <c r="AM310" s="1207"/>
      <c r="AN310" s="1207"/>
      <c r="AO310" s="1207"/>
      <c r="AP310" s="1207"/>
      <c r="AQ310" s="1207"/>
      <c r="AR310" s="1207"/>
      <c r="AS310" s="1207"/>
      <c r="AT310" s="1207"/>
      <c r="AU310" s="1207"/>
      <c r="AV310" s="1207"/>
      <c r="AW310" s="1207"/>
      <c r="AX310" s="1207"/>
      <c r="AY310" s="1207"/>
      <c r="AZ310" s="1207"/>
      <c r="BA310" s="1207"/>
      <c r="BB310" s="1207"/>
      <c r="BC310" s="1207"/>
      <c r="BD310" s="1207"/>
      <c r="BE310" s="1207"/>
      <c r="BF310" s="1207"/>
      <c r="BG310" s="1207"/>
      <c r="BH310" s="1207"/>
      <c r="BI310" s="1207"/>
      <c r="BJ310" s="1207"/>
      <c r="BK310" s="1207"/>
      <c r="BL310" s="1207"/>
      <c r="BM310" s="1207"/>
      <c r="BN310" s="1207"/>
      <c r="BO310" s="1207"/>
      <c r="BP310" s="1207"/>
      <c r="BQ310" s="1207"/>
      <c r="BR310" s="1207"/>
      <c r="BS310" s="1207"/>
      <c r="BT310" s="1207"/>
      <c r="BU310" s="1207"/>
      <c r="BV310" s="1207"/>
      <c r="BW310" s="1207"/>
      <c r="BX310" s="1207"/>
      <c r="BY310" s="1207"/>
      <c r="BZ310" s="1207"/>
      <c r="CA310" s="1207"/>
      <c r="CB310" s="1207"/>
      <c r="CC310" s="1207"/>
      <c r="CD310" s="1207"/>
      <c r="CE310" s="1207"/>
      <c r="CF310" s="1207"/>
    </row>
    <row r="311" spans="1:84" ht="90" x14ac:dyDescent="0.25">
      <c r="A311" s="1400">
        <v>2022329</v>
      </c>
      <c r="B311" s="1401">
        <v>7658</v>
      </c>
      <c r="C311" s="1402" t="s">
        <v>679</v>
      </c>
      <c r="D311" s="1403" t="s">
        <v>695</v>
      </c>
      <c r="E311" s="1404">
        <v>80111600</v>
      </c>
      <c r="F311" s="1404" t="s">
        <v>1608</v>
      </c>
      <c r="G311" s="1406">
        <v>44798</v>
      </c>
      <c r="H311" s="1406">
        <v>44805</v>
      </c>
      <c r="I311" s="1407">
        <v>3</v>
      </c>
      <c r="J311" s="1407" t="s">
        <v>673</v>
      </c>
      <c r="K311" s="1408" t="s">
        <v>674</v>
      </c>
      <c r="L311" s="1409" t="s">
        <v>675</v>
      </c>
      <c r="M311" s="1410">
        <v>50955469</v>
      </c>
      <c r="N311" s="1411" t="s">
        <v>765</v>
      </c>
      <c r="O311" s="1404" t="s">
        <v>764</v>
      </c>
      <c r="P311" s="1412" t="s">
        <v>678</v>
      </c>
      <c r="Q311" s="1163"/>
      <c r="R311" s="1357">
        <v>46155118</v>
      </c>
      <c r="S311" s="1357">
        <v>46155118</v>
      </c>
      <c r="T311" s="1357">
        <f>+Tabla16[[#This Row],[CDPS A 31 JULIO 2022]]-Tabla16[[#This Row],[CDP]]</f>
        <v>0</v>
      </c>
      <c r="U311" s="1357">
        <v>46155118</v>
      </c>
      <c r="V311" s="1357">
        <v>46155118</v>
      </c>
      <c r="W311" s="1357"/>
      <c r="X311" s="1207"/>
      <c r="Y311" s="1207"/>
      <c r="Z311" s="1207"/>
      <c r="AA311" s="1207"/>
      <c r="AB311" s="1207"/>
      <c r="AC311" s="1207"/>
      <c r="AD311" s="1207"/>
      <c r="AE311" s="1207"/>
      <c r="AF311" s="1207"/>
      <c r="AG311" s="1207"/>
      <c r="AH311" s="1207"/>
      <c r="AI311" s="1207"/>
      <c r="AJ311" s="1207"/>
      <c r="AK311" s="1207"/>
      <c r="AL311" s="1207"/>
      <c r="AM311" s="1207"/>
      <c r="AN311" s="1207"/>
      <c r="AO311" s="1207"/>
      <c r="AP311" s="1207"/>
      <c r="AQ311" s="1207"/>
      <c r="AR311" s="1207"/>
      <c r="AS311" s="1207"/>
      <c r="AT311" s="1207"/>
      <c r="AU311" s="1207"/>
      <c r="AV311" s="1207"/>
      <c r="AW311" s="1207"/>
      <c r="AX311" s="1207"/>
      <c r="AY311" s="1207"/>
      <c r="AZ311" s="1207"/>
      <c r="BA311" s="1207"/>
      <c r="BB311" s="1207"/>
      <c r="BC311" s="1207"/>
      <c r="BD311" s="1207"/>
      <c r="BE311" s="1207"/>
      <c r="BF311" s="1207"/>
      <c r="BG311" s="1207"/>
      <c r="BH311" s="1207"/>
      <c r="BI311" s="1207"/>
      <c r="BJ311" s="1207"/>
      <c r="BK311" s="1207"/>
      <c r="BL311" s="1207"/>
      <c r="BM311" s="1207"/>
      <c r="BN311" s="1207"/>
      <c r="BO311" s="1207"/>
      <c r="BP311" s="1207"/>
      <c r="BQ311" s="1207"/>
      <c r="BR311" s="1207"/>
      <c r="BS311" s="1207"/>
      <c r="BT311" s="1207"/>
      <c r="BU311" s="1207"/>
      <c r="BV311" s="1207"/>
      <c r="BW311" s="1207"/>
      <c r="BX311" s="1207"/>
      <c r="BY311" s="1207"/>
      <c r="BZ311" s="1207"/>
      <c r="CA311" s="1207"/>
      <c r="CB311" s="1207"/>
      <c r="CC311" s="1207"/>
      <c r="CD311" s="1207"/>
      <c r="CE311" s="1207"/>
      <c r="CF311" s="1207"/>
    </row>
    <row r="312" spans="1:84" ht="135" x14ac:dyDescent="0.25">
      <c r="A312" s="1355">
        <v>2022330</v>
      </c>
      <c r="B312" s="1172">
        <v>7658</v>
      </c>
      <c r="C312" s="1356" t="s">
        <v>679</v>
      </c>
      <c r="D312" s="1190" t="s">
        <v>701</v>
      </c>
      <c r="E312" s="1174" t="s">
        <v>1002</v>
      </c>
      <c r="F312" s="1380" t="s">
        <v>1003</v>
      </c>
      <c r="G312" s="1381">
        <v>44666</v>
      </c>
      <c r="H312" s="1381">
        <v>44727</v>
      </c>
      <c r="I312" s="1176">
        <v>12</v>
      </c>
      <c r="J312" s="1176" t="s">
        <v>645</v>
      </c>
      <c r="K312" s="1177" t="s">
        <v>770</v>
      </c>
      <c r="L312" s="1178" t="s">
        <v>994</v>
      </c>
      <c r="M312" s="1179">
        <f>5600000000+1078000000</f>
        <v>6678000000</v>
      </c>
      <c r="N312" s="1382" t="s">
        <v>768</v>
      </c>
      <c r="O312" s="1174" t="s">
        <v>915</v>
      </c>
      <c r="P312" s="1207" t="s">
        <v>678</v>
      </c>
      <c r="Q312" s="1163"/>
      <c r="R312" s="1357">
        <v>6678000000</v>
      </c>
      <c r="S312" s="1357">
        <v>6678000000</v>
      </c>
      <c r="T312" s="1357">
        <f>+Tabla16[[#This Row],[CDPS A 31 JULIO 2022]]-Tabla16[[#This Row],[CDP]]</f>
        <v>0</v>
      </c>
      <c r="U312" s="1357"/>
      <c r="V312" s="1357"/>
      <c r="W312" s="1357"/>
      <c r="X312" s="1207"/>
      <c r="Y312" s="1207"/>
      <c r="Z312" s="1207"/>
      <c r="AA312" s="1207"/>
      <c r="AB312" s="1207"/>
      <c r="AC312" s="1207"/>
      <c r="AD312" s="1207"/>
      <c r="AE312" s="1207"/>
      <c r="AF312" s="1207"/>
      <c r="AG312" s="1207"/>
      <c r="AH312" s="1207"/>
      <c r="AI312" s="1207"/>
      <c r="AJ312" s="1207"/>
      <c r="AK312" s="1207"/>
      <c r="AL312" s="1207"/>
      <c r="AM312" s="1207"/>
      <c r="AN312" s="1207"/>
      <c r="AO312" s="1207"/>
      <c r="AP312" s="1207"/>
      <c r="AQ312" s="1207"/>
      <c r="AR312" s="1207"/>
      <c r="AS312" s="1207"/>
      <c r="AT312" s="1207"/>
      <c r="AU312" s="1207"/>
      <c r="AV312" s="1207"/>
      <c r="AW312" s="1207"/>
      <c r="AX312" s="1207"/>
      <c r="AY312" s="1207"/>
      <c r="AZ312" s="1207"/>
      <c r="BA312" s="1207"/>
      <c r="BB312" s="1207"/>
      <c r="BC312" s="1207"/>
      <c r="BD312" s="1207"/>
      <c r="BE312" s="1207"/>
      <c r="BF312" s="1207"/>
      <c r="BG312" s="1207"/>
      <c r="BH312" s="1207"/>
      <c r="BI312" s="1207"/>
      <c r="BJ312" s="1207"/>
      <c r="BK312" s="1207"/>
      <c r="BL312" s="1207"/>
      <c r="BM312" s="1207"/>
      <c r="BN312" s="1207"/>
      <c r="BO312" s="1207"/>
      <c r="BP312" s="1207"/>
      <c r="BQ312" s="1207"/>
      <c r="BR312" s="1207"/>
      <c r="BS312" s="1207"/>
      <c r="BT312" s="1207"/>
      <c r="BU312" s="1207"/>
      <c r="BV312" s="1207"/>
      <c r="BW312" s="1207"/>
      <c r="BX312" s="1207"/>
      <c r="BY312" s="1207"/>
      <c r="BZ312" s="1207"/>
      <c r="CA312" s="1207"/>
      <c r="CB312" s="1207"/>
      <c r="CC312" s="1207"/>
      <c r="CD312" s="1207"/>
      <c r="CE312" s="1207"/>
      <c r="CF312" s="1207"/>
    </row>
    <row r="313" spans="1:84" ht="195" x14ac:dyDescent="0.25">
      <c r="A313" s="1355">
        <v>2022331</v>
      </c>
      <c r="B313" s="1172">
        <v>7658</v>
      </c>
      <c r="C313" s="1356" t="s">
        <v>679</v>
      </c>
      <c r="D313" s="1190" t="s">
        <v>701</v>
      </c>
      <c r="E313" s="1174" t="s">
        <v>1004</v>
      </c>
      <c r="F313" s="1380" t="s">
        <v>1005</v>
      </c>
      <c r="G313" s="1381">
        <v>44635</v>
      </c>
      <c r="H313" s="1381">
        <v>44696</v>
      </c>
      <c r="I313" s="1176">
        <v>6</v>
      </c>
      <c r="J313" s="1176" t="s">
        <v>645</v>
      </c>
      <c r="K313" s="1177" t="s">
        <v>770</v>
      </c>
      <c r="L313" s="1178" t="s">
        <v>994</v>
      </c>
      <c r="M313" s="1179">
        <v>1325000000</v>
      </c>
      <c r="N313" s="1382" t="s">
        <v>1006</v>
      </c>
      <c r="O313" s="1174" t="s">
        <v>915</v>
      </c>
      <c r="P313" s="1207" t="s">
        <v>678</v>
      </c>
      <c r="Q313" s="1163" t="s">
        <v>945</v>
      </c>
      <c r="R313" s="1357">
        <v>1325000000</v>
      </c>
      <c r="S313" s="1357">
        <v>1325000000</v>
      </c>
      <c r="T313" s="1357">
        <f>+Tabla16[[#This Row],[CDPS A 31 JULIO 2022]]-Tabla16[[#This Row],[CDP]]</f>
        <v>0</v>
      </c>
      <c r="U313" s="1357"/>
      <c r="V313" s="1357"/>
      <c r="W313" s="1357"/>
      <c r="X313" s="1207"/>
      <c r="Y313" s="1207"/>
      <c r="Z313" s="1207"/>
      <c r="AA313" s="1207"/>
      <c r="AB313" s="1207"/>
      <c r="AC313" s="1207"/>
      <c r="AD313" s="1207"/>
      <c r="AE313" s="1207"/>
      <c r="AF313" s="1207"/>
      <c r="AG313" s="1207"/>
      <c r="AH313" s="1207"/>
      <c r="AI313" s="1207"/>
      <c r="AJ313" s="1207"/>
      <c r="AK313" s="1207"/>
      <c r="AL313" s="1207"/>
      <c r="AM313" s="1207"/>
      <c r="AN313" s="1207"/>
      <c r="AO313" s="1207"/>
      <c r="AP313" s="1207"/>
      <c r="AQ313" s="1207"/>
      <c r="AR313" s="1207"/>
      <c r="AS313" s="1207"/>
      <c r="AT313" s="1207"/>
      <c r="AU313" s="1207"/>
      <c r="AV313" s="1207"/>
      <c r="AW313" s="1207"/>
      <c r="AX313" s="1207"/>
      <c r="AY313" s="1207"/>
      <c r="AZ313" s="1207"/>
      <c r="BA313" s="1207"/>
      <c r="BB313" s="1207"/>
      <c r="BC313" s="1207"/>
      <c r="BD313" s="1207"/>
      <c r="BE313" s="1207"/>
      <c r="BF313" s="1207"/>
      <c r="BG313" s="1207"/>
      <c r="BH313" s="1207"/>
      <c r="BI313" s="1207"/>
      <c r="BJ313" s="1207"/>
      <c r="BK313" s="1207"/>
      <c r="BL313" s="1207"/>
      <c r="BM313" s="1207"/>
      <c r="BN313" s="1207"/>
      <c r="BO313" s="1207"/>
      <c r="BP313" s="1207"/>
      <c r="BQ313" s="1207"/>
      <c r="BR313" s="1207"/>
      <c r="BS313" s="1207"/>
      <c r="BT313" s="1207"/>
      <c r="BU313" s="1207"/>
      <c r="BV313" s="1207"/>
      <c r="BW313" s="1207"/>
      <c r="BX313" s="1207"/>
      <c r="BY313" s="1207"/>
      <c r="BZ313" s="1207"/>
      <c r="CA313" s="1207"/>
      <c r="CB313" s="1207"/>
      <c r="CC313" s="1207"/>
      <c r="CD313" s="1207"/>
      <c r="CE313" s="1207"/>
      <c r="CF313" s="1207"/>
    </row>
    <row r="314" spans="1:84" ht="195" x14ac:dyDescent="0.25">
      <c r="A314" s="1355">
        <v>2022332</v>
      </c>
      <c r="B314" s="1172">
        <v>7658</v>
      </c>
      <c r="C314" s="1356" t="s">
        <v>679</v>
      </c>
      <c r="D314" s="1190" t="s">
        <v>701</v>
      </c>
      <c r="E314" s="1174" t="s">
        <v>1004</v>
      </c>
      <c r="F314" s="1380" t="s">
        <v>1005</v>
      </c>
      <c r="G314" s="1381">
        <v>44635</v>
      </c>
      <c r="H314" s="1381">
        <v>44696</v>
      </c>
      <c r="I314" s="1176">
        <v>6</v>
      </c>
      <c r="J314" s="1176" t="s">
        <v>645</v>
      </c>
      <c r="K314" s="1177" t="s">
        <v>674</v>
      </c>
      <c r="L314" s="1178" t="s">
        <v>994</v>
      </c>
      <c r="M314" s="1179">
        <f>548720000-252916670-117537030</f>
        <v>178266300</v>
      </c>
      <c r="N314" s="1382" t="s">
        <v>1006</v>
      </c>
      <c r="O314" s="1174" t="s">
        <v>915</v>
      </c>
      <c r="P314" s="1207" t="s">
        <v>678</v>
      </c>
      <c r="Q314" s="1163"/>
      <c r="R314" s="1357">
        <v>295803330</v>
      </c>
      <c r="S314" s="1357">
        <v>295803330</v>
      </c>
      <c r="T314" s="1357">
        <f>+Tabla16[[#This Row],[CDPS A 31 JULIO 2022]]-Tabla16[[#This Row],[CDP]]</f>
        <v>0</v>
      </c>
      <c r="U314" s="1357"/>
      <c r="V314" s="1357"/>
      <c r="W314" s="1357"/>
      <c r="X314" s="1207"/>
      <c r="Y314" s="1207"/>
      <c r="Z314" s="1207"/>
      <c r="AA314" s="1207"/>
      <c r="AB314" s="1207"/>
      <c r="AC314" s="1207"/>
      <c r="AD314" s="1207"/>
      <c r="AE314" s="1207"/>
      <c r="AF314" s="1207"/>
      <c r="AG314" s="1207"/>
      <c r="AH314" s="1207"/>
      <c r="AI314" s="1207"/>
      <c r="AJ314" s="1207"/>
      <c r="AK314" s="1207"/>
      <c r="AL314" s="1207"/>
      <c r="AM314" s="1207"/>
      <c r="AN314" s="1207"/>
      <c r="AO314" s="1207"/>
      <c r="AP314" s="1207"/>
      <c r="AQ314" s="1207"/>
      <c r="AR314" s="1207"/>
      <c r="AS314" s="1207"/>
      <c r="AT314" s="1207"/>
      <c r="AU314" s="1207"/>
      <c r="AV314" s="1207"/>
      <c r="AW314" s="1207"/>
      <c r="AX314" s="1207"/>
      <c r="AY314" s="1207"/>
      <c r="AZ314" s="1207"/>
      <c r="BA314" s="1207"/>
      <c r="BB314" s="1207"/>
      <c r="BC314" s="1207"/>
      <c r="BD314" s="1207"/>
      <c r="BE314" s="1207"/>
      <c r="BF314" s="1207"/>
      <c r="BG314" s="1207"/>
      <c r="BH314" s="1207"/>
      <c r="BI314" s="1207"/>
      <c r="BJ314" s="1207"/>
      <c r="BK314" s="1207"/>
      <c r="BL314" s="1207"/>
      <c r="BM314" s="1207"/>
      <c r="BN314" s="1207"/>
      <c r="BO314" s="1207"/>
      <c r="BP314" s="1207"/>
      <c r="BQ314" s="1207"/>
      <c r="BR314" s="1207"/>
      <c r="BS314" s="1207"/>
      <c r="BT314" s="1207"/>
      <c r="BU314" s="1207"/>
      <c r="BV314" s="1207"/>
      <c r="BW314" s="1207"/>
      <c r="BX314" s="1207"/>
      <c r="BY314" s="1207"/>
      <c r="BZ314" s="1207"/>
      <c r="CA314" s="1207"/>
      <c r="CB314" s="1207"/>
      <c r="CC314" s="1207"/>
      <c r="CD314" s="1207"/>
      <c r="CE314" s="1207"/>
      <c r="CF314" s="1207"/>
    </row>
    <row r="315" spans="1:84" ht="135" x14ac:dyDescent="0.25">
      <c r="A315" s="1355">
        <v>2022334</v>
      </c>
      <c r="B315" s="1172">
        <v>7658</v>
      </c>
      <c r="C315" s="1356" t="s">
        <v>679</v>
      </c>
      <c r="D315" s="1190" t="s">
        <v>701</v>
      </c>
      <c r="E315" s="1174" t="s">
        <v>1007</v>
      </c>
      <c r="F315" s="1380" t="s">
        <v>1008</v>
      </c>
      <c r="G315" s="1381">
        <v>44666</v>
      </c>
      <c r="H315" s="1381">
        <v>44727</v>
      </c>
      <c r="I315" s="1176">
        <v>6</v>
      </c>
      <c r="J315" s="1176" t="s">
        <v>645</v>
      </c>
      <c r="K315" s="1177" t="s">
        <v>674</v>
      </c>
      <c r="L315" s="1178" t="s">
        <v>994</v>
      </c>
      <c r="M315" s="1179">
        <f>204051000-54800000+117537030</f>
        <v>266788030</v>
      </c>
      <c r="N315" s="1382" t="s">
        <v>1006</v>
      </c>
      <c r="O315" s="1174" t="s">
        <v>915</v>
      </c>
      <c r="P315" s="1207" t="s">
        <v>678</v>
      </c>
      <c r="Q315" s="1163"/>
      <c r="R315" s="1357">
        <v>143163926</v>
      </c>
      <c r="S315" s="1357">
        <v>143163926</v>
      </c>
      <c r="T315" s="1357">
        <f>+Tabla16[[#This Row],[CDPS A 31 JULIO 2022]]-Tabla16[[#This Row],[CDP]]</f>
        <v>0</v>
      </c>
      <c r="U315" s="1357"/>
      <c r="V315" s="1357"/>
      <c r="W315" s="1357"/>
      <c r="X315" s="1207"/>
      <c r="Y315" s="1207"/>
      <c r="Z315" s="1207"/>
      <c r="AA315" s="1207"/>
      <c r="AB315" s="1207"/>
      <c r="AC315" s="1207"/>
      <c r="AD315" s="1207"/>
      <c r="AE315" s="1207"/>
      <c r="AF315" s="1207"/>
      <c r="AG315" s="1207"/>
      <c r="AH315" s="1207"/>
      <c r="AI315" s="1207"/>
      <c r="AJ315" s="1207"/>
      <c r="AK315" s="1207"/>
      <c r="AL315" s="1207"/>
      <c r="AM315" s="1207"/>
      <c r="AN315" s="1207"/>
      <c r="AO315" s="1207"/>
      <c r="AP315" s="1207"/>
      <c r="AQ315" s="1207"/>
      <c r="AR315" s="1207"/>
      <c r="AS315" s="1207"/>
      <c r="AT315" s="1207"/>
      <c r="AU315" s="1207"/>
      <c r="AV315" s="1207"/>
      <c r="AW315" s="1207"/>
      <c r="AX315" s="1207"/>
      <c r="AY315" s="1207"/>
      <c r="AZ315" s="1207"/>
      <c r="BA315" s="1207"/>
      <c r="BB315" s="1207"/>
      <c r="BC315" s="1207"/>
      <c r="BD315" s="1207"/>
      <c r="BE315" s="1207"/>
      <c r="BF315" s="1207"/>
      <c r="BG315" s="1207"/>
      <c r="BH315" s="1207"/>
      <c r="BI315" s="1207"/>
      <c r="BJ315" s="1207"/>
      <c r="BK315" s="1207"/>
      <c r="BL315" s="1207"/>
      <c r="BM315" s="1207"/>
      <c r="BN315" s="1207"/>
      <c r="BO315" s="1207"/>
      <c r="BP315" s="1207"/>
      <c r="BQ315" s="1207"/>
      <c r="BR315" s="1207"/>
      <c r="BS315" s="1207"/>
      <c r="BT315" s="1207"/>
      <c r="BU315" s="1207"/>
      <c r="BV315" s="1207"/>
      <c r="BW315" s="1207"/>
      <c r="BX315" s="1207"/>
      <c r="BY315" s="1207"/>
      <c r="BZ315" s="1207"/>
      <c r="CA315" s="1207"/>
      <c r="CB315" s="1207"/>
      <c r="CC315" s="1207"/>
      <c r="CD315" s="1207"/>
      <c r="CE315" s="1207"/>
      <c r="CF315" s="1207"/>
    </row>
    <row r="316" spans="1:84" ht="135" x14ac:dyDescent="0.25">
      <c r="A316" s="1355">
        <v>2022336</v>
      </c>
      <c r="B316" s="1172">
        <v>7658</v>
      </c>
      <c r="C316" s="1356" t="s">
        <v>679</v>
      </c>
      <c r="D316" s="1190" t="s">
        <v>701</v>
      </c>
      <c r="E316" s="1174" t="s">
        <v>1009</v>
      </c>
      <c r="F316" s="1380" t="s">
        <v>1010</v>
      </c>
      <c r="G316" s="1381">
        <v>44682</v>
      </c>
      <c r="H316" s="1381">
        <v>44742</v>
      </c>
      <c r="I316" s="1176">
        <v>3</v>
      </c>
      <c r="J316" s="1176" t="s">
        <v>687</v>
      </c>
      <c r="K316" s="1177" t="s">
        <v>674</v>
      </c>
      <c r="L316" s="1178" t="s">
        <v>994</v>
      </c>
      <c r="M316" s="1179">
        <f>125000000-95000000</f>
        <v>30000000</v>
      </c>
      <c r="N316" s="1382" t="s">
        <v>1006</v>
      </c>
      <c r="O316" s="1174" t="s">
        <v>915</v>
      </c>
      <c r="P316" s="1207" t="s">
        <v>678</v>
      </c>
      <c r="Q316" s="1163"/>
      <c r="R316" s="1269">
        <v>0</v>
      </c>
      <c r="S316" s="1357"/>
      <c r="T316" s="1357">
        <f>+Tabla16[[#This Row],[CDPS A 31 JULIO 2022]]-Tabla16[[#This Row],[CDP]]</f>
        <v>0</v>
      </c>
      <c r="U316" s="1357"/>
      <c r="V316" s="1357"/>
      <c r="W316" s="1357"/>
      <c r="X316" s="1207"/>
      <c r="Y316" s="1207"/>
      <c r="Z316" s="1207"/>
      <c r="AA316" s="1207"/>
      <c r="AB316" s="1207"/>
      <c r="AC316" s="1207"/>
      <c r="AD316" s="1207"/>
      <c r="AE316" s="1207"/>
      <c r="AF316" s="1207"/>
      <c r="AG316" s="1207"/>
      <c r="AH316" s="1207"/>
      <c r="AI316" s="1207"/>
      <c r="AJ316" s="1207"/>
      <c r="AK316" s="1207"/>
      <c r="AL316" s="1207"/>
      <c r="AM316" s="1207"/>
      <c r="AN316" s="1207"/>
      <c r="AO316" s="1207"/>
      <c r="AP316" s="1207"/>
      <c r="AQ316" s="1207"/>
      <c r="AR316" s="1207"/>
      <c r="AS316" s="1207"/>
      <c r="AT316" s="1207"/>
      <c r="AU316" s="1207"/>
      <c r="AV316" s="1207"/>
      <c r="AW316" s="1207"/>
      <c r="AX316" s="1207"/>
      <c r="AY316" s="1207"/>
      <c r="AZ316" s="1207"/>
      <c r="BA316" s="1207"/>
      <c r="BB316" s="1207"/>
      <c r="BC316" s="1207"/>
      <c r="BD316" s="1207"/>
      <c r="BE316" s="1207"/>
      <c r="BF316" s="1207"/>
      <c r="BG316" s="1207"/>
      <c r="BH316" s="1207"/>
      <c r="BI316" s="1207"/>
      <c r="BJ316" s="1207"/>
      <c r="BK316" s="1207"/>
      <c r="BL316" s="1207"/>
      <c r="BM316" s="1207"/>
      <c r="BN316" s="1207"/>
      <c r="BO316" s="1207"/>
      <c r="BP316" s="1207"/>
      <c r="BQ316" s="1207"/>
      <c r="BR316" s="1207"/>
      <c r="BS316" s="1207"/>
      <c r="BT316" s="1207"/>
      <c r="BU316" s="1207"/>
      <c r="BV316" s="1207"/>
      <c r="BW316" s="1207"/>
      <c r="BX316" s="1207"/>
      <c r="BY316" s="1207"/>
      <c r="BZ316" s="1207"/>
      <c r="CA316" s="1207"/>
      <c r="CB316" s="1207"/>
      <c r="CC316" s="1207"/>
      <c r="CD316" s="1207"/>
      <c r="CE316" s="1207"/>
      <c r="CF316" s="1207"/>
    </row>
    <row r="317" spans="1:84" ht="135" x14ac:dyDescent="0.25">
      <c r="A317" s="1355">
        <v>2022337</v>
      </c>
      <c r="B317" s="1172">
        <v>7658</v>
      </c>
      <c r="C317" s="1356" t="s">
        <v>679</v>
      </c>
      <c r="D317" s="1190" t="s">
        <v>701</v>
      </c>
      <c r="E317" s="1174">
        <v>80111600</v>
      </c>
      <c r="F317" s="1380" t="s">
        <v>1011</v>
      </c>
      <c r="G317" s="1381">
        <v>44562</v>
      </c>
      <c r="H317" s="1381">
        <v>44592</v>
      </c>
      <c r="I317" s="1176">
        <v>12</v>
      </c>
      <c r="J317" s="1176" t="s">
        <v>673</v>
      </c>
      <c r="K317" s="1177" t="s">
        <v>674</v>
      </c>
      <c r="L317" s="1178" t="s">
        <v>675</v>
      </c>
      <c r="M317" s="1179">
        <v>25980000</v>
      </c>
      <c r="N317" s="1382" t="s">
        <v>1006</v>
      </c>
      <c r="O317" s="1174" t="s">
        <v>915</v>
      </c>
      <c r="P317" s="1207" t="s">
        <v>678</v>
      </c>
      <c r="Q317" s="1163"/>
      <c r="R317" s="1357">
        <v>25200000</v>
      </c>
      <c r="S317" s="1357">
        <v>25200000</v>
      </c>
      <c r="T317" s="1357">
        <f>+Tabla16[[#This Row],[CDPS A 31 JULIO 2022]]-Tabla16[[#This Row],[CDP]]</f>
        <v>0</v>
      </c>
      <c r="U317" s="1357">
        <v>25200000</v>
      </c>
      <c r="V317" s="1357">
        <v>8400000</v>
      </c>
      <c r="W317" s="1357"/>
      <c r="X317" s="1207"/>
      <c r="Y317" s="1207"/>
      <c r="Z317" s="1207"/>
      <c r="AA317" s="1207"/>
      <c r="AB317" s="1207"/>
      <c r="AC317" s="1207"/>
      <c r="AD317" s="1207"/>
      <c r="AE317" s="1207"/>
      <c r="AF317" s="1207"/>
      <c r="AG317" s="1207"/>
      <c r="AH317" s="1207"/>
      <c r="AI317" s="1207"/>
      <c r="AJ317" s="1207"/>
      <c r="AK317" s="1207"/>
      <c r="AL317" s="1207"/>
      <c r="AM317" s="1207"/>
      <c r="AN317" s="1207"/>
      <c r="AO317" s="1207"/>
      <c r="AP317" s="1207"/>
      <c r="AQ317" s="1207"/>
      <c r="AR317" s="1207"/>
      <c r="AS317" s="1207"/>
      <c r="AT317" s="1207"/>
      <c r="AU317" s="1207"/>
      <c r="AV317" s="1207"/>
      <c r="AW317" s="1207"/>
      <c r="AX317" s="1207"/>
      <c r="AY317" s="1207"/>
      <c r="AZ317" s="1207"/>
      <c r="BA317" s="1207"/>
      <c r="BB317" s="1207"/>
      <c r="BC317" s="1207"/>
      <c r="BD317" s="1207"/>
      <c r="BE317" s="1207"/>
      <c r="BF317" s="1207"/>
      <c r="BG317" s="1207"/>
      <c r="BH317" s="1207"/>
      <c r="BI317" s="1207"/>
      <c r="BJ317" s="1207"/>
      <c r="BK317" s="1207"/>
      <c r="BL317" s="1207"/>
      <c r="BM317" s="1207"/>
      <c r="BN317" s="1207"/>
      <c r="BO317" s="1207"/>
      <c r="BP317" s="1207"/>
      <c r="BQ317" s="1207"/>
      <c r="BR317" s="1207"/>
      <c r="BS317" s="1207"/>
      <c r="BT317" s="1207"/>
      <c r="BU317" s="1207"/>
      <c r="BV317" s="1207"/>
      <c r="BW317" s="1207"/>
      <c r="BX317" s="1207"/>
      <c r="BY317" s="1207"/>
      <c r="BZ317" s="1207"/>
      <c r="CA317" s="1207"/>
      <c r="CB317" s="1207"/>
      <c r="CC317" s="1207"/>
      <c r="CD317" s="1207"/>
      <c r="CE317" s="1207"/>
      <c r="CF317" s="1207"/>
    </row>
    <row r="318" spans="1:84" ht="135" x14ac:dyDescent="0.25">
      <c r="A318" s="1355">
        <v>2022338</v>
      </c>
      <c r="B318" s="1172">
        <v>7658</v>
      </c>
      <c r="C318" s="1356" t="s">
        <v>679</v>
      </c>
      <c r="D318" s="1190" t="s">
        <v>701</v>
      </c>
      <c r="E318" s="1174">
        <v>80111600</v>
      </c>
      <c r="F318" s="1380" t="s">
        <v>1011</v>
      </c>
      <c r="G318" s="1381">
        <v>44562</v>
      </c>
      <c r="H318" s="1381">
        <v>44592</v>
      </c>
      <c r="I318" s="1176">
        <v>12</v>
      </c>
      <c r="J318" s="1176" t="s">
        <v>673</v>
      </c>
      <c r="K318" s="1177" t="s">
        <v>674</v>
      </c>
      <c r="L318" s="1178" t="s">
        <v>675</v>
      </c>
      <c r="M318" s="1179">
        <v>25980000</v>
      </c>
      <c r="N318" s="1382" t="s">
        <v>1006</v>
      </c>
      <c r="O318" s="1174" t="s">
        <v>915</v>
      </c>
      <c r="P318" s="1207" t="s">
        <v>678</v>
      </c>
      <c r="Q318" s="1163"/>
      <c r="R318" s="1357">
        <v>25200000</v>
      </c>
      <c r="S318" s="1357">
        <v>25200000</v>
      </c>
      <c r="T318" s="1357">
        <f>+Tabla16[[#This Row],[CDPS A 31 JULIO 2022]]-Tabla16[[#This Row],[CDP]]</f>
        <v>0</v>
      </c>
      <c r="U318" s="1357">
        <v>25200000</v>
      </c>
      <c r="V318" s="1357">
        <v>8400000</v>
      </c>
      <c r="W318" s="1357"/>
      <c r="X318" s="1207"/>
      <c r="Y318" s="1207"/>
      <c r="Z318" s="1207"/>
      <c r="AA318" s="1207"/>
      <c r="AB318" s="1207"/>
      <c r="AC318" s="1207"/>
      <c r="AD318" s="1207"/>
      <c r="AE318" s="1207"/>
      <c r="AF318" s="1207"/>
      <c r="AG318" s="1207"/>
      <c r="AH318" s="1207"/>
      <c r="AI318" s="1207"/>
      <c r="AJ318" s="1207"/>
      <c r="AK318" s="1207"/>
      <c r="AL318" s="1207"/>
      <c r="AM318" s="1207"/>
      <c r="AN318" s="1207"/>
      <c r="AO318" s="1207"/>
      <c r="AP318" s="1207"/>
      <c r="AQ318" s="1207"/>
      <c r="AR318" s="1207"/>
      <c r="AS318" s="1207"/>
      <c r="AT318" s="1207"/>
      <c r="AU318" s="1207"/>
      <c r="AV318" s="1207"/>
      <c r="AW318" s="1207"/>
      <c r="AX318" s="1207"/>
      <c r="AY318" s="1207"/>
      <c r="AZ318" s="1207"/>
      <c r="BA318" s="1207"/>
      <c r="BB318" s="1207"/>
      <c r="BC318" s="1207"/>
      <c r="BD318" s="1207"/>
      <c r="BE318" s="1207"/>
      <c r="BF318" s="1207"/>
      <c r="BG318" s="1207"/>
      <c r="BH318" s="1207"/>
      <c r="BI318" s="1207"/>
      <c r="BJ318" s="1207"/>
      <c r="BK318" s="1207"/>
      <c r="BL318" s="1207"/>
      <c r="BM318" s="1207"/>
      <c r="BN318" s="1207"/>
      <c r="BO318" s="1207"/>
      <c r="BP318" s="1207"/>
      <c r="BQ318" s="1207"/>
      <c r="BR318" s="1207"/>
      <c r="BS318" s="1207"/>
      <c r="BT318" s="1207"/>
      <c r="BU318" s="1207"/>
      <c r="BV318" s="1207"/>
      <c r="BW318" s="1207"/>
      <c r="BX318" s="1207"/>
      <c r="BY318" s="1207"/>
      <c r="BZ318" s="1207"/>
      <c r="CA318" s="1207"/>
      <c r="CB318" s="1207"/>
      <c r="CC318" s="1207"/>
      <c r="CD318" s="1207"/>
      <c r="CE318" s="1207"/>
      <c r="CF318" s="1207"/>
    </row>
    <row r="319" spans="1:84" ht="135" x14ac:dyDescent="0.25">
      <c r="A319" s="1355">
        <v>2022339</v>
      </c>
      <c r="B319" s="1172">
        <v>7658</v>
      </c>
      <c r="C319" s="1356" t="s">
        <v>679</v>
      </c>
      <c r="D319" s="1190" t="s">
        <v>701</v>
      </c>
      <c r="E319" s="1174">
        <v>80111600</v>
      </c>
      <c r="F319" s="1380" t="s">
        <v>1011</v>
      </c>
      <c r="G319" s="1381">
        <v>44562</v>
      </c>
      <c r="H319" s="1381">
        <v>44592</v>
      </c>
      <c r="I319" s="1176">
        <v>12</v>
      </c>
      <c r="J319" s="1176" t="s">
        <v>673</v>
      </c>
      <c r="K319" s="1177" t="s">
        <v>674</v>
      </c>
      <c r="L319" s="1178" t="s">
        <v>675</v>
      </c>
      <c r="M319" s="1179">
        <v>25980000</v>
      </c>
      <c r="N319" s="1382" t="s">
        <v>1006</v>
      </c>
      <c r="O319" s="1174" t="s">
        <v>915</v>
      </c>
      <c r="P319" s="1207" t="s">
        <v>678</v>
      </c>
      <c r="Q319" s="1163"/>
      <c r="R319" s="1357">
        <v>25200000</v>
      </c>
      <c r="S319" s="1357">
        <v>25200000</v>
      </c>
      <c r="T319" s="1357">
        <f>+Tabla16[[#This Row],[CDPS A 31 JULIO 2022]]-Tabla16[[#This Row],[CDP]]</f>
        <v>0</v>
      </c>
      <c r="U319" s="1357">
        <v>25200000</v>
      </c>
      <c r="V319" s="1357">
        <v>7980000</v>
      </c>
      <c r="W319" s="1357"/>
      <c r="X319" s="1207"/>
      <c r="Y319" s="1207"/>
      <c r="Z319" s="1207"/>
      <c r="AA319" s="1207"/>
      <c r="AB319" s="1207"/>
      <c r="AC319" s="1207"/>
      <c r="AD319" s="1207"/>
      <c r="AE319" s="1207"/>
      <c r="AF319" s="1207"/>
      <c r="AG319" s="1207"/>
      <c r="AH319" s="1207"/>
      <c r="AI319" s="1207"/>
      <c r="AJ319" s="1207"/>
      <c r="AK319" s="1207"/>
      <c r="AL319" s="1207"/>
      <c r="AM319" s="1207"/>
      <c r="AN319" s="1207"/>
      <c r="AO319" s="1207"/>
      <c r="AP319" s="1207"/>
      <c r="AQ319" s="1207"/>
      <c r="AR319" s="1207"/>
      <c r="AS319" s="1207"/>
      <c r="AT319" s="1207"/>
      <c r="AU319" s="1207"/>
      <c r="AV319" s="1207"/>
      <c r="AW319" s="1207"/>
      <c r="AX319" s="1207"/>
      <c r="AY319" s="1207"/>
      <c r="AZ319" s="1207"/>
      <c r="BA319" s="1207"/>
      <c r="BB319" s="1207"/>
      <c r="BC319" s="1207"/>
      <c r="BD319" s="1207"/>
      <c r="BE319" s="1207"/>
      <c r="BF319" s="1207"/>
      <c r="BG319" s="1207"/>
      <c r="BH319" s="1207"/>
      <c r="BI319" s="1207"/>
      <c r="BJ319" s="1207"/>
      <c r="BK319" s="1207"/>
      <c r="BL319" s="1207"/>
      <c r="BM319" s="1207"/>
      <c r="BN319" s="1207"/>
      <c r="BO319" s="1207"/>
      <c r="BP319" s="1207"/>
      <c r="BQ319" s="1207"/>
      <c r="BR319" s="1207"/>
      <c r="BS319" s="1207"/>
      <c r="BT319" s="1207"/>
      <c r="BU319" s="1207"/>
      <c r="BV319" s="1207"/>
      <c r="BW319" s="1207"/>
      <c r="BX319" s="1207"/>
      <c r="BY319" s="1207"/>
      <c r="BZ319" s="1207"/>
      <c r="CA319" s="1207"/>
      <c r="CB319" s="1207"/>
      <c r="CC319" s="1207"/>
      <c r="CD319" s="1207"/>
      <c r="CE319" s="1207"/>
      <c r="CF319" s="1207"/>
    </row>
    <row r="320" spans="1:84" ht="135" x14ac:dyDescent="0.25">
      <c r="A320" s="1355">
        <v>2022340</v>
      </c>
      <c r="B320" s="1172">
        <v>7658</v>
      </c>
      <c r="C320" s="1356" t="s">
        <v>679</v>
      </c>
      <c r="D320" s="1190" t="s">
        <v>701</v>
      </c>
      <c r="E320" s="1174">
        <v>80111600</v>
      </c>
      <c r="F320" s="1380" t="s">
        <v>1011</v>
      </c>
      <c r="G320" s="1381">
        <v>44562</v>
      </c>
      <c r="H320" s="1381">
        <v>44592</v>
      </c>
      <c r="I320" s="1176">
        <v>12</v>
      </c>
      <c r="J320" s="1176" t="s">
        <v>673</v>
      </c>
      <c r="K320" s="1177" t="s">
        <v>674</v>
      </c>
      <c r="L320" s="1178" t="s">
        <v>675</v>
      </c>
      <c r="M320" s="1179">
        <v>25980000</v>
      </c>
      <c r="N320" s="1382" t="s">
        <v>1006</v>
      </c>
      <c r="O320" s="1174" t="s">
        <v>915</v>
      </c>
      <c r="P320" s="1207" t="s">
        <v>678</v>
      </c>
      <c r="Q320" s="1163"/>
      <c r="R320" s="1357">
        <v>25200000</v>
      </c>
      <c r="S320" s="1357">
        <v>25200000</v>
      </c>
      <c r="T320" s="1357">
        <f>+Tabla16[[#This Row],[CDPS A 31 JULIO 2022]]-Tabla16[[#This Row],[CDP]]</f>
        <v>0</v>
      </c>
      <c r="U320" s="1357">
        <v>25200000</v>
      </c>
      <c r="V320" s="1357">
        <v>7770000</v>
      </c>
      <c r="W320" s="1357"/>
      <c r="X320" s="1207"/>
      <c r="Y320" s="1207"/>
      <c r="Z320" s="1207"/>
      <c r="AA320" s="1207"/>
      <c r="AB320" s="1207"/>
      <c r="AC320" s="1207"/>
      <c r="AD320" s="1207"/>
      <c r="AE320" s="1207"/>
      <c r="AF320" s="1207"/>
      <c r="AG320" s="1207"/>
      <c r="AH320" s="1207"/>
      <c r="AI320" s="1207"/>
      <c r="AJ320" s="1207"/>
      <c r="AK320" s="1207"/>
      <c r="AL320" s="1207"/>
      <c r="AM320" s="1207"/>
      <c r="AN320" s="1207"/>
      <c r="AO320" s="1207"/>
      <c r="AP320" s="1207"/>
      <c r="AQ320" s="1207"/>
      <c r="AR320" s="1207"/>
      <c r="AS320" s="1207"/>
      <c r="AT320" s="1207"/>
      <c r="AU320" s="1207"/>
      <c r="AV320" s="1207"/>
      <c r="AW320" s="1207"/>
      <c r="AX320" s="1207"/>
      <c r="AY320" s="1207"/>
      <c r="AZ320" s="1207"/>
      <c r="BA320" s="1207"/>
      <c r="BB320" s="1207"/>
      <c r="BC320" s="1207"/>
      <c r="BD320" s="1207"/>
      <c r="BE320" s="1207"/>
      <c r="BF320" s="1207"/>
      <c r="BG320" s="1207"/>
      <c r="BH320" s="1207"/>
      <c r="BI320" s="1207"/>
      <c r="BJ320" s="1207"/>
      <c r="BK320" s="1207"/>
      <c r="BL320" s="1207"/>
      <c r="BM320" s="1207"/>
      <c r="BN320" s="1207"/>
      <c r="BO320" s="1207"/>
      <c r="BP320" s="1207"/>
      <c r="BQ320" s="1207"/>
      <c r="BR320" s="1207"/>
      <c r="BS320" s="1207"/>
      <c r="BT320" s="1207"/>
      <c r="BU320" s="1207"/>
      <c r="BV320" s="1207"/>
      <c r="BW320" s="1207"/>
      <c r="BX320" s="1207"/>
      <c r="BY320" s="1207"/>
      <c r="BZ320" s="1207"/>
      <c r="CA320" s="1207"/>
      <c r="CB320" s="1207"/>
      <c r="CC320" s="1207"/>
      <c r="CD320" s="1207"/>
      <c r="CE320" s="1207"/>
      <c r="CF320" s="1207"/>
    </row>
    <row r="321" spans="1:84" ht="135" x14ac:dyDescent="0.25">
      <c r="A321" s="1355">
        <v>2022341</v>
      </c>
      <c r="B321" s="1172">
        <v>7658</v>
      </c>
      <c r="C321" s="1356" t="s">
        <v>679</v>
      </c>
      <c r="D321" s="1190" t="s">
        <v>701</v>
      </c>
      <c r="E321" s="1174">
        <v>80111600</v>
      </c>
      <c r="F321" s="1380" t="s">
        <v>1011</v>
      </c>
      <c r="G321" s="1381">
        <v>44562</v>
      </c>
      <c r="H321" s="1381">
        <v>44592</v>
      </c>
      <c r="I321" s="1176">
        <v>12</v>
      </c>
      <c r="J321" s="1176" t="s">
        <v>673</v>
      </c>
      <c r="K321" s="1177" t="s">
        <v>674</v>
      </c>
      <c r="L321" s="1178" t="s">
        <v>675</v>
      </c>
      <c r="M321" s="1179">
        <v>25980000</v>
      </c>
      <c r="N321" s="1382" t="s">
        <v>1006</v>
      </c>
      <c r="O321" s="1174" t="s">
        <v>915</v>
      </c>
      <c r="P321" s="1207" t="s">
        <v>678</v>
      </c>
      <c r="Q321" s="1163"/>
      <c r="R321" s="1357">
        <v>25200000</v>
      </c>
      <c r="S321" s="1357">
        <v>25200000</v>
      </c>
      <c r="T321" s="1357">
        <f>+Tabla16[[#This Row],[CDPS A 31 JULIO 2022]]-Tabla16[[#This Row],[CDP]]</f>
        <v>0</v>
      </c>
      <c r="U321" s="1357">
        <v>25200000</v>
      </c>
      <c r="V321" s="1357">
        <v>8400000</v>
      </c>
      <c r="W321" s="1357"/>
      <c r="X321" s="1207"/>
      <c r="Y321" s="1207"/>
      <c r="Z321" s="1207"/>
      <c r="AA321" s="1207"/>
      <c r="AB321" s="1207"/>
      <c r="AC321" s="1207"/>
      <c r="AD321" s="1207"/>
      <c r="AE321" s="1207"/>
      <c r="AF321" s="1207"/>
      <c r="AG321" s="1207"/>
      <c r="AH321" s="1207"/>
      <c r="AI321" s="1207"/>
      <c r="AJ321" s="1207"/>
      <c r="AK321" s="1207"/>
      <c r="AL321" s="1207"/>
      <c r="AM321" s="1207"/>
      <c r="AN321" s="1207"/>
      <c r="AO321" s="1207"/>
      <c r="AP321" s="1207"/>
      <c r="AQ321" s="1207"/>
      <c r="AR321" s="1207"/>
      <c r="AS321" s="1207"/>
      <c r="AT321" s="1207"/>
      <c r="AU321" s="1207"/>
      <c r="AV321" s="1207"/>
      <c r="AW321" s="1207"/>
      <c r="AX321" s="1207"/>
      <c r="AY321" s="1207"/>
      <c r="AZ321" s="1207"/>
      <c r="BA321" s="1207"/>
      <c r="BB321" s="1207"/>
      <c r="BC321" s="1207"/>
      <c r="BD321" s="1207"/>
      <c r="BE321" s="1207"/>
      <c r="BF321" s="1207"/>
      <c r="BG321" s="1207"/>
      <c r="BH321" s="1207"/>
      <c r="BI321" s="1207"/>
      <c r="BJ321" s="1207"/>
      <c r="BK321" s="1207"/>
      <c r="BL321" s="1207"/>
      <c r="BM321" s="1207"/>
      <c r="BN321" s="1207"/>
      <c r="BO321" s="1207"/>
      <c r="BP321" s="1207"/>
      <c r="BQ321" s="1207"/>
      <c r="BR321" s="1207"/>
      <c r="BS321" s="1207"/>
      <c r="BT321" s="1207"/>
      <c r="BU321" s="1207"/>
      <c r="BV321" s="1207"/>
      <c r="BW321" s="1207"/>
      <c r="BX321" s="1207"/>
      <c r="BY321" s="1207"/>
      <c r="BZ321" s="1207"/>
      <c r="CA321" s="1207"/>
      <c r="CB321" s="1207"/>
      <c r="CC321" s="1207"/>
      <c r="CD321" s="1207"/>
      <c r="CE321" s="1207"/>
      <c r="CF321" s="1207"/>
    </row>
    <row r="322" spans="1:84" ht="135" x14ac:dyDescent="0.25">
      <c r="A322" s="1355">
        <v>2022342</v>
      </c>
      <c r="B322" s="1172">
        <v>7658</v>
      </c>
      <c r="C322" s="1356" t="s">
        <v>679</v>
      </c>
      <c r="D322" s="1190" t="s">
        <v>701</v>
      </c>
      <c r="E322" s="1174">
        <v>80111600</v>
      </c>
      <c r="F322" s="1380" t="s">
        <v>1011</v>
      </c>
      <c r="G322" s="1381">
        <v>44562</v>
      </c>
      <c r="H322" s="1381">
        <v>44592</v>
      </c>
      <c r="I322" s="1176">
        <v>12</v>
      </c>
      <c r="J322" s="1176" t="s">
        <v>673</v>
      </c>
      <c r="K322" s="1177" t="s">
        <v>674</v>
      </c>
      <c r="L322" s="1178" t="s">
        <v>675</v>
      </c>
      <c r="M322" s="1179">
        <v>25980000</v>
      </c>
      <c r="N322" s="1382" t="s">
        <v>1006</v>
      </c>
      <c r="O322" s="1174" t="s">
        <v>915</v>
      </c>
      <c r="P322" s="1207" t="s">
        <v>678</v>
      </c>
      <c r="Q322" s="1163"/>
      <c r="R322" s="1357">
        <v>25200000</v>
      </c>
      <c r="S322" s="1357">
        <v>25200000</v>
      </c>
      <c r="T322" s="1357">
        <f>+Tabla16[[#This Row],[CDPS A 31 JULIO 2022]]-Tabla16[[#This Row],[CDP]]</f>
        <v>0</v>
      </c>
      <c r="U322" s="1357">
        <v>25200000</v>
      </c>
      <c r="V322" s="1357">
        <v>8750000</v>
      </c>
      <c r="W322" s="1357"/>
      <c r="X322" s="1207"/>
      <c r="Y322" s="1207"/>
      <c r="Z322" s="1207"/>
      <c r="AA322" s="1207"/>
      <c r="AB322" s="1207"/>
      <c r="AC322" s="1207"/>
      <c r="AD322" s="1207"/>
      <c r="AE322" s="1207"/>
      <c r="AF322" s="1207"/>
      <c r="AG322" s="1207"/>
      <c r="AH322" s="1207"/>
      <c r="AI322" s="1207"/>
      <c r="AJ322" s="1207"/>
      <c r="AK322" s="1207"/>
      <c r="AL322" s="1207"/>
      <c r="AM322" s="1207"/>
      <c r="AN322" s="1207"/>
      <c r="AO322" s="1207"/>
      <c r="AP322" s="1207"/>
      <c r="AQ322" s="1207"/>
      <c r="AR322" s="1207"/>
      <c r="AS322" s="1207"/>
      <c r="AT322" s="1207"/>
      <c r="AU322" s="1207"/>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row>
    <row r="323" spans="1:84" ht="135" x14ac:dyDescent="0.25">
      <c r="A323" s="1355">
        <v>2022343</v>
      </c>
      <c r="B323" s="1172">
        <v>7658</v>
      </c>
      <c r="C323" s="1356" t="s">
        <v>679</v>
      </c>
      <c r="D323" s="1190" t="s">
        <v>701</v>
      </c>
      <c r="E323" s="1174">
        <v>80111600</v>
      </c>
      <c r="F323" s="1380" t="s">
        <v>1011</v>
      </c>
      <c r="G323" s="1381">
        <v>44562</v>
      </c>
      <c r="H323" s="1381">
        <v>44592</v>
      </c>
      <c r="I323" s="1176">
        <v>12</v>
      </c>
      <c r="J323" s="1176" t="s">
        <v>673</v>
      </c>
      <c r="K323" s="1177" t="s">
        <v>674</v>
      </c>
      <c r="L323" s="1178" t="s">
        <v>675</v>
      </c>
      <c r="M323" s="1179">
        <v>25980000</v>
      </c>
      <c r="N323" s="1382" t="s">
        <v>1006</v>
      </c>
      <c r="O323" s="1174" t="s">
        <v>915</v>
      </c>
      <c r="P323" s="1207" t="s">
        <v>678</v>
      </c>
      <c r="Q323" s="1163"/>
      <c r="R323" s="1357">
        <v>25200000</v>
      </c>
      <c r="S323" s="1357">
        <v>25200000</v>
      </c>
      <c r="T323" s="1357">
        <f>+Tabla16[[#This Row],[CDPS A 31 JULIO 2022]]-Tabla16[[#This Row],[CDP]]</f>
        <v>0</v>
      </c>
      <c r="U323" s="1357">
        <v>25200000</v>
      </c>
      <c r="V323" s="1357">
        <v>8400000</v>
      </c>
      <c r="W323" s="1357"/>
      <c r="X323" s="1207"/>
      <c r="Y323" s="1207"/>
      <c r="Z323" s="1207"/>
      <c r="AA323" s="1207"/>
      <c r="AB323" s="1207"/>
      <c r="AC323" s="1207"/>
      <c r="AD323" s="1207"/>
      <c r="AE323" s="1207"/>
      <c r="AF323" s="1207"/>
      <c r="AG323" s="1207"/>
      <c r="AH323" s="1207"/>
      <c r="AI323" s="1207"/>
      <c r="AJ323" s="1207"/>
      <c r="AK323" s="1207"/>
      <c r="AL323" s="1207"/>
      <c r="AM323" s="1207"/>
      <c r="AN323" s="1207"/>
      <c r="AO323" s="1207"/>
      <c r="AP323" s="1207"/>
      <c r="AQ323" s="1207"/>
      <c r="AR323" s="1207"/>
      <c r="AS323" s="1207"/>
      <c r="AT323" s="1207"/>
      <c r="AU323" s="1207"/>
      <c r="AV323" s="1207"/>
      <c r="AW323" s="1207"/>
      <c r="AX323" s="1207"/>
      <c r="AY323" s="1207"/>
      <c r="AZ323" s="1207"/>
      <c r="BA323" s="1207"/>
      <c r="BB323" s="1207"/>
      <c r="BC323" s="1207"/>
      <c r="BD323" s="1207"/>
      <c r="BE323" s="1207"/>
      <c r="BF323" s="1207"/>
      <c r="BG323" s="1207"/>
      <c r="BH323" s="1207"/>
      <c r="BI323" s="1207"/>
      <c r="BJ323" s="1207"/>
      <c r="BK323" s="1207"/>
      <c r="BL323" s="1207"/>
      <c r="BM323" s="1207"/>
      <c r="BN323" s="1207"/>
      <c r="BO323" s="1207"/>
      <c r="BP323" s="1207"/>
      <c r="BQ323" s="1207"/>
      <c r="BR323" s="1207"/>
      <c r="BS323" s="1207"/>
      <c r="BT323" s="1207"/>
      <c r="BU323" s="1207"/>
      <c r="BV323" s="1207"/>
      <c r="BW323" s="1207"/>
      <c r="BX323" s="1207"/>
      <c r="BY323" s="1207"/>
      <c r="BZ323" s="1207"/>
      <c r="CA323" s="1207"/>
      <c r="CB323" s="1207"/>
      <c r="CC323" s="1207"/>
      <c r="CD323" s="1207"/>
      <c r="CE323" s="1207"/>
      <c r="CF323" s="1207"/>
    </row>
    <row r="324" spans="1:84" ht="135" x14ac:dyDescent="0.25">
      <c r="A324" s="1355">
        <v>2022344</v>
      </c>
      <c r="B324" s="1172">
        <v>7658</v>
      </c>
      <c r="C324" s="1356" t="s">
        <v>679</v>
      </c>
      <c r="D324" s="1190" t="s">
        <v>701</v>
      </c>
      <c r="E324" s="1174">
        <v>80111600</v>
      </c>
      <c r="F324" s="1380" t="s">
        <v>1011</v>
      </c>
      <c r="G324" s="1381">
        <v>44562</v>
      </c>
      <c r="H324" s="1381">
        <v>44592</v>
      </c>
      <c r="I324" s="1176">
        <v>12</v>
      </c>
      <c r="J324" s="1176" t="s">
        <v>673</v>
      </c>
      <c r="K324" s="1177" t="s">
        <v>674</v>
      </c>
      <c r="L324" s="1178" t="s">
        <v>675</v>
      </c>
      <c r="M324" s="1179">
        <v>25980000</v>
      </c>
      <c r="N324" s="1382" t="s">
        <v>1006</v>
      </c>
      <c r="O324" s="1174" t="s">
        <v>915</v>
      </c>
      <c r="P324" s="1207" t="s">
        <v>678</v>
      </c>
      <c r="Q324" s="1163"/>
      <c r="R324" s="1357">
        <v>25200000</v>
      </c>
      <c r="S324" s="1357">
        <v>25200000</v>
      </c>
      <c r="T324" s="1357">
        <f>+Tabla16[[#This Row],[CDPS A 31 JULIO 2022]]-Tabla16[[#This Row],[CDP]]</f>
        <v>0</v>
      </c>
      <c r="U324" s="1357">
        <v>25200000</v>
      </c>
      <c r="V324" s="1357">
        <v>7980000</v>
      </c>
      <c r="W324" s="1357"/>
      <c r="X324" s="1207"/>
      <c r="Y324" s="1207"/>
      <c r="Z324" s="1207"/>
      <c r="AA324" s="1207"/>
      <c r="AB324" s="1207"/>
      <c r="AC324" s="1207"/>
      <c r="AD324" s="1207"/>
      <c r="AE324" s="1207"/>
      <c r="AF324" s="1207"/>
      <c r="AG324" s="1207"/>
      <c r="AH324" s="1207"/>
      <c r="AI324" s="1207"/>
      <c r="AJ324" s="1207"/>
      <c r="AK324" s="1207"/>
      <c r="AL324" s="1207"/>
      <c r="AM324" s="1207"/>
      <c r="AN324" s="1207"/>
      <c r="AO324" s="1207"/>
      <c r="AP324" s="1207"/>
      <c r="AQ324" s="1207"/>
      <c r="AR324" s="1207"/>
      <c r="AS324" s="1207"/>
      <c r="AT324" s="1207"/>
      <c r="AU324" s="1207"/>
      <c r="AV324" s="1207"/>
      <c r="AW324" s="1207"/>
      <c r="AX324" s="1207"/>
      <c r="AY324" s="1207"/>
      <c r="AZ324" s="1207"/>
      <c r="BA324" s="1207"/>
      <c r="BB324" s="1207"/>
      <c r="BC324" s="1207"/>
      <c r="BD324" s="1207"/>
      <c r="BE324" s="1207"/>
      <c r="BF324" s="1207"/>
      <c r="BG324" s="1207"/>
      <c r="BH324" s="1207"/>
      <c r="BI324" s="1207"/>
      <c r="BJ324" s="1207"/>
      <c r="BK324" s="1207"/>
      <c r="BL324" s="1207"/>
      <c r="BM324" s="1207"/>
      <c r="BN324" s="1207"/>
      <c r="BO324" s="1207"/>
      <c r="BP324" s="1207"/>
      <c r="BQ324" s="1207"/>
      <c r="BR324" s="1207"/>
      <c r="BS324" s="1207"/>
      <c r="BT324" s="1207"/>
      <c r="BU324" s="1207"/>
      <c r="BV324" s="1207"/>
      <c r="BW324" s="1207"/>
      <c r="BX324" s="1207"/>
      <c r="BY324" s="1207"/>
      <c r="BZ324" s="1207"/>
      <c r="CA324" s="1207"/>
      <c r="CB324" s="1207"/>
      <c r="CC324" s="1207"/>
      <c r="CD324" s="1207"/>
      <c r="CE324" s="1207"/>
      <c r="CF324" s="1207"/>
    </row>
    <row r="325" spans="1:84" ht="135" x14ac:dyDescent="0.25">
      <c r="A325" s="1355">
        <v>2022345</v>
      </c>
      <c r="B325" s="1172">
        <v>7658</v>
      </c>
      <c r="C325" s="1356" t="s">
        <v>679</v>
      </c>
      <c r="D325" s="1190" t="s">
        <v>701</v>
      </c>
      <c r="E325" s="1174">
        <v>80111600</v>
      </c>
      <c r="F325" s="1380" t="s">
        <v>1011</v>
      </c>
      <c r="G325" s="1381">
        <v>44562</v>
      </c>
      <c r="H325" s="1381">
        <v>44592</v>
      </c>
      <c r="I325" s="1176">
        <v>12</v>
      </c>
      <c r="J325" s="1176" t="s">
        <v>673</v>
      </c>
      <c r="K325" s="1177" t="s">
        <v>674</v>
      </c>
      <c r="L325" s="1178" t="s">
        <v>675</v>
      </c>
      <c r="M325" s="1179">
        <v>25980000</v>
      </c>
      <c r="N325" s="1382" t="s">
        <v>1006</v>
      </c>
      <c r="O325" s="1174" t="s">
        <v>915</v>
      </c>
      <c r="P325" s="1207" t="s">
        <v>678</v>
      </c>
      <c r="Q325" s="1163"/>
      <c r="R325" s="1357">
        <v>25200000</v>
      </c>
      <c r="S325" s="1357">
        <v>25200000</v>
      </c>
      <c r="T325" s="1357">
        <f>+Tabla16[[#This Row],[CDPS A 31 JULIO 2022]]-Tabla16[[#This Row],[CDP]]</f>
        <v>0</v>
      </c>
      <c r="U325" s="1357">
        <v>25200000</v>
      </c>
      <c r="V325" s="1357">
        <v>8400000</v>
      </c>
      <c r="W325" s="1357"/>
      <c r="X325" s="1207"/>
      <c r="Y325" s="1207"/>
      <c r="Z325" s="1207"/>
      <c r="AA325" s="1207"/>
      <c r="AB325" s="1207"/>
      <c r="AC325" s="1207"/>
      <c r="AD325" s="1207"/>
      <c r="AE325" s="1207"/>
      <c r="AF325" s="1207"/>
      <c r="AG325" s="1207"/>
      <c r="AH325" s="1207"/>
      <c r="AI325" s="1207"/>
      <c r="AJ325" s="1207"/>
      <c r="AK325" s="1207"/>
      <c r="AL325" s="1207"/>
      <c r="AM325" s="1207"/>
      <c r="AN325" s="1207"/>
      <c r="AO325" s="1207"/>
      <c r="AP325" s="1207"/>
      <c r="AQ325" s="1207"/>
      <c r="AR325" s="1207"/>
      <c r="AS325" s="1207"/>
      <c r="AT325" s="1207"/>
      <c r="AU325" s="1207"/>
      <c r="AV325" s="1207"/>
      <c r="AW325" s="1207"/>
      <c r="AX325" s="1207"/>
      <c r="AY325" s="1207"/>
      <c r="AZ325" s="1207"/>
      <c r="BA325" s="1207"/>
      <c r="BB325" s="1207"/>
      <c r="BC325" s="1207"/>
      <c r="BD325" s="1207"/>
      <c r="BE325" s="1207"/>
      <c r="BF325" s="1207"/>
      <c r="BG325" s="1207"/>
      <c r="BH325" s="1207"/>
      <c r="BI325" s="1207"/>
      <c r="BJ325" s="1207"/>
      <c r="BK325" s="1207"/>
      <c r="BL325" s="1207"/>
      <c r="BM325" s="1207"/>
      <c r="BN325" s="1207"/>
      <c r="BO325" s="1207"/>
      <c r="BP325" s="1207"/>
      <c r="BQ325" s="1207"/>
      <c r="BR325" s="1207"/>
      <c r="BS325" s="1207"/>
      <c r="BT325" s="1207"/>
      <c r="BU325" s="1207"/>
      <c r="BV325" s="1207"/>
      <c r="BW325" s="1207"/>
      <c r="BX325" s="1207"/>
      <c r="BY325" s="1207"/>
      <c r="BZ325" s="1207"/>
      <c r="CA325" s="1207"/>
      <c r="CB325" s="1207"/>
      <c r="CC325" s="1207"/>
      <c r="CD325" s="1207"/>
      <c r="CE325" s="1207"/>
      <c r="CF325" s="1207"/>
    </row>
    <row r="326" spans="1:84" ht="135" x14ac:dyDescent="0.25">
      <c r="A326" s="1355">
        <v>2022346</v>
      </c>
      <c r="B326" s="1172">
        <v>7658</v>
      </c>
      <c r="C326" s="1356" t="s">
        <v>679</v>
      </c>
      <c r="D326" s="1190" t="s">
        <v>701</v>
      </c>
      <c r="E326" s="1174">
        <v>80111600</v>
      </c>
      <c r="F326" s="1380" t="s">
        <v>1011</v>
      </c>
      <c r="G326" s="1381">
        <v>44562</v>
      </c>
      <c r="H326" s="1381">
        <v>44592</v>
      </c>
      <c r="I326" s="1176">
        <v>12</v>
      </c>
      <c r="J326" s="1176" t="s">
        <v>673</v>
      </c>
      <c r="K326" s="1177" t="s">
        <v>674</v>
      </c>
      <c r="L326" s="1178" t="s">
        <v>675</v>
      </c>
      <c r="M326" s="1179">
        <v>25980000</v>
      </c>
      <c r="N326" s="1382" t="s">
        <v>1006</v>
      </c>
      <c r="O326" s="1174" t="s">
        <v>915</v>
      </c>
      <c r="P326" s="1207" t="s">
        <v>678</v>
      </c>
      <c r="Q326" s="1163"/>
      <c r="R326" s="1357">
        <v>25200000</v>
      </c>
      <c r="S326" s="1357">
        <v>25200000</v>
      </c>
      <c r="T326" s="1357">
        <f>+Tabla16[[#This Row],[CDPS A 31 JULIO 2022]]-Tabla16[[#This Row],[CDP]]</f>
        <v>0</v>
      </c>
      <c r="U326" s="1357">
        <v>25200000</v>
      </c>
      <c r="V326" s="1357">
        <v>8400000</v>
      </c>
      <c r="W326" s="1357"/>
      <c r="X326" s="1207"/>
      <c r="Y326" s="1207"/>
      <c r="Z326" s="1207"/>
      <c r="AA326" s="1207"/>
      <c r="AB326" s="1207"/>
      <c r="AC326" s="1207"/>
      <c r="AD326" s="1207"/>
      <c r="AE326" s="1207"/>
      <c r="AF326" s="1207"/>
      <c r="AG326" s="1207"/>
      <c r="AH326" s="1207"/>
      <c r="AI326" s="1207"/>
      <c r="AJ326" s="1207"/>
      <c r="AK326" s="1207"/>
      <c r="AL326" s="1207"/>
      <c r="AM326" s="1207"/>
      <c r="AN326" s="1207"/>
      <c r="AO326" s="1207"/>
      <c r="AP326" s="1207"/>
      <c r="AQ326" s="1207"/>
      <c r="AR326" s="1207"/>
      <c r="AS326" s="1207"/>
      <c r="AT326" s="1207"/>
      <c r="AU326" s="1207"/>
      <c r="AV326" s="1207"/>
      <c r="AW326" s="1207"/>
      <c r="AX326" s="1207"/>
      <c r="AY326" s="1207"/>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1207"/>
      <c r="BS326" s="1207"/>
      <c r="BT326" s="1207"/>
      <c r="BU326" s="1207"/>
      <c r="BV326" s="1207"/>
      <c r="BW326" s="1207"/>
      <c r="BX326" s="1207"/>
      <c r="BY326" s="1207"/>
      <c r="BZ326" s="1207"/>
      <c r="CA326" s="1207"/>
      <c r="CB326" s="1207"/>
      <c r="CC326" s="1207"/>
      <c r="CD326" s="1207"/>
      <c r="CE326" s="1207"/>
      <c r="CF326" s="1207"/>
    </row>
    <row r="327" spans="1:84" ht="135" x14ac:dyDescent="0.25">
      <c r="A327" s="1355">
        <v>2022347</v>
      </c>
      <c r="B327" s="1172">
        <v>7658</v>
      </c>
      <c r="C327" s="1356" t="s">
        <v>679</v>
      </c>
      <c r="D327" s="1190" t="s">
        <v>701</v>
      </c>
      <c r="E327" s="1174">
        <v>80111600</v>
      </c>
      <c r="F327" s="1380" t="s">
        <v>1011</v>
      </c>
      <c r="G327" s="1381">
        <v>44562</v>
      </c>
      <c r="H327" s="1381">
        <v>44592</v>
      </c>
      <c r="I327" s="1176">
        <v>12</v>
      </c>
      <c r="J327" s="1176" t="s">
        <v>673</v>
      </c>
      <c r="K327" s="1177" t="s">
        <v>674</v>
      </c>
      <c r="L327" s="1178" t="s">
        <v>675</v>
      </c>
      <c r="M327" s="1179">
        <f>25980000-25980000</f>
        <v>0</v>
      </c>
      <c r="N327" s="1382" t="s">
        <v>1006</v>
      </c>
      <c r="O327" s="1174" t="s">
        <v>915</v>
      </c>
      <c r="P327" s="1207" t="s">
        <v>678</v>
      </c>
      <c r="Q327" s="1163"/>
      <c r="R327" s="1357">
        <v>25200000</v>
      </c>
      <c r="S327" s="1357">
        <v>25200000</v>
      </c>
      <c r="T327" s="1357">
        <f>+Tabla16[[#This Row],[CDPS A 31 JULIO 2022]]-Tabla16[[#This Row],[CDP]]</f>
        <v>0</v>
      </c>
      <c r="U327" s="1357">
        <v>25200000</v>
      </c>
      <c r="V327" s="1357">
        <v>7980000</v>
      </c>
      <c r="W327" s="1357"/>
      <c r="X327" s="1207"/>
      <c r="Y327" s="1207"/>
      <c r="Z327" s="1207"/>
      <c r="AA327" s="1207"/>
      <c r="AB327" s="1207"/>
      <c r="AC327" s="1207"/>
      <c r="AD327" s="1207"/>
      <c r="AE327" s="1207"/>
      <c r="AF327" s="1207"/>
      <c r="AG327" s="1207"/>
      <c r="AH327" s="1207"/>
      <c r="AI327" s="1207"/>
      <c r="AJ327" s="1207"/>
      <c r="AK327" s="1207"/>
      <c r="AL327" s="1207"/>
      <c r="AM327" s="1207"/>
      <c r="AN327" s="1207"/>
      <c r="AO327" s="1207"/>
      <c r="AP327" s="1207"/>
      <c r="AQ327" s="1207"/>
      <c r="AR327" s="1207"/>
      <c r="AS327" s="1207"/>
      <c r="AT327" s="1207"/>
      <c r="AU327" s="1207"/>
      <c r="AV327" s="1207"/>
      <c r="AW327" s="1207"/>
      <c r="AX327" s="1207"/>
      <c r="AY327" s="1207"/>
      <c r="AZ327" s="1207"/>
      <c r="BA327" s="1207"/>
      <c r="BB327" s="1207"/>
      <c r="BC327" s="1207"/>
      <c r="BD327" s="1207"/>
      <c r="BE327" s="1207"/>
      <c r="BF327" s="1207"/>
      <c r="BG327" s="1207"/>
      <c r="BH327" s="1207"/>
      <c r="BI327" s="1207"/>
      <c r="BJ327" s="1207"/>
      <c r="BK327" s="1207"/>
      <c r="BL327" s="1207"/>
      <c r="BM327" s="1207"/>
      <c r="BN327" s="1207"/>
      <c r="BO327" s="1207"/>
      <c r="BP327" s="1207"/>
      <c r="BQ327" s="1207"/>
      <c r="BR327" s="1207"/>
      <c r="BS327" s="1207"/>
      <c r="BT327" s="1207"/>
      <c r="BU327" s="1207"/>
      <c r="BV327" s="1207"/>
      <c r="BW327" s="1207"/>
      <c r="BX327" s="1207"/>
      <c r="BY327" s="1207"/>
      <c r="BZ327" s="1207"/>
      <c r="CA327" s="1207"/>
      <c r="CB327" s="1207"/>
      <c r="CC327" s="1207"/>
      <c r="CD327" s="1207"/>
      <c r="CE327" s="1207"/>
      <c r="CF327" s="1207"/>
    </row>
    <row r="328" spans="1:84" ht="135" x14ac:dyDescent="0.25">
      <c r="A328" s="1355">
        <v>2022348</v>
      </c>
      <c r="B328" s="1172">
        <v>7658</v>
      </c>
      <c r="C328" s="1356" t="s">
        <v>679</v>
      </c>
      <c r="D328" s="1190" t="s">
        <v>701</v>
      </c>
      <c r="E328" s="1174">
        <v>80111600</v>
      </c>
      <c r="F328" s="1380" t="s">
        <v>1011</v>
      </c>
      <c r="G328" s="1381">
        <v>44562</v>
      </c>
      <c r="H328" s="1381">
        <v>44592</v>
      </c>
      <c r="I328" s="1176">
        <v>12</v>
      </c>
      <c r="J328" s="1176" t="s">
        <v>673</v>
      </c>
      <c r="K328" s="1177" t="s">
        <v>674</v>
      </c>
      <c r="L328" s="1178" t="s">
        <v>675</v>
      </c>
      <c r="M328" s="1179">
        <v>25980000</v>
      </c>
      <c r="N328" s="1382" t="s">
        <v>1006</v>
      </c>
      <c r="O328" s="1174" t="s">
        <v>915</v>
      </c>
      <c r="P328" s="1207" t="s">
        <v>678</v>
      </c>
      <c r="Q328" s="1163"/>
      <c r="R328" s="1357">
        <v>25200000</v>
      </c>
      <c r="S328" s="1357">
        <v>25200000</v>
      </c>
      <c r="T328" s="1357">
        <f>+Tabla16[[#This Row],[CDPS A 31 JULIO 2022]]-Tabla16[[#This Row],[CDP]]</f>
        <v>0</v>
      </c>
      <c r="U328" s="1357">
        <v>25200000</v>
      </c>
      <c r="V328" s="1357">
        <v>7980000</v>
      </c>
      <c r="W328" s="1357"/>
      <c r="X328" s="1207"/>
      <c r="Y328" s="1207"/>
      <c r="Z328" s="1207"/>
      <c r="AA328" s="1207"/>
      <c r="AB328" s="1207"/>
      <c r="AC328" s="1207"/>
      <c r="AD328" s="1207"/>
      <c r="AE328" s="1207"/>
      <c r="AF328" s="1207"/>
      <c r="AG328" s="1207"/>
      <c r="AH328" s="1207"/>
      <c r="AI328" s="1207"/>
      <c r="AJ328" s="1207"/>
      <c r="AK328" s="1207"/>
      <c r="AL328" s="1207"/>
      <c r="AM328" s="1207"/>
      <c r="AN328" s="1207"/>
      <c r="AO328" s="1207"/>
      <c r="AP328" s="1207"/>
      <c r="AQ328" s="1207"/>
      <c r="AR328" s="1207"/>
      <c r="AS328" s="1207"/>
      <c r="AT328" s="1207"/>
      <c r="AU328" s="1207"/>
      <c r="AV328" s="1207"/>
      <c r="AW328" s="1207"/>
      <c r="AX328" s="1207"/>
      <c r="AY328" s="1207"/>
      <c r="AZ328" s="1207"/>
      <c r="BA328" s="1207"/>
      <c r="BB328" s="1207"/>
      <c r="BC328" s="1207"/>
      <c r="BD328" s="1207"/>
      <c r="BE328" s="1207"/>
      <c r="BF328" s="1207"/>
      <c r="BG328" s="1207"/>
      <c r="BH328" s="1207"/>
      <c r="BI328" s="1207"/>
      <c r="BJ328" s="1207"/>
      <c r="BK328" s="1207"/>
      <c r="BL328" s="1207"/>
      <c r="BM328" s="1207"/>
      <c r="BN328" s="1207"/>
      <c r="BO328" s="1207"/>
      <c r="BP328" s="1207"/>
      <c r="BQ328" s="1207"/>
      <c r="BR328" s="1207"/>
      <c r="BS328" s="1207"/>
      <c r="BT328" s="1207"/>
      <c r="BU328" s="1207"/>
      <c r="BV328" s="1207"/>
      <c r="BW328" s="1207"/>
      <c r="BX328" s="1207"/>
      <c r="BY328" s="1207"/>
      <c r="BZ328" s="1207"/>
      <c r="CA328" s="1207"/>
      <c r="CB328" s="1207"/>
      <c r="CC328" s="1207"/>
      <c r="CD328" s="1207"/>
      <c r="CE328" s="1207"/>
      <c r="CF328" s="1207"/>
    </row>
    <row r="329" spans="1:84" ht="135" x14ac:dyDescent="0.25">
      <c r="A329" s="1355">
        <v>2022349</v>
      </c>
      <c r="B329" s="1172">
        <v>7658</v>
      </c>
      <c r="C329" s="1356" t="s">
        <v>679</v>
      </c>
      <c r="D329" s="1190" t="s">
        <v>701</v>
      </c>
      <c r="E329" s="1174">
        <v>80111600</v>
      </c>
      <c r="F329" s="1380" t="s">
        <v>1011</v>
      </c>
      <c r="G329" s="1381">
        <v>44562</v>
      </c>
      <c r="H329" s="1381">
        <v>44592</v>
      </c>
      <c r="I329" s="1176">
        <v>12</v>
      </c>
      <c r="J329" s="1176" t="s">
        <v>673</v>
      </c>
      <c r="K329" s="1177" t="s">
        <v>674</v>
      </c>
      <c r="L329" s="1178" t="s">
        <v>675</v>
      </c>
      <c r="M329" s="1179">
        <v>25980000</v>
      </c>
      <c r="N329" s="1382" t="s">
        <v>1006</v>
      </c>
      <c r="O329" s="1174" t="s">
        <v>915</v>
      </c>
      <c r="P329" s="1207" t="s">
        <v>678</v>
      </c>
      <c r="Q329" s="1163"/>
      <c r="R329" s="1357">
        <v>25200000</v>
      </c>
      <c r="S329" s="1357">
        <v>25200000</v>
      </c>
      <c r="T329" s="1357">
        <f>+Tabla16[[#This Row],[CDPS A 31 JULIO 2022]]-Tabla16[[#This Row],[CDP]]</f>
        <v>0</v>
      </c>
      <c r="U329" s="1357">
        <v>25200000</v>
      </c>
      <c r="V329" s="1357">
        <v>7980000</v>
      </c>
      <c r="W329" s="1357"/>
      <c r="X329" s="1207"/>
      <c r="Y329" s="1207"/>
      <c r="Z329" s="1207"/>
      <c r="AA329" s="1207"/>
      <c r="AB329" s="1207"/>
      <c r="AC329" s="1207"/>
      <c r="AD329" s="1207"/>
      <c r="AE329" s="1207"/>
      <c r="AF329" s="1207"/>
      <c r="AG329" s="1207"/>
      <c r="AH329" s="1207"/>
      <c r="AI329" s="1207"/>
      <c r="AJ329" s="1207"/>
      <c r="AK329" s="1207"/>
      <c r="AL329" s="1207"/>
      <c r="AM329" s="1207"/>
      <c r="AN329" s="1207"/>
      <c r="AO329" s="1207"/>
      <c r="AP329" s="1207"/>
      <c r="AQ329" s="1207"/>
      <c r="AR329" s="1207"/>
      <c r="AS329" s="1207"/>
      <c r="AT329" s="1207"/>
      <c r="AU329" s="1207"/>
      <c r="AV329" s="1207"/>
      <c r="AW329" s="1207"/>
      <c r="AX329" s="1207"/>
      <c r="AY329" s="1207"/>
      <c r="AZ329" s="1207"/>
      <c r="BA329" s="1207"/>
      <c r="BB329" s="1207"/>
      <c r="BC329" s="1207"/>
      <c r="BD329" s="1207"/>
      <c r="BE329" s="1207"/>
      <c r="BF329" s="1207"/>
      <c r="BG329" s="1207"/>
      <c r="BH329" s="1207"/>
      <c r="BI329" s="1207"/>
      <c r="BJ329" s="1207"/>
      <c r="BK329" s="1207"/>
      <c r="BL329" s="1207"/>
      <c r="BM329" s="1207"/>
      <c r="BN329" s="1207"/>
      <c r="BO329" s="1207"/>
      <c r="BP329" s="1207"/>
      <c r="BQ329" s="1207"/>
      <c r="BR329" s="1207"/>
      <c r="BS329" s="1207"/>
      <c r="BT329" s="1207"/>
      <c r="BU329" s="1207"/>
      <c r="BV329" s="1207"/>
      <c r="BW329" s="1207"/>
      <c r="BX329" s="1207"/>
      <c r="BY329" s="1207"/>
      <c r="BZ329" s="1207"/>
      <c r="CA329" s="1207"/>
      <c r="CB329" s="1207"/>
      <c r="CC329" s="1207"/>
      <c r="CD329" s="1207"/>
      <c r="CE329" s="1207"/>
      <c r="CF329" s="1207"/>
    </row>
    <row r="330" spans="1:84" ht="135" x14ac:dyDescent="0.25">
      <c r="A330" s="1355">
        <v>2022350</v>
      </c>
      <c r="B330" s="1172">
        <v>7658</v>
      </c>
      <c r="C330" s="1356" t="s">
        <v>679</v>
      </c>
      <c r="D330" s="1190" t="s">
        <v>701</v>
      </c>
      <c r="E330" s="1174">
        <v>80111600</v>
      </c>
      <c r="F330" s="1380" t="s">
        <v>1011</v>
      </c>
      <c r="G330" s="1381">
        <v>44562</v>
      </c>
      <c r="H330" s="1381">
        <v>44592</v>
      </c>
      <c r="I330" s="1176">
        <v>12</v>
      </c>
      <c r="J330" s="1176" t="s">
        <v>673</v>
      </c>
      <c r="K330" s="1177" t="s">
        <v>674</v>
      </c>
      <c r="L330" s="1178" t="s">
        <v>675</v>
      </c>
      <c r="M330" s="1179">
        <v>25980000</v>
      </c>
      <c r="N330" s="1382" t="s">
        <v>1006</v>
      </c>
      <c r="O330" s="1174" t="s">
        <v>915</v>
      </c>
      <c r="P330" s="1207" t="s">
        <v>678</v>
      </c>
      <c r="Q330" s="1163"/>
      <c r="R330" s="1357">
        <v>25200000</v>
      </c>
      <c r="S330" s="1357">
        <v>25200000</v>
      </c>
      <c r="T330" s="1357">
        <f>+Tabla16[[#This Row],[CDPS A 31 JULIO 2022]]-Tabla16[[#This Row],[CDP]]</f>
        <v>0</v>
      </c>
      <c r="U330" s="1357">
        <v>25200000</v>
      </c>
      <c r="V330" s="1357">
        <v>8400000</v>
      </c>
      <c r="W330" s="1357"/>
      <c r="X330" s="1207"/>
      <c r="Y330" s="1207"/>
      <c r="Z330" s="1207"/>
      <c r="AA330" s="1207"/>
      <c r="AB330" s="1207"/>
      <c r="AC330" s="1207"/>
      <c r="AD330" s="1207"/>
      <c r="AE330" s="1207"/>
      <c r="AF330" s="1207"/>
      <c r="AG330" s="1207"/>
      <c r="AH330" s="1207"/>
      <c r="AI330" s="1207"/>
      <c r="AJ330" s="1207"/>
      <c r="AK330" s="1207"/>
      <c r="AL330" s="1207"/>
      <c r="AM330" s="1207"/>
      <c r="AN330" s="1207"/>
      <c r="AO330" s="1207"/>
      <c r="AP330" s="1207"/>
      <c r="AQ330" s="1207"/>
      <c r="AR330" s="1207"/>
      <c r="AS330" s="1207"/>
      <c r="AT330" s="1207"/>
      <c r="AU330" s="1207"/>
      <c r="AV330" s="1207"/>
      <c r="AW330" s="1207"/>
      <c r="AX330" s="1207"/>
      <c r="AY330" s="1207"/>
      <c r="AZ330" s="1207"/>
      <c r="BA330" s="1207"/>
      <c r="BB330" s="1207"/>
      <c r="BC330" s="1207"/>
      <c r="BD330" s="1207"/>
      <c r="BE330" s="1207"/>
      <c r="BF330" s="1207"/>
      <c r="BG330" s="1207"/>
      <c r="BH330" s="1207"/>
      <c r="BI330" s="1207"/>
      <c r="BJ330" s="1207"/>
      <c r="BK330" s="1207"/>
      <c r="BL330" s="1207"/>
      <c r="BM330" s="1207"/>
      <c r="BN330" s="1207"/>
      <c r="BO330" s="1207"/>
      <c r="BP330" s="1207"/>
      <c r="BQ330" s="1207"/>
      <c r="BR330" s="1207"/>
      <c r="BS330" s="1207"/>
      <c r="BT330" s="1207"/>
      <c r="BU330" s="1207"/>
      <c r="BV330" s="1207"/>
      <c r="BW330" s="1207"/>
      <c r="BX330" s="1207"/>
      <c r="BY330" s="1207"/>
      <c r="BZ330" s="1207"/>
      <c r="CA330" s="1207"/>
      <c r="CB330" s="1207"/>
      <c r="CC330" s="1207"/>
      <c r="CD330" s="1207"/>
      <c r="CE330" s="1207"/>
      <c r="CF330" s="1207"/>
    </row>
    <row r="331" spans="1:84" ht="135" x14ac:dyDescent="0.25">
      <c r="A331" s="1355">
        <v>2022351</v>
      </c>
      <c r="B331" s="1172">
        <v>7658</v>
      </c>
      <c r="C331" s="1356" t="s">
        <v>679</v>
      </c>
      <c r="D331" s="1190" t="s">
        <v>701</v>
      </c>
      <c r="E331" s="1174">
        <v>80111600</v>
      </c>
      <c r="F331" s="1380" t="s">
        <v>1011</v>
      </c>
      <c r="G331" s="1381">
        <v>44562</v>
      </c>
      <c r="H331" s="1381">
        <v>44592</v>
      </c>
      <c r="I331" s="1176">
        <v>12</v>
      </c>
      <c r="J331" s="1176" t="s">
        <v>673</v>
      </c>
      <c r="K331" s="1177" t="s">
        <v>674</v>
      </c>
      <c r="L331" s="1178" t="s">
        <v>675</v>
      </c>
      <c r="M331" s="1179">
        <v>25980000</v>
      </c>
      <c r="N331" s="1382" t="s">
        <v>1006</v>
      </c>
      <c r="O331" s="1174" t="s">
        <v>915</v>
      </c>
      <c r="P331" s="1207" t="s">
        <v>678</v>
      </c>
      <c r="Q331" s="1163"/>
      <c r="R331" s="1357">
        <v>25200000</v>
      </c>
      <c r="S331" s="1357">
        <v>25200000</v>
      </c>
      <c r="T331" s="1357">
        <f>+Tabla16[[#This Row],[CDPS A 31 JULIO 2022]]-Tabla16[[#This Row],[CDP]]</f>
        <v>0</v>
      </c>
      <c r="U331" s="1357">
        <v>25200000</v>
      </c>
      <c r="V331" s="1357">
        <v>5810000</v>
      </c>
      <c r="W331" s="1357"/>
      <c r="X331" s="1207"/>
      <c r="Y331" s="1207"/>
      <c r="Z331" s="1207"/>
      <c r="AA331" s="1207"/>
      <c r="AB331" s="1207"/>
      <c r="AC331" s="1207"/>
      <c r="AD331" s="1207"/>
      <c r="AE331" s="1207"/>
      <c r="AF331" s="1207"/>
      <c r="AG331" s="1207"/>
      <c r="AH331" s="1207"/>
      <c r="AI331" s="1207"/>
      <c r="AJ331" s="1207"/>
      <c r="AK331" s="1207"/>
      <c r="AL331" s="1207"/>
      <c r="AM331" s="1207"/>
      <c r="AN331" s="1207"/>
      <c r="AO331" s="1207"/>
      <c r="AP331" s="1207"/>
      <c r="AQ331" s="1207"/>
      <c r="AR331" s="1207"/>
      <c r="AS331" s="1207"/>
      <c r="AT331" s="1207"/>
      <c r="AU331" s="1207"/>
      <c r="AV331" s="1207"/>
      <c r="AW331" s="1207"/>
      <c r="AX331" s="1207"/>
      <c r="AY331" s="1207"/>
      <c r="AZ331" s="1207"/>
      <c r="BA331" s="1207"/>
      <c r="BB331" s="1207"/>
      <c r="BC331" s="1207"/>
      <c r="BD331" s="1207"/>
      <c r="BE331" s="1207"/>
      <c r="BF331" s="1207"/>
      <c r="BG331" s="1207"/>
      <c r="BH331" s="1207"/>
      <c r="BI331" s="1207"/>
      <c r="BJ331" s="1207"/>
      <c r="BK331" s="1207"/>
      <c r="BL331" s="1207"/>
      <c r="BM331" s="1207"/>
      <c r="BN331" s="1207"/>
      <c r="BO331" s="1207"/>
      <c r="BP331" s="1207"/>
      <c r="BQ331" s="1207"/>
      <c r="BR331" s="1207"/>
      <c r="BS331" s="1207"/>
      <c r="BT331" s="1207"/>
      <c r="BU331" s="1207"/>
      <c r="BV331" s="1207"/>
      <c r="BW331" s="1207"/>
      <c r="BX331" s="1207"/>
      <c r="BY331" s="1207"/>
      <c r="BZ331" s="1207"/>
      <c r="CA331" s="1207"/>
      <c r="CB331" s="1207"/>
      <c r="CC331" s="1207"/>
      <c r="CD331" s="1207"/>
      <c r="CE331" s="1207"/>
      <c r="CF331" s="1207"/>
    </row>
    <row r="332" spans="1:84" ht="135" x14ac:dyDescent="0.25">
      <c r="A332" s="1355">
        <v>2022352</v>
      </c>
      <c r="B332" s="1172">
        <v>7658</v>
      </c>
      <c r="C332" s="1356" t="s">
        <v>679</v>
      </c>
      <c r="D332" s="1190" t="s">
        <v>701</v>
      </c>
      <c r="E332" s="1174">
        <v>80111600</v>
      </c>
      <c r="F332" s="1380" t="s">
        <v>1011</v>
      </c>
      <c r="G332" s="1381">
        <v>44562</v>
      </c>
      <c r="H332" s="1381">
        <v>44592</v>
      </c>
      <c r="I332" s="1176">
        <v>12</v>
      </c>
      <c r="J332" s="1176" t="s">
        <v>673</v>
      </c>
      <c r="K332" s="1177" t="s">
        <v>674</v>
      </c>
      <c r="L332" s="1178" t="s">
        <v>675</v>
      </c>
      <c r="M332" s="1179">
        <v>25980000</v>
      </c>
      <c r="N332" s="1382" t="s">
        <v>1006</v>
      </c>
      <c r="O332" s="1174" t="s">
        <v>915</v>
      </c>
      <c r="P332" s="1207" t="s">
        <v>678</v>
      </c>
      <c r="Q332" s="1163"/>
      <c r="R332" s="1357">
        <v>25200000</v>
      </c>
      <c r="S332" s="1357">
        <v>25200000</v>
      </c>
      <c r="T332" s="1357">
        <f>+Tabla16[[#This Row],[CDPS A 31 JULIO 2022]]-Tabla16[[#This Row],[CDP]]</f>
        <v>0</v>
      </c>
      <c r="U332" s="1357">
        <v>25200000</v>
      </c>
      <c r="V332" s="1357">
        <v>8400000</v>
      </c>
      <c r="W332" s="1357"/>
      <c r="X332" s="1207"/>
      <c r="Y332" s="1207"/>
      <c r="Z332" s="1207"/>
      <c r="AA332" s="1207"/>
      <c r="AB332" s="1207"/>
      <c r="AC332" s="1207"/>
      <c r="AD332" s="1207"/>
      <c r="AE332" s="1207"/>
      <c r="AF332" s="1207"/>
      <c r="AG332" s="1207"/>
      <c r="AH332" s="1207"/>
      <c r="AI332" s="1207"/>
      <c r="AJ332" s="1207"/>
      <c r="AK332" s="1207"/>
      <c r="AL332" s="1207"/>
      <c r="AM332" s="1207"/>
      <c r="AN332" s="1207"/>
      <c r="AO332" s="1207"/>
      <c r="AP332" s="1207"/>
      <c r="AQ332" s="1207"/>
      <c r="AR332" s="1207"/>
      <c r="AS332" s="1207"/>
      <c r="AT332" s="1207"/>
      <c r="AU332" s="1207"/>
      <c r="AV332" s="1207"/>
      <c r="AW332" s="1207"/>
      <c r="AX332" s="1207"/>
      <c r="AY332" s="1207"/>
      <c r="AZ332" s="1207"/>
      <c r="BA332" s="1207"/>
      <c r="BB332" s="1207"/>
      <c r="BC332" s="1207"/>
      <c r="BD332" s="1207"/>
      <c r="BE332" s="1207"/>
      <c r="BF332" s="1207"/>
      <c r="BG332" s="1207"/>
      <c r="BH332" s="1207"/>
      <c r="BI332" s="1207"/>
      <c r="BJ332" s="1207"/>
      <c r="BK332" s="1207"/>
      <c r="BL332" s="1207"/>
      <c r="BM332" s="1207"/>
      <c r="BN332" s="1207"/>
      <c r="BO332" s="1207"/>
      <c r="BP332" s="1207"/>
      <c r="BQ332" s="1207"/>
      <c r="BR332" s="1207"/>
      <c r="BS332" s="1207"/>
      <c r="BT332" s="1207"/>
      <c r="BU332" s="1207"/>
      <c r="BV332" s="1207"/>
      <c r="BW332" s="1207"/>
      <c r="BX332" s="1207"/>
      <c r="BY332" s="1207"/>
      <c r="BZ332" s="1207"/>
      <c r="CA332" s="1207"/>
      <c r="CB332" s="1207"/>
      <c r="CC332" s="1207"/>
      <c r="CD332" s="1207"/>
      <c r="CE332" s="1207"/>
      <c r="CF332" s="1207"/>
    </row>
    <row r="333" spans="1:84" ht="135" x14ac:dyDescent="0.25">
      <c r="A333" s="1355">
        <v>2022353</v>
      </c>
      <c r="B333" s="1172">
        <v>7658</v>
      </c>
      <c r="C333" s="1356" t="s">
        <v>679</v>
      </c>
      <c r="D333" s="1190" t="s">
        <v>701</v>
      </c>
      <c r="E333" s="1174">
        <v>80111600</v>
      </c>
      <c r="F333" s="1380" t="s">
        <v>1011</v>
      </c>
      <c r="G333" s="1381">
        <v>44562</v>
      </c>
      <c r="H333" s="1381">
        <v>44592</v>
      </c>
      <c r="I333" s="1176">
        <v>12</v>
      </c>
      <c r="J333" s="1176" t="s">
        <v>673</v>
      </c>
      <c r="K333" s="1177" t="s">
        <v>674</v>
      </c>
      <c r="L333" s="1178" t="s">
        <v>675</v>
      </c>
      <c r="M333" s="1179">
        <f>25980000+25980000</f>
        <v>51960000</v>
      </c>
      <c r="N333" s="1382" t="s">
        <v>1006</v>
      </c>
      <c r="O333" s="1174" t="s">
        <v>915</v>
      </c>
      <c r="P333" s="1207" t="s">
        <v>678</v>
      </c>
      <c r="Q333" s="1163"/>
      <c r="R333" s="1357">
        <v>25200000</v>
      </c>
      <c r="S333" s="1357">
        <v>25200000</v>
      </c>
      <c r="T333" s="1357">
        <f>+Tabla16[[#This Row],[CDPS A 31 JULIO 2022]]-Tabla16[[#This Row],[CDP]]</f>
        <v>0</v>
      </c>
      <c r="U333" s="1357">
        <v>25200000</v>
      </c>
      <c r="V333" s="1357">
        <v>8400000</v>
      </c>
      <c r="W333" s="1357"/>
      <c r="X333" s="1207"/>
      <c r="Y333" s="1207"/>
      <c r="Z333" s="1207"/>
      <c r="AA333" s="1207"/>
      <c r="AB333" s="1207"/>
      <c r="AC333" s="1207"/>
      <c r="AD333" s="1207"/>
      <c r="AE333" s="1207"/>
      <c r="AF333" s="1207"/>
      <c r="AG333" s="1207"/>
      <c r="AH333" s="1207"/>
      <c r="AI333" s="1207"/>
      <c r="AJ333" s="1207"/>
      <c r="AK333" s="1207"/>
      <c r="AL333" s="1207"/>
      <c r="AM333" s="1207"/>
      <c r="AN333" s="1207"/>
      <c r="AO333" s="1207"/>
      <c r="AP333" s="1207"/>
      <c r="AQ333" s="1207"/>
      <c r="AR333" s="1207"/>
      <c r="AS333" s="1207"/>
      <c r="AT333" s="1207"/>
      <c r="AU333" s="1207"/>
      <c r="AV333" s="1207"/>
      <c r="AW333" s="1207"/>
      <c r="AX333" s="1207"/>
      <c r="AY333" s="1207"/>
      <c r="AZ333" s="1207"/>
      <c r="BA333" s="1207"/>
      <c r="BB333" s="1207"/>
      <c r="BC333" s="1207"/>
      <c r="BD333" s="1207"/>
      <c r="BE333" s="1207"/>
      <c r="BF333" s="1207"/>
      <c r="BG333" s="1207"/>
      <c r="BH333" s="1207"/>
      <c r="BI333" s="1207"/>
      <c r="BJ333" s="1207"/>
      <c r="BK333" s="1207"/>
      <c r="BL333" s="1207"/>
      <c r="BM333" s="1207"/>
      <c r="BN333" s="1207"/>
      <c r="BO333" s="1207"/>
      <c r="BP333" s="1207"/>
      <c r="BQ333" s="1207"/>
      <c r="BR333" s="1207"/>
      <c r="BS333" s="1207"/>
      <c r="BT333" s="1207"/>
      <c r="BU333" s="1207"/>
      <c r="BV333" s="1207"/>
      <c r="BW333" s="1207"/>
      <c r="BX333" s="1207"/>
      <c r="BY333" s="1207"/>
      <c r="BZ333" s="1207"/>
      <c r="CA333" s="1207"/>
      <c r="CB333" s="1207"/>
      <c r="CC333" s="1207"/>
      <c r="CD333" s="1207"/>
      <c r="CE333" s="1207"/>
      <c r="CF333" s="1207"/>
    </row>
    <row r="334" spans="1:84" ht="135" x14ac:dyDescent="0.25">
      <c r="A334" s="1355">
        <v>2022354</v>
      </c>
      <c r="B334" s="1172">
        <v>7658</v>
      </c>
      <c r="C334" s="1356" t="s">
        <v>679</v>
      </c>
      <c r="D334" s="1190" t="s">
        <v>701</v>
      </c>
      <c r="E334" s="1174">
        <v>80111600</v>
      </c>
      <c r="F334" s="1380" t="s">
        <v>1012</v>
      </c>
      <c r="G334" s="1381">
        <v>44562</v>
      </c>
      <c r="H334" s="1381">
        <v>44592</v>
      </c>
      <c r="I334" s="1176">
        <v>12</v>
      </c>
      <c r="J334" s="1176" t="s">
        <v>673</v>
      </c>
      <c r="K334" s="1177" t="s">
        <v>674</v>
      </c>
      <c r="L334" s="1178" t="s">
        <v>675</v>
      </c>
      <c r="M334" s="1179">
        <f>30300000-900000</f>
        <v>29400000</v>
      </c>
      <c r="N334" s="1382" t="s">
        <v>1006</v>
      </c>
      <c r="O334" s="1174" t="s">
        <v>915</v>
      </c>
      <c r="P334" s="1207" t="s">
        <v>678</v>
      </c>
      <c r="Q334" s="1163"/>
      <c r="R334" s="1357">
        <v>29400000</v>
      </c>
      <c r="S334" s="1357">
        <v>29400000</v>
      </c>
      <c r="T334" s="1357">
        <f>+Tabla16[[#This Row],[CDPS A 31 JULIO 2022]]-Tabla16[[#This Row],[CDP]]</f>
        <v>0</v>
      </c>
      <c r="U334" s="1357">
        <v>29400000</v>
      </c>
      <c r="V334" s="1357">
        <v>9800000</v>
      </c>
      <c r="W334" s="1357"/>
      <c r="X334" s="1207"/>
      <c r="Y334" s="1207"/>
      <c r="Z334" s="1207"/>
      <c r="AA334" s="1207"/>
      <c r="AB334" s="1207"/>
      <c r="AC334" s="1207"/>
      <c r="AD334" s="1207"/>
      <c r="AE334" s="1207"/>
      <c r="AF334" s="1207"/>
      <c r="AG334" s="1207"/>
      <c r="AH334" s="1207"/>
      <c r="AI334" s="1207"/>
      <c r="AJ334" s="1207"/>
      <c r="AK334" s="1207"/>
      <c r="AL334" s="1207"/>
      <c r="AM334" s="1207"/>
      <c r="AN334" s="1207"/>
      <c r="AO334" s="1207"/>
      <c r="AP334" s="1207"/>
      <c r="AQ334" s="1207"/>
      <c r="AR334" s="1207"/>
      <c r="AS334" s="1207"/>
      <c r="AT334" s="1207"/>
      <c r="AU334" s="1207"/>
      <c r="AV334" s="1207"/>
      <c r="AW334" s="1207"/>
      <c r="AX334" s="1207"/>
      <c r="AY334" s="1207"/>
      <c r="AZ334" s="1207"/>
      <c r="BA334" s="1207"/>
      <c r="BB334" s="1207"/>
      <c r="BC334" s="1207"/>
      <c r="BD334" s="1207"/>
      <c r="BE334" s="1207"/>
      <c r="BF334" s="1207"/>
      <c r="BG334" s="1207"/>
      <c r="BH334" s="1207"/>
      <c r="BI334" s="1207"/>
      <c r="BJ334" s="1207"/>
      <c r="BK334" s="1207"/>
      <c r="BL334" s="1207"/>
      <c r="BM334" s="1207"/>
      <c r="BN334" s="1207"/>
      <c r="BO334" s="1207"/>
      <c r="BP334" s="1207"/>
      <c r="BQ334" s="1207"/>
      <c r="BR334" s="1207"/>
      <c r="BS334" s="1207"/>
      <c r="BT334" s="1207"/>
      <c r="BU334" s="1207"/>
      <c r="BV334" s="1207"/>
      <c r="BW334" s="1207"/>
      <c r="BX334" s="1207"/>
      <c r="BY334" s="1207"/>
      <c r="BZ334" s="1207"/>
      <c r="CA334" s="1207"/>
      <c r="CB334" s="1207"/>
      <c r="CC334" s="1207"/>
      <c r="CD334" s="1207"/>
      <c r="CE334" s="1207"/>
      <c r="CF334" s="1207"/>
    </row>
    <row r="335" spans="1:84" ht="135" x14ac:dyDescent="0.25">
      <c r="A335" s="1355">
        <v>2022355</v>
      </c>
      <c r="B335" s="1172">
        <v>7658</v>
      </c>
      <c r="C335" s="1356" t="s">
        <v>679</v>
      </c>
      <c r="D335" s="1190" t="s">
        <v>701</v>
      </c>
      <c r="E335" s="1174">
        <v>80111600</v>
      </c>
      <c r="F335" s="1380" t="s">
        <v>1012</v>
      </c>
      <c r="G335" s="1381">
        <v>44562</v>
      </c>
      <c r="H335" s="1381">
        <v>44592</v>
      </c>
      <c r="I335" s="1176">
        <v>12</v>
      </c>
      <c r="J335" s="1176" t="s">
        <v>673</v>
      </c>
      <c r="K335" s="1177" t="s">
        <v>674</v>
      </c>
      <c r="L335" s="1178" t="s">
        <v>675</v>
      </c>
      <c r="M335" s="1179">
        <f>30300000-900000</f>
        <v>29400000</v>
      </c>
      <c r="N335" s="1382" t="s">
        <v>1006</v>
      </c>
      <c r="O335" s="1174" t="s">
        <v>915</v>
      </c>
      <c r="P335" s="1207" t="s">
        <v>678</v>
      </c>
      <c r="Q335" s="1163"/>
      <c r="R335" s="1357">
        <v>29400000</v>
      </c>
      <c r="S335" s="1357">
        <v>29400000</v>
      </c>
      <c r="T335" s="1357">
        <f>+Tabla16[[#This Row],[CDPS A 31 JULIO 2022]]-Tabla16[[#This Row],[CDP]]</f>
        <v>0</v>
      </c>
      <c r="U335" s="1357">
        <v>29400000</v>
      </c>
      <c r="V335" s="1357">
        <v>9800000</v>
      </c>
      <c r="W335" s="1357"/>
      <c r="X335" s="1207"/>
      <c r="Y335" s="1207"/>
      <c r="Z335" s="1207"/>
      <c r="AA335" s="1207"/>
      <c r="AB335" s="1207"/>
      <c r="AC335" s="1207"/>
      <c r="AD335" s="1207"/>
      <c r="AE335" s="1207"/>
      <c r="AF335" s="1207"/>
      <c r="AG335" s="1207"/>
      <c r="AH335" s="1207"/>
      <c r="AI335" s="1207"/>
      <c r="AJ335" s="1207"/>
      <c r="AK335" s="1207"/>
      <c r="AL335" s="1207"/>
      <c r="AM335" s="1207"/>
      <c r="AN335" s="1207"/>
      <c r="AO335" s="1207"/>
      <c r="AP335" s="1207"/>
      <c r="AQ335" s="1207"/>
      <c r="AR335" s="1207"/>
      <c r="AS335" s="1207"/>
      <c r="AT335" s="1207"/>
      <c r="AU335" s="1207"/>
      <c r="AV335" s="1207"/>
      <c r="AW335" s="1207"/>
      <c r="AX335" s="1207"/>
      <c r="AY335" s="1207"/>
      <c r="AZ335" s="1207"/>
      <c r="BA335" s="1207"/>
      <c r="BB335" s="1207"/>
      <c r="BC335" s="1207"/>
      <c r="BD335" s="1207"/>
      <c r="BE335" s="1207"/>
      <c r="BF335" s="1207"/>
      <c r="BG335" s="1207"/>
      <c r="BH335" s="1207"/>
      <c r="BI335" s="1207"/>
      <c r="BJ335" s="1207"/>
      <c r="BK335" s="1207"/>
      <c r="BL335" s="1207"/>
      <c r="BM335" s="1207"/>
      <c r="BN335" s="1207"/>
      <c r="BO335" s="1207"/>
      <c r="BP335" s="1207"/>
      <c r="BQ335" s="1207"/>
      <c r="BR335" s="1207"/>
      <c r="BS335" s="1207"/>
      <c r="BT335" s="1207"/>
      <c r="BU335" s="1207"/>
      <c r="BV335" s="1207"/>
      <c r="BW335" s="1207"/>
      <c r="BX335" s="1207"/>
      <c r="BY335" s="1207"/>
      <c r="BZ335" s="1207"/>
      <c r="CA335" s="1207"/>
      <c r="CB335" s="1207"/>
      <c r="CC335" s="1207"/>
      <c r="CD335" s="1207"/>
      <c r="CE335" s="1207"/>
      <c r="CF335" s="1207"/>
    </row>
    <row r="336" spans="1:84" ht="135" x14ac:dyDescent="0.25">
      <c r="A336" s="1355">
        <v>2022356</v>
      </c>
      <c r="B336" s="1172">
        <v>7658</v>
      </c>
      <c r="C336" s="1356" t="s">
        <v>679</v>
      </c>
      <c r="D336" s="1190" t="s">
        <v>701</v>
      </c>
      <c r="E336" s="1174">
        <v>80111600</v>
      </c>
      <c r="F336" s="1380" t="s">
        <v>1012</v>
      </c>
      <c r="G336" s="1381">
        <v>44562</v>
      </c>
      <c r="H336" s="1381">
        <v>44592</v>
      </c>
      <c r="I336" s="1176">
        <v>12</v>
      </c>
      <c r="J336" s="1176" t="s">
        <v>673</v>
      </c>
      <c r="K336" s="1177" t="s">
        <v>674</v>
      </c>
      <c r="L336" s="1178" t="s">
        <v>675</v>
      </c>
      <c r="M336" s="1179">
        <f>30300000-900000</f>
        <v>29400000</v>
      </c>
      <c r="N336" s="1382" t="s">
        <v>1006</v>
      </c>
      <c r="O336" s="1174" t="s">
        <v>915</v>
      </c>
      <c r="P336" s="1207" t="s">
        <v>678</v>
      </c>
      <c r="Q336" s="1163"/>
      <c r="R336" s="1357">
        <v>29400000</v>
      </c>
      <c r="S336" s="1357">
        <v>29400000</v>
      </c>
      <c r="T336" s="1357">
        <f>+Tabla16[[#This Row],[CDPS A 31 JULIO 2022]]-Tabla16[[#This Row],[CDP]]</f>
        <v>0</v>
      </c>
      <c r="U336" s="1357">
        <v>29400000</v>
      </c>
      <c r="V336" s="1357">
        <v>9800000</v>
      </c>
      <c r="W336" s="1357"/>
      <c r="X336" s="1207"/>
      <c r="Y336" s="1207"/>
      <c r="Z336" s="1207"/>
      <c r="AA336" s="1207"/>
      <c r="AB336" s="1207"/>
      <c r="AC336" s="1207"/>
      <c r="AD336" s="1207"/>
      <c r="AE336" s="1207"/>
      <c r="AF336" s="1207"/>
      <c r="AG336" s="1207"/>
      <c r="AH336" s="1207"/>
      <c r="AI336" s="1207"/>
      <c r="AJ336" s="1207"/>
      <c r="AK336" s="1207"/>
      <c r="AL336" s="1207"/>
      <c r="AM336" s="1207"/>
      <c r="AN336" s="1207"/>
      <c r="AO336" s="1207"/>
      <c r="AP336" s="1207"/>
      <c r="AQ336" s="1207"/>
      <c r="AR336" s="1207"/>
      <c r="AS336" s="1207"/>
      <c r="AT336" s="1207"/>
      <c r="AU336" s="1207"/>
      <c r="AV336" s="1207"/>
      <c r="AW336" s="1207"/>
      <c r="AX336" s="1207"/>
      <c r="AY336" s="1207"/>
      <c r="AZ336" s="1207"/>
      <c r="BA336" s="1207"/>
      <c r="BB336" s="1207"/>
      <c r="BC336" s="1207"/>
      <c r="BD336" s="1207"/>
      <c r="BE336" s="1207"/>
      <c r="BF336" s="1207"/>
      <c r="BG336" s="1207"/>
      <c r="BH336" s="1207"/>
      <c r="BI336" s="1207"/>
      <c r="BJ336" s="1207"/>
      <c r="BK336" s="1207"/>
      <c r="BL336" s="1207"/>
      <c r="BM336" s="1207"/>
      <c r="BN336" s="1207"/>
      <c r="BO336" s="1207"/>
      <c r="BP336" s="1207"/>
      <c r="BQ336" s="1207"/>
      <c r="BR336" s="1207"/>
      <c r="BS336" s="1207"/>
      <c r="BT336" s="1207"/>
      <c r="BU336" s="1207"/>
      <c r="BV336" s="1207"/>
      <c r="BW336" s="1207"/>
      <c r="BX336" s="1207"/>
      <c r="BY336" s="1207"/>
      <c r="BZ336" s="1207"/>
      <c r="CA336" s="1207"/>
      <c r="CB336" s="1207"/>
      <c r="CC336" s="1207"/>
      <c r="CD336" s="1207"/>
      <c r="CE336" s="1207"/>
      <c r="CF336" s="1207"/>
    </row>
    <row r="337" spans="1:84" ht="135" x14ac:dyDescent="0.25">
      <c r="A337" s="1355">
        <v>2022357</v>
      </c>
      <c r="B337" s="1172">
        <v>7658</v>
      </c>
      <c r="C337" s="1356" t="s">
        <v>679</v>
      </c>
      <c r="D337" s="1190" t="s">
        <v>701</v>
      </c>
      <c r="E337" s="1174">
        <v>80111600</v>
      </c>
      <c r="F337" s="1380" t="s">
        <v>1012</v>
      </c>
      <c r="G337" s="1381">
        <v>44562</v>
      </c>
      <c r="H337" s="1381">
        <v>44592</v>
      </c>
      <c r="I337" s="1176">
        <v>12</v>
      </c>
      <c r="J337" s="1176" t="s">
        <v>673</v>
      </c>
      <c r="K337" s="1177" t="s">
        <v>674</v>
      </c>
      <c r="L337" s="1178" t="s">
        <v>675</v>
      </c>
      <c r="M337" s="1179">
        <f>30300000-900000</f>
        <v>29400000</v>
      </c>
      <c r="N337" s="1382" t="s">
        <v>1006</v>
      </c>
      <c r="O337" s="1174" t="s">
        <v>915</v>
      </c>
      <c r="P337" s="1207" t="s">
        <v>678</v>
      </c>
      <c r="Q337" s="1163"/>
      <c r="R337" s="1357">
        <v>29400000</v>
      </c>
      <c r="S337" s="1357">
        <v>29400000</v>
      </c>
      <c r="T337" s="1357">
        <f>+Tabla16[[#This Row],[CDPS A 31 JULIO 2022]]-Tabla16[[#This Row],[CDP]]</f>
        <v>0</v>
      </c>
      <c r="U337" s="1357">
        <v>29400000</v>
      </c>
      <c r="V337" s="1357">
        <v>3511667</v>
      </c>
      <c r="W337" s="1357"/>
      <c r="X337" s="1207"/>
      <c r="Y337" s="1207"/>
      <c r="Z337" s="1207"/>
      <c r="AA337" s="1207"/>
      <c r="AB337" s="1207"/>
      <c r="AC337" s="1207"/>
      <c r="AD337" s="1207"/>
      <c r="AE337" s="1207"/>
      <c r="AF337" s="1207"/>
      <c r="AG337" s="1207"/>
      <c r="AH337" s="1207"/>
      <c r="AI337" s="1207"/>
      <c r="AJ337" s="1207"/>
      <c r="AK337" s="1207"/>
      <c r="AL337" s="1207"/>
      <c r="AM337" s="1207"/>
      <c r="AN337" s="1207"/>
      <c r="AO337" s="1207"/>
      <c r="AP337" s="1207"/>
      <c r="AQ337" s="1207"/>
      <c r="AR337" s="1207"/>
      <c r="AS337" s="1207"/>
      <c r="AT337" s="1207"/>
      <c r="AU337" s="1207"/>
      <c r="AV337" s="1207"/>
      <c r="AW337" s="1207"/>
      <c r="AX337" s="1207"/>
      <c r="AY337" s="1207"/>
      <c r="AZ337" s="1207"/>
      <c r="BA337" s="1207"/>
      <c r="BB337" s="1207"/>
      <c r="BC337" s="1207"/>
      <c r="BD337" s="1207"/>
      <c r="BE337" s="1207"/>
      <c r="BF337" s="1207"/>
      <c r="BG337" s="1207"/>
      <c r="BH337" s="1207"/>
      <c r="BI337" s="1207"/>
      <c r="BJ337" s="1207"/>
      <c r="BK337" s="1207"/>
      <c r="BL337" s="1207"/>
      <c r="BM337" s="1207"/>
      <c r="BN337" s="1207"/>
      <c r="BO337" s="1207"/>
      <c r="BP337" s="1207"/>
      <c r="BQ337" s="1207"/>
      <c r="BR337" s="1207"/>
      <c r="BS337" s="1207"/>
      <c r="BT337" s="1207"/>
      <c r="BU337" s="1207"/>
      <c r="BV337" s="1207"/>
      <c r="BW337" s="1207"/>
      <c r="BX337" s="1207"/>
      <c r="BY337" s="1207"/>
      <c r="BZ337" s="1207"/>
      <c r="CA337" s="1207"/>
      <c r="CB337" s="1207"/>
      <c r="CC337" s="1207"/>
      <c r="CD337" s="1207"/>
      <c r="CE337" s="1207"/>
      <c r="CF337" s="1207"/>
    </row>
    <row r="338" spans="1:84" ht="135" x14ac:dyDescent="0.25">
      <c r="A338" s="1355">
        <v>2022358</v>
      </c>
      <c r="B338" s="1172">
        <v>7658</v>
      </c>
      <c r="C338" s="1356" t="s">
        <v>679</v>
      </c>
      <c r="D338" s="1190" t="s">
        <v>701</v>
      </c>
      <c r="E338" s="1174">
        <v>80111600</v>
      </c>
      <c r="F338" s="1380" t="s">
        <v>1012</v>
      </c>
      <c r="G338" s="1381">
        <v>44562</v>
      </c>
      <c r="H338" s="1381">
        <v>44592</v>
      </c>
      <c r="I338" s="1176">
        <v>11</v>
      </c>
      <c r="J338" s="1176" t="s">
        <v>673</v>
      </c>
      <c r="K338" s="1177" t="s">
        <v>674</v>
      </c>
      <c r="L338" s="1178" t="s">
        <v>675</v>
      </c>
      <c r="M338" s="1179">
        <f>27775000-825000</f>
        <v>26950000</v>
      </c>
      <c r="N338" s="1382" t="s">
        <v>1006</v>
      </c>
      <c r="O338" s="1174" t="s">
        <v>915</v>
      </c>
      <c r="P338" s="1207" t="s">
        <v>678</v>
      </c>
      <c r="Q338" s="1163"/>
      <c r="R338" s="1357">
        <v>26950000</v>
      </c>
      <c r="S338" s="1357">
        <v>26950000</v>
      </c>
      <c r="T338" s="1357">
        <f>+Tabla16[[#This Row],[CDPS A 31 JULIO 2022]]-Tabla16[[#This Row],[CDP]]</f>
        <v>0</v>
      </c>
      <c r="U338" s="1357">
        <v>26950000</v>
      </c>
      <c r="V338" s="1357">
        <v>6288333</v>
      </c>
      <c r="W338" s="1357"/>
      <c r="X338" s="1207"/>
      <c r="Y338" s="1207"/>
      <c r="Z338" s="1207"/>
      <c r="AA338" s="1207"/>
      <c r="AB338" s="1207"/>
      <c r="AC338" s="1207"/>
      <c r="AD338" s="1207"/>
      <c r="AE338" s="1207"/>
      <c r="AF338" s="1207"/>
      <c r="AG338" s="1207"/>
      <c r="AH338" s="1207"/>
      <c r="AI338" s="1207"/>
      <c r="AJ338" s="1207"/>
      <c r="AK338" s="1207"/>
      <c r="AL338" s="1207"/>
      <c r="AM338" s="1207"/>
      <c r="AN338" s="1207"/>
      <c r="AO338" s="1207"/>
      <c r="AP338" s="1207"/>
      <c r="AQ338" s="1207"/>
      <c r="AR338" s="1207"/>
      <c r="AS338" s="1207"/>
      <c r="AT338" s="1207"/>
      <c r="AU338" s="1207"/>
      <c r="AV338" s="1207"/>
      <c r="AW338" s="1207"/>
      <c r="AX338" s="1207"/>
      <c r="AY338" s="1207"/>
      <c r="AZ338" s="1207"/>
      <c r="BA338" s="1207"/>
      <c r="BB338" s="1207"/>
      <c r="BC338" s="1207"/>
      <c r="BD338" s="1207"/>
      <c r="BE338" s="1207"/>
      <c r="BF338" s="1207"/>
      <c r="BG338" s="1207"/>
      <c r="BH338" s="1207"/>
      <c r="BI338" s="1207"/>
      <c r="BJ338" s="1207"/>
      <c r="BK338" s="1207"/>
      <c r="BL338" s="1207"/>
      <c r="BM338" s="1207"/>
      <c r="BN338" s="1207"/>
      <c r="BO338" s="1207"/>
      <c r="BP338" s="1207"/>
      <c r="BQ338" s="1207"/>
      <c r="BR338" s="1207"/>
      <c r="BS338" s="1207"/>
      <c r="BT338" s="1207"/>
      <c r="BU338" s="1207"/>
      <c r="BV338" s="1207"/>
      <c r="BW338" s="1207"/>
      <c r="BX338" s="1207"/>
      <c r="BY338" s="1207"/>
      <c r="BZ338" s="1207"/>
      <c r="CA338" s="1207"/>
      <c r="CB338" s="1207"/>
      <c r="CC338" s="1207"/>
      <c r="CD338" s="1207"/>
      <c r="CE338" s="1207"/>
      <c r="CF338" s="1207"/>
    </row>
    <row r="339" spans="1:84" ht="135" x14ac:dyDescent="0.25">
      <c r="A339" s="1355">
        <v>2022359</v>
      </c>
      <c r="B339" s="1172">
        <v>7658</v>
      </c>
      <c r="C339" s="1356" t="s">
        <v>679</v>
      </c>
      <c r="D339" s="1190" t="s">
        <v>701</v>
      </c>
      <c r="E339" s="1174">
        <v>80111600</v>
      </c>
      <c r="F339" s="1380" t="s">
        <v>1012</v>
      </c>
      <c r="G339" s="1381">
        <v>44562</v>
      </c>
      <c r="H339" s="1381">
        <v>44592</v>
      </c>
      <c r="I339" s="1176">
        <v>11</v>
      </c>
      <c r="J339" s="1176" t="s">
        <v>673</v>
      </c>
      <c r="K339" s="1177" t="s">
        <v>674</v>
      </c>
      <c r="L339" s="1178" t="s">
        <v>675</v>
      </c>
      <c r="M339" s="1179">
        <f>27775000-825000</f>
        <v>26950000</v>
      </c>
      <c r="N339" s="1382" t="s">
        <v>1006</v>
      </c>
      <c r="O339" s="1174" t="s">
        <v>915</v>
      </c>
      <c r="P339" s="1207" t="s">
        <v>678</v>
      </c>
      <c r="Q339" s="1163"/>
      <c r="R339" s="1357">
        <v>26950000</v>
      </c>
      <c r="S339" s="1357">
        <v>26950000</v>
      </c>
      <c r="T339" s="1357">
        <f>+Tabla16[[#This Row],[CDPS A 31 JULIO 2022]]-Tabla16[[#This Row],[CDP]]</f>
        <v>0</v>
      </c>
      <c r="U339" s="1357">
        <v>26950000</v>
      </c>
      <c r="V339" s="1357">
        <v>9800000</v>
      </c>
      <c r="W339" s="1357"/>
      <c r="X339" s="1207"/>
      <c r="Y339" s="1207"/>
      <c r="Z339" s="1207"/>
      <c r="AA339" s="1207"/>
      <c r="AB339" s="1207"/>
      <c r="AC339" s="1207"/>
      <c r="AD339" s="1207"/>
      <c r="AE339" s="1207"/>
      <c r="AF339" s="1207"/>
      <c r="AG339" s="1207"/>
      <c r="AH339" s="1207"/>
      <c r="AI339" s="1207"/>
      <c r="AJ339" s="1207"/>
      <c r="AK339" s="1207"/>
      <c r="AL339" s="1207"/>
      <c r="AM339" s="1207"/>
      <c r="AN339" s="1207"/>
      <c r="AO339" s="1207"/>
      <c r="AP339" s="1207"/>
      <c r="AQ339" s="1207"/>
      <c r="AR339" s="1207"/>
      <c r="AS339" s="1207"/>
      <c r="AT339" s="1207"/>
      <c r="AU339" s="1207"/>
      <c r="AV339" s="1207"/>
      <c r="AW339" s="1207"/>
      <c r="AX339" s="1207"/>
      <c r="AY339" s="1207"/>
      <c r="AZ339" s="1207"/>
      <c r="BA339" s="1207"/>
      <c r="BB339" s="1207"/>
      <c r="BC339" s="1207"/>
      <c r="BD339" s="1207"/>
      <c r="BE339" s="1207"/>
      <c r="BF339" s="1207"/>
      <c r="BG339" s="1207"/>
      <c r="BH339" s="1207"/>
      <c r="BI339" s="1207"/>
      <c r="BJ339" s="1207"/>
      <c r="BK339" s="1207"/>
      <c r="BL339" s="1207"/>
      <c r="BM339" s="1207"/>
      <c r="BN339" s="1207"/>
      <c r="BO339" s="1207"/>
      <c r="BP339" s="1207"/>
      <c r="BQ339" s="1207"/>
      <c r="BR339" s="1207"/>
      <c r="BS339" s="1207"/>
      <c r="BT339" s="1207"/>
      <c r="BU339" s="1207"/>
      <c r="BV339" s="1207"/>
      <c r="BW339" s="1207"/>
      <c r="BX339" s="1207"/>
      <c r="BY339" s="1207"/>
      <c r="BZ339" s="1207"/>
      <c r="CA339" s="1207"/>
      <c r="CB339" s="1207"/>
      <c r="CC339" s="1207"/>
      <c r="CD339" s="1207"/>
      <c r="CE339" s="1207"/>
      <c r="CF339" s="1207"/>
    </row>
    <row r="340" spans="1:84" ht="135" x14ac:dyDescent="0.25">
      <c r="A340" s="1355">
        <v>2022360</v>
      </c>
      <c r="B340" s="1172">
        <v>7658</v>
      </c>
      <c r="C340" s="1356" t="s">
        <v>679</v>
      </c>
      <c r="D340" s="1190" t="s">
        <v>701</v>
      </c>
      <c r="E340" s="1174">
        <v>80111600</v>
      </c>
      <c r="F340" s="1380" t="s">
        <v>1012</v>
      </c>
      <c r="G340" s="1381">
        <v>44562</v>
      </c>
      <c r="H340" s="1381">
        <v>44592</v>
      </c>
      <c r="I340" s="1176">
        <v>11</v>
      </c>
      <c r="J340" s="1176" t="s">
        <v>673</v>
      </c>
      <c r="K340" s="1177" t="s">
        <v>674</v>
      </c>
      <c r="L340" s="1178" t="s">
        <v>675</v>
      </c>
      <c r="M340" s="1179">
        <v>27775000</v>
      </c>
      <c r="N340" s="1382" t="s">
        <v>1006</v>
      </c>
      <c r="O340" s="1174" t="s">
        <v>915</v>
      </c>
      <c r="P340" s="1207" t="s">
        <v>678</v>
      </c>
      <c r="Q340" s="1163"/>
      <c r="R340" s="1357">
        <v>26950000</v>
      </c>
      <c r="S340" s="1357">
        <v>26950000</v>
      </c>
      <c r="T340" s="1357">
        <f>+Tabla16[[#This Row],[CDPS A 31 JULIO 2022]]-Tabla16[[#This Row],[CDP]]</f>
        <v>0</v>
      </c>
      <c r="U340" s="1357">
        <v>26950000</v>
      </c>
      <c r="V340" s="1357">
        <v>9310000</v>
      </c>
      <c r="W340" s="1357"/>
      <c r="X340" s="1207"/>
      <c r="Y340" s="1207"/>
      <c r="Z340" s="1207"/>
      <c r="AA340" s="1207"/>
      <c r="AB340" s="1207"/>
      <c r="AC340" s="1207"/>
      <c r="AD340" s="1207"/>
      <c r="AE340" s="1207"/>
      <c r="AF340" s="1207"/>
      <c r="AG340" s="1207"/>
      <c r="AH340" s="1207"/>
      <c r="AI340" s="1207"/>
      <c r="AJ340" s="1207"/>
      <c r="AK340" s="1207"/>
      <c r="AL340" s="1207"/>
      <c r="AM340" s="1207"/>
      <c r="AN340" s="1207"/>
      <c r="AO340" s="1207"/>
      <c r="AP340" s="1207"/>
      <c r="AQ340" s="1207"/>
      <c r="AR340" s="1207"/>
      <c r="AS340" s="1207"/>
      <c r="AT340" s="1207"/>
      <c r="AU340" s="1207"/>
      <c r="AV340" s="1207"/>
      <c r="AW340" s="1207"/>
      <c r="AX340" s="1207"/>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row>
    <row r="341" spans="1:84" ht="135" x14ac:dyDescent="0.25">
      <c r="A341" s="1355">
        <v>2022361</v>
      </c>
      <c r="B341" s="1172">
        <v>7658</v>
      </c>
      <c r="C341" s="1356" t="s">
        <v>679</v>
      </c>
      <c r="D341" s="1190" t="s">
        <v>701</v>
      </c>
      <c r="E341" s="1174">
        <v>80111600</v>
      </c>
      <c r="F341" s="1380" t="s">
        <v>1012</v>
      </c>
      <c r="G341" s="1381">
        <v>44562</v>
      </c>
      <c r="H341" s="1381">
        <v>44592</v>
      </c>
      <c r="I341" s="1176">
        <v>11</v>
      </c>
      <c r="J341" s="1176" t="s">
        <v>673</v>
      </c>
      <c r="K341" s="1177" t="s">
        <v>674</v>
      </c>
      <c r="L341" s="1178" t="s">
        <v>675</v>
      </c>
      <c r="M341" s="1179">
        <f>27775000-825000</f>
        <v>26950000</v>
      </c>
      <c r="N341" s="1382" t="s">
        <v>1006</v>
      </c>
      <c r="O341" s="1174" t="s">
        <v>915</v>
      </c>
      <c r="P341" s="1207" t="s">
        <v>678</v>
      </c>
      <c r="Q341" s="1163"/>
      <c r="R341" s="1357">
        <v>26950000</v>
      </c>
      <c r="S341" s="1357">
        <v>26950000</v>
      </c>
      <c r="T341" s="1357">
        <f>+Tabla16[[#This Row],[CDPS A 31 JULIO 2022]]-Tabla16[[#This Row],[CDP]]</f>
        <v>0</v>
      </c>
      <c r="U341" s="1357">
        <v>26950000</v>
      </c>
      <c r="V341" s="1357">
        <v>9800000</v>
      </c>
      <c r="W341" s="1357"/>
      <c r="X341" s="1207"/>
      <c r="Y341" s="1207"/>
      <c r="Z341" s="1207"/>
      <c r="AA341" s="1207"/>
      <c r="AB341" s="1207"/>
      <c r="AC341" s="1207"/>
      <c r="AD341" s="1207"/>
      <c r="AE341" s="1207"/>
      <c r="AF341" s="1207"/>
      <c r="AG341" s="1207"/>
      <c r="AH341" s="1207"/>
      <c r="AI341" s="1207"/>
      <c r="AJ341" s="1207"/>
      <c r="AK341" s="1207"/>
      <c r="AL341" s="1207"/>
      <c r="AM341" s="1207"/>
      <c r="AN341" s="1207"/>
      <c r="AO341" s="1207"/>
      <c r="AP341" s="1207"/>
      <c r="AQ341" s="1207"/>
      <c r="AR341" s="1207"/>
      <c r="AS341" s="1207"/>
      <c r="AT341" s="1207"/>
      <c r="AU341" s="1207"/>
      <c r="AV341" s="1207"/>
      <c r="AW341" s="1207"/>
      <c r="AX341" s="1207"/>
      <c r="AY341" s="1207"/>
      <c r="AZ341" s="1207"/>
      <c r="BA341" s="1207"/>
      <c r="BB341" s="1207"/>
      <c r="BC341" s="1207"/>
      <c r="BD341" s="1207"/>
      <c r="BE341" s="1207"/>
      <c r="BF341" s="1207"/>
      <c r="BG341" s="1207"/>
      <c r="BH341" s="1207"/>
      <c r="BI341" s="1207"/>
      <c r="BJ341" s="1207"/>
      <c r="BK341" s="1207"/>
      <c r="BL341" s="1207"/>
      <c r="BM341" s="1207"/>
      <c r="BN341" s="1207"/>
      <c r="BO341" s="1207"/>
      <c r="BP341" s="1207"/>
      <c r="BQ341" s="1207"/>
      <c r="BR341" s="1207"/>
      <c r="BS341" s="1207"/>
      <c r="BT341" s="1207"/>
      <c r="BU341" s="1207"/>
      <c r="BV341" s="1207"/>
      <c r="BW341" s="1207"/>
      <c r="BX341" s="1207"/>
      <c r="BY341" s="1207"/>
      <c r="BZ341" s="1207"/>
      <c r="CA341" s="1207"/>
      <c r="CB341" s="1207"/>
      <c r="CC341" s="1207"/>
      <c r="CD341" s="1207"/>
      <c r="CE341" s="1207"/>
      <c r="CF341" s="1207"/>
    </row>
    <row r="342" spans="1:84" ht="135" x14ac:dyDescent="0.25">
      <c r="A342" s="1355">
        <v>2022362</v>
      </c>
      <c r="B342" s="1172">
        <v>7658</v>
      </c>
      <c r="C342" s="1356" t="s">
        <v>679</v>
      </c>
      <c r="D342" s="1190" t="s">
        <v>701</v>
      </c>
      <c r="E342" s="1174">
        <v>80111600</v>
      </c>
      <c r="F342" s="1380" t="s">
        <v>1012</v>
      </c>
      <c r="G342" s="1381">
        <v>44562</v>
      </c>
      <c r="H342" s="1381">
        <v>44592</v>
      </c>
      <c r="I342" s="1176">
        <v>11</v>
      </c>
      <c r="J342" s="1176" t="s">
        <v>673</v>
      </c>
      <c r="K342" s="1177" t="s">
        <v>674</v>
      </c>
      <c r="L342" s="1178" t="s">
        <v>675</v>
      </c>
      <c r="M342" s="1179">
        <f>27775000-825000</f>
        <v>26950000</v>
      </c>
      <c r="N342" s="1382" t="s">
        <v>1006</v>
      </c>
      <c r="O342" s="1174" t="s">
        <v>915</v>
      </c>
      <c r="P342" s="1207" t="s">
        <v>678</v>
      </c>
      <c r="Q342" s="1163"/>
      <c r="R342" s="1357">
        <v>26950000</v>
      </c>
      <c r="S342" s="1357">
        <v>26950000</v>
      </c>
      <c r="T342" s="1357">
        <f>+Tabla16[[#This Row],[CDPS A 31 JULIO 2022]]-Tabla16[[#This Row],[CDP]]</f>
        <v>0</v>
      </c>
      <c r="U342" s="1357">
        <v>26950000</v>
      </c>
      <c r="V342" s="1357">
        <v>9800000</v>
      </c>
      <c r="W342" s="1357"/>
      <c r="X342" s="1207"/>
      <c r="Y342" s="1207"/>
      <c r="Z342" s="1207"/>
      <c r="AA342" s="1207"/>
      <c r="AB342" s="1207"/>
      <c r="AC342" s="1207"/>
      <c r="AD342" s="1207"/>
      <c r="AE342" s="1207"/>
      <c r="AF342" s="1207"/>
      <c r="AG342" s="1207"/>
      <c r="AH342" s="1207"/>
      <c r="AI342" s="1207"/>
      <c r="AJ342" s="1207"/>
      <c r="AK342" s="1207"/>
      <c r="AL342" s="1207"/>
      <c r="AM342" s="1207"/>
      <c r="AN342" s="1207"/>
      <c r="AO342" s="1207"/>
      <c r="AP342" s="1207"/>
      <c r="AQ342" s="1207"/>
      <c r="AR342" s="1207"/>
      <c r="AS342" s="1207"/>
      <c r="AT342" s="1207"/>
      <c r="AU342" s="1207"/>
      <c r="AV342" s="1207"/>
      <c r="AW342" s="1207"/>
      <c r="AX342" s="1207"/>
      <c r="AY342" s="1207"/>
      <c r="AZ342" s="1207"/>
      <c r="BA342" s="1207"/>
      <c r="BB342" s="1207"/>
      <c r="BC342" s="1207"/>
      <c r="BD342" s="1207"/>
      <c r="BE342" s="1207"/>
      <c r="BF342" s="1207"/>
      <c r="BG342" s="1207"/>
      <c r="BH342" s="1207"/>
      <c r="BI342" s="1207"/>
      <c r="BJ342" s="1207"/>
      <c r="BK342" s="1207"/>
      <c r="BL342" s="1207"/>
      <c r="BM342" s="1207"/>
      <c r="BN342" s="1207"/>
      <c r="BO342" s="1207"/>
      <c r="BP342" s="1207"/>
      <c r="BQ342" s="1207"/>
      <c r="BR342" s="1207"/>
      <c r="BS342" s="1207"/>
      <c r="BT342" s="1207"/>
      <c r="BU342" s="1207"/>
      <c r="BV342" s="1207"/>
      <c r="BW342" s="1207"/>
      <c r="BX342" s="1207"/>
      <c r="BY342" s="1207"/>
      <c r="BZ342" s="1207"/>
      <c r="CA342" s="1207"/>
      <c r="CB342" s="1207"/>
      <c r="CC342" s="1207"/>
      <c r="CD342" s="1207"/>
      <c r="CE342" s="1207"/>
      <c r="CF342" s="1207"/>
    </row>
    <row r="343" spans="1:84" ht="135" x14ac:dyDescent="0.25">
      <c r="A343" s="1355">
        <v>2022363</v>
      </c>
      <c r="B343" s="1172">
        <v>7658</v>
      </c>
      <c r="C343" s="1356" t="s">
        <v>679</v>
      </c>
      <c r="D343" s="1190" t="s">
        <v>701</v>
      </c>
      <c r="E343" s="1174">
        <v>80111600</v>
      </c>
      <c r="F343" s="1380" t="s">
        <v>1012</v>
      </c>
      <c r="G343" s="1381">
        <v>44562</v>
      </c>
      <c r="H343" s="1381">
        <v>44592</v>
      </c>
      <c r="I343" s="1176">
        <v>11</v>
      </c>
      <c r="J343" s="1176" t="s">
        <v>673</v>
      </c>
      <c r="K343" s="1177" t="s">
        <v>674</v>
      </c>
      <c r="L343" s="1178" t="s">
        <v>675</v>
      </c>
      <c r="M343" s="1179">
        <f>27775000-825000</f>
        <v>26950000</v>
      </c>
      <c r="N343" s="1382" t="s">
        <v>1006</v>
      </c>
      <c r="O343" s="1174" t="s">
        <v>915</v>
      </c>
      <c r="P343" s="1207" t="s">
        <v>678</v>
      </c>
      <c r="Q343" s="1163"/>
      <c r="R343" s="1357">
        <v>26950000</v>
      </c>
      <c r="S343" s="1357">
        <v>26950000</v>
      </c>
      <c r="T343" s="1357">
        <f>+Tabla16[[#This Row],[CDPS A 31 JULIO 2022]]-Tabla16[[#This Row],[CDP]]</f>
        <v>0</v>
      </c>
      <c r="U343" s="1357">
        <v>26950000</v>
      </c>
      <c r="V343" s="1357">
        <v>8248333</v>
      </c>
      <c r="W343" s="1357"/>
      <c r="X343" s="1207"/>
      <c r="Y343" s="1207"/>
      <c r="Z343" s="1207"/>
      <c r="AA343" s="1207"/>
      <c r="AB343" s="1207"/>
      <c r="AC343" s="1207"/>
      <c r="AD343" s="1207"/>
      <c r="AE343" s="1207"/>
      <c r="AF343" s="1207"/>
      <c r="AG343" s="1207"/>
      <c r="AH343" s="1207"/>
      <c r="AI343" s="1207"/>
      <c r="AJ343" s="1207"/>
      <c r="AK343" s="1207"/>
      <c r="AL343" s="1207"/>
      <c r="AM343" s="1207"/>
      <c r="AN343" s="1207"/>
      <c r="AO343" s="1207"/>
      <c r="AP343" s="1207"/>
      <c r="AQ343" s="1207"/>
      <c r="AR343" s="1207"/>
      <c r="AS343" s="1207"/>
      <c r="AT343" s="1207"/>
      <c r="AU343" s="1207"/>
      <c r="AV343" s="1207"/>
      <c r="AW343" s="1207"/>
      <c r="AX343" s="1207"/>
      <c r="AY343" s="1207"/>
      <c r="AZ343" s="1207"/>
      <c r="BA343" s="1207"/>
      <c r="BB343" s="1207"/>
      <c r="BC343" s="1207"/>
      <c r="BD343" s="1207"/>
      <c r="BE343" s="1207"/>
      <c r="BF343" s="1207"/>
      <c r="BG343" s="1207"/>
      <c r="BH343" s="1207"/>
      <c r="BI343" s="1207"/>
      <c r="BJ343" s="1207"/>
      <c r="BK343" s="1207"/>
      <c r="BL343" s="1207"/>
      <c r="BM343" s="1207"/>
      <c r="BN343" s="1207"/>
      <c r="BO343" s="1207"/>
      <c r="BP343" s="1207"/>
      <c r="BQ343" s="1207"/>
      <c r="BR343" s="1207"/>
      <c r="BS343" s="1207"/>
      <c r="BT343" s="1207"/>
      <c r="BU343" s="1207"/>
      <c r="BV343" s="1207"/>
      <c r="BW343" s="1207"/>
      <c r="BX343" s="1207"/>
      <c r="BY343" s="1207"/>
      <c r="BZ343" s="1207"/>
      <c r="CA343" s="1207"/>
      <c r="CB343" s="1207"/>
      <c r="CC343" s="1207"/>
      <c r="CD343" s="1207"/>
      <c r="CE343" s="1207"/>
      <c r="CF343" s="1207"/>
    </row>
    <row r="344" spans="1:84" ht="135" x14ac:dyDescent="0.25">
      <c r="A344" s="1355">
        <v>2022364</v>
      </c>
      <c r="B344" s="1172">
        <v>7658</v>
      </c>
      <c r="C344" s="1356" t="s">
        <v>679</v>
      </c>
      <c r="D344" s="1190" t="s">
        <v>701</v>
      </c>
      <c r="E344" s="1174">
        <v>80111600</v>
      </c>
      <c r="F344" s="1380" t="s">
        <v>1012</v>
      </c>
      <c r="G344" s="1381">
        <v>44562</v>
      </c>
      <c r="H344" s="1381">
        <v>44592</v>
      </c>
      <c r="I344" s="1176">
        <v>10</v>
      </c>
      <c r="J344" s="1176" t="s">
        <v>673</v>
      </c>
      <c r="K344" s="1177" t="s">
        <v>674</v>
      </c>
      <c r="L344" s="1178" t="s">
        <v>675</v>
      </c>
      <c r="M344" s="1179">
        <f>25250000-750000</f>
        <v>24500000</v>
      </c>
      <c r="N344" s="1382" t="s">
        <v>1006</v>
      </c>
      <c r="O344" s="1174" t="s">
        <v>915</v>
      </c>
      <c r="P344" s="1207" t="s">
        <v>678</v>
      </c>
      <c r="Q344" s="1163"/>
      <c r="R344" s="1357">
        <v>24500000</v>
      </c>
      <c r="S344" s="1357">
        <v>24500000</v>
      </c>
      <c r="T344" s="1357">
        <f>+Tabla16[[#This Row],[CDPS A 31 JULIO 2022]]-Tabla16[[#This Row],[CDP]]</f>
        <v>0</v>
      </c>
      <c r="U344" s="1357">
        <v>24500000</v>
      </c>
      <c r="V344" s="1357">
        <v>9800000</v>
      </c>
      <c r="W344" s="1357"/>
      <c r="X344" s="1207"/>
      <c r="Y344" s="1207"/>
      <c r="Z344" s="1207"/>
      <c r="AA344" s="1207"/>
      <c r="AB344" s="1207"/>
      <c r="AC344" s="1207"/>
      <c r="AD344" s="1207"/>
      <c r="AE344" s="1207"/>
      <c r="AF344" s="1207"/>
      <c r="AG344" s="1207"/>
      <c r="AH344" s="1207"/>
      <c r="AI344" s="1207"/>
      <c r="AJ344" s="1207"/>
      <c r="AK344" s="1207"/>
      <c r="AL344" s="1207"/>
      <c r="AM344" s="1207"/>
      <c r="AN344" s="1207"/>
      <c r="AO344" s="1207"/>
      <c r="AP344" s="1207"/>
      <c r="AQ344" s="1207"/>
      <c r="AR344" s="1207"/>
      <c r="AS344" s="1207"/>
      <c r="AT344" s="1207"/>
      <c r="AU344" s="1207"/>
      <c r="AV344" s="1207"/>
      <c r="AW344" s="1207"/>
      <c r="AX344" s="1207"/>
      <c r="AY344" s="1207"/>
      <c r="AZ344" s="1207"/>
      <c r="BA344" s="1207"/>
      <c r="BB344" s="1207"/>
      <c r="BC344" s="1207"/>
      <c r="BD344" s="1207"/>
      <c r="BE344" s="1207"/>
      <c r="BF344" s="1207"/>
      <c r="BG344" s="1207"/>
      <c r="BH344" s="1207"/>
      <c r="BI344" s="1207"/>
      <c r="BJ344" s="1207"/>
      <c r="BK344" s="1207"/>
      <c r="BL344" s="1207"/>
      <c r="BM344" s="1207"/>
      <c r="BN344" s="1207"/>
      <c r="BO344" s="1207"/>
      <c r="BP344" s="1207"/>
      <c r="BQ344" s="1207"/>
      <c r="BR344" s="1207"/>
      <c r="BS344" s="1207"/>
      <c r="BT344" s="1207"/>
      <c r="BU344" s="1207"/>
      <c r="BV344" s="1207"/>
      <c r="BW344" s="1207"/>
      <c r="BX344" s="1207"/>
      <c r="BY344" s="1207"/>
      <c r="BZ344" s="1207"/>
      <c r="CA344" s="1207"/>
      <c r="CB344" s="1207"/>
      <c r="CC344" s="1207"/>
      <c r="CD344" s="1207"/>
      <c r="CE344" s="1207"/>
      <c r="CF344" s="1207"/>
    </row>
    <row r="345" spans="1:84" ht="135" x14ac:dyDescent="0.25">
      <c r="A345" s="1355">
        <v>2022365</v>
      </c>
      <c r="B345" s="1172">
        <v>7658</v>
      </c>
      <c r="C345" s="1356" t="s">
        <v>679</v>
      </c>
      <c r="D345" s="1190" t="s">
        <v>701</v>
      </c>
      <c r="E345" s="1174">
        <v>80111600</v>
      </c>
      <c r="F345" s="1380" t="s">
        <v>1012</v>
      </c>
      <c r="G345" s="1381">
        <v>44562</v>
      </c>
      <c r="H345" s="1381">
        <v>44592</v>
      </c>
      <c r="I345" s="1176">
        <v>10</v>
      </c>
      <c r="J345" s="1176" t="s">
        <v>673</v>
      </c>
      <c r="K345" s="1177" t="s">
        <v>674</v>
      </c>
      <c r="L345" s="1178" t="s">
        <v>675</v>
      </c>
      <c r="M345" s="1179">
        <f>25250000-750000</f>
        <v>24500000</v>
      </c>
      <c r="N345" s="1382" t="s">
        <v>1006</v>
      </c>
      <c r="O345" s="1174" t="s">
        <v>915</v>
      </c>
      <c r="P345" s="1207" t="s">
        <v>678</v>
      </c>
      <c r="Q345" s="1163"/>
      <c r="R345" s="1357">
        <v>24500000</v>
      </c>
      <c r="S345" s="1357">
        <v>24500000</v>
      </c>
      <c r="T345" s="1357">
        <f>+Tabla16[[#This Row],[CDPS A 31 JULIO 2022]]-Tabla16[[#This Row],[CDP]]</f>
        <v>0</v>
      </c>
      <c r="U345" s="1357">
        <v>24500000</v>
      </c>
      <c r="V345" s="1357">
        <v>9310000</v>
      </c>
      <c r="W345" s="1357"/>
      <c r="X345" s="1207"/>
      <c r="Y345" s="1207"/>
      <c r="Z345" s="1207"/>
      <c r="AA345" s="1207"/>
      <c r="AB345" s="1207"/>
      <c r="AC345" s="1207"/>
      <c r="AD345" s="1207"/>
      <c r="AE345" s="1207"/>
      <c r="AF345" s="1207"/>
      <c r="AG345" s="1207"/>
      <c r="AH345" s="1207"/>
      <c r="AI345" s="1207"/>
      <c r="AJ345" s="1207"/>
      <c r="AK345" s="1207"/>
      <c r="AL345" s="1207"/>
      <c r="AM345" s="1207"/>
      <c r="AN345" s="1207"/>
      <c r="AO345" s="1207"/>
      <c r="AP345" s="1207"/>
      <c r="AQ345" s="1207"/>
      <c r="AR345" s="1207"/>
      <c r="AS345" s="1207"/>
      <c r="AT345" s="1207"/>
      <c r="AU345" s="1207"/>
      <c r="AV345" s="1207"/>
      <c r="AW345" s="1207"/>
      <c r="AX345" s="1207"/>
      <c r="AY345" s="1207"/>
      <c r="AZ345" s="1207"/>
      <c r="BA345" s="1207"/>
      <c r="BB345" s="1207"/>
      <c r="BC345" s="1207"/>
      <c r="BD345" s="1207"/>
      <c r="BE345" s="1207"/>
      <c r="BF345" s="1207"/>
      <c r="BG345" s="1207"/>
      <c r="BH345" s="1207"/>
      <c r="BI345" s="1207"/>
      <c r="BJ345" s="1207"/>
      <c r="BK345" s="1207"/>
      <c r="BL345" s="1207"/>
      <c r="BM345" s="1207"/>
      <c r="BN345" s="1207"/>
      <c r="BO345" s="1207"/>
      <c r="BP345" s="1207"/>
      <c r="BQ345" s="1207"/>
      <c r="BR345" s="1207"/>
      <c r="BS345" s="1207"/>
      <c r="BT345" s="1207"/>
      <c r="BU345" s="1207"/>
      <c r="BV345" s="1207"/>
      <c r="BW345" s="1207"/>
      <c r="BX345" s="1207"/>
      <c r="BY345" s="1207"/>
      <c r="BZ345" s="1207"/>
      <c r="CA345" s="1207"/>
      <c r="CB345" s="1207"/>
      <c r="CC345" s="1207"/>
      <c r="CD345" s="1207"/>
      <c r="CE345" s="1207"/>
      <c r="CF345" s="1207"/>
    </row>
    <row r="346" spans="1:84" ht="135" x14ac:dyDescent="0.25">
      <c r="A346" s="1355">
        <v>2022366</v>
      </c>
      <c r="B346" s="1172">
        <v>7658</v>
      </c>
      <c r="C346" s="1356" t="s">
        <v>679</v>
      </c>
      <c r="D346" s="1190" t="s">
        <v>701</v>
      </c>
      <c r="E346" s="1174">
        <v>80111600</v>
      </c>
      <c r="F346" s="1380" t="s">
        <v>1013</v>
      </c>
      <c r="G346" s="1381">
        <v>44562</v>
      </c>
      <c r="H346" s="1381">
        <v>44592</v>
      </c>
      <c r="I346" s="1176">
        <v>12</v>
      </c>
      <c r="J346" s="1176" t="s">
        <v>673</v>
      </c>
      <c r="K346" s="1177" t="s">
        <v>674</v>
      </c>
      <c r="L346" s="1178" t="s">
        <v>675</v>
      </c>
      <c r="M346" s="1179">
        <v>25956000</v>
      </c>
      <c r="N346" s="1382" t="s">
        <v>1006</v>
      </c>
      <c r="O346" s="1174" t="s">
        <v>915</v>
      </c>
      <c r="P346" s="1207" t="s">
        <v>678</v>
      </c>
      <c r="Q346" s="1163"/>
      <c r="R346" s="1357">
        <v>25200000</v>
      </c>
      <c r="S346" s="1357">
        <v>25200000</v>
      </c>
      <c r="T346" s="1357">
        <f>+Tabla16[[#This Row],[CDPS A 31 JULIO 2022]]-Tabla16[[#This Row],[CDP]]</f>
        <v>0</v>
      </c>
      <c r="U346" s="1357">
        <v>25200000</v>
      </c>
      <c r="V346" s="1357">
        <v>8400000</v>
      </c>
      <c r="W346" s="1357"/>
      <c r="X346" s="1207"/>
      <c r="Y346" s="1207"/>
      <c r="Z346" s="1207"/>
      <c r="AA346" s="1207"/>
      <c r="AB346" s="1207"/>
      <c r="AC346" s="1207"/>
      <c r="AD346" s="1207"/>
      <c r="AE346" s="1207"/>
      <c r="AF346" s="1207"/>
      <c r="AG346" s="1207"/>
      <c r="AH346" s="1207"/>
      <c r="AI346" s="1207"/>
      <c r="AJ346" s="1207"/>
      <c r="AK346" s="1207"/>
      <c r="AL346" s="1207"/>
      <c r="AM346" s="1207"/>
      <c r="AN346" s="1207"/>
      <c r="AO346" s="1207"/>
      <c r="AP346" s="1207"/>
      <c r="AQ346" s="1207"/>
      <c r="AR346" s="1207"/>
      <c r="AS346" s="1207"/>
      <c r="AT346" s="1207"/>
      <c r="AU346" s="1207"/>
      <c r="AV346" s="1207"/>
      <c r="AW346" s="1207"/>
      <c r="AX346" s="1207"/>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row>
    <row r="347" spans="1:84" ht="135" x14ac:dyDescent="0.25">
      <c r="A347" s="1355">
        <v>2022367</v>
      </c>
      <c r="B347" s="1172">
        <v>7658</v>
      </c>
      <c r="C347" s="1356" t="s">
        <v>679</v>
      </c>
      <c r="D347" s="1190" t="s">
        <v>701</v>
      </c>
      <c r="E347" s="1174">
        <v>80111600</v>
      </c>
      <c r="F347" s="1380" t="s">
        <v>1014</v>
      </c>
      <c r="G347" s="1381">
        <v>44562</v>
      </c>
      <c r="H347" s="1381">
        <v>44592</v>
      </c>
      <c r="I347" s="1176">
        <v>12</v>
      </c>
      <c r="J347" s="1176" t="s">
        <v>673</v>
      </c>
      <c r="K347" s="1177" t="s">
        <v>674</v>
      </c>
      <c r="L347" s="1178" t="s">
        <v>675</v>
      </c>
      <c r="M347" s="1179">
        <v>41400000</v>
      </c>
      <c r="N347" s="1382" t="s">
        <v>1006</v>
      </c>
      <c r="O347" s="1174" t="s">
        <v>915</v>
      </c>
      <c r="P347" s="1207" t="s">
        <v>678</v>
      </c>
      <c r="Q347" s="1163"/>
      <c r="R347" s="1357">
        <v>40200000</v>
      </c>
      <c r="S347" s="1357">
        <v>40200000</v>
      </c>
      <c r="T347" s="1357">
        <f>+Tabla16[[#This Row],[CDPS A 31 JULIO 2022]]-Tabla16[[#This Row],[CDP]]</f>
        <v>0</v>
      </c>
      <c r="U347" s="1357">
        <v>40200000</v>
      </c>
      <c r="V347" s="1357">
        <v>14181667</v>
      </c>
      <c r="W347" s="1357"/>
      <c r="X347" s="1207"/>
      <c r="Y347" s="1207"/>
      <c r="Z347" s="1207"/>
      <c r="AA347" s="1207"/>
      <c r="AB347" s="1207"/>
      <c r="AC347" s="1207"/>
      <c r="AD347" s="1207"/>
      <c r="AE347" s="1207"/>
      <c r="AF347" s="1207"/>
      <c r="AG347" s="1207"/>
      <c r="AH347" s="1207"/>
      <c r="AI347" s="1207"/>
      <c r="AJ347" s="1207"/>
      <c r="AK347" s="1207"/>
      <c r="AL347" s="1207"/>
      <c r="AM347" s="1207"/>
      <c r="AN347" s="1207"/>
      <c r="AO347" s="1207"/>
      <c r="AP347" s="1207"/>
      <c r="AQ347" s="1207"/>
      <c r="AR347" s="1207"/>
      <c r="AS347" s="1207"/>
      <c r="AT347" s="1207"/>
      <c r="AU347" s="1207"/>
      <c r="AV347" s="1207"/>
      <c r="AW347" s="1207"/>
      <c r="AX347" s="1207"/>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row>
    <row r="348" spans="1:84" ht="135" x14ac:dyDescent="0.25">
      <c r="A348" s="1355">
        <v>2022368</v>
      </c>
      <c r="B348" s="1172">
        <v>7658</v>
      </c>
      <c r="C348" s="1356" t="s">
        <v>679</v>
      </c>
      <c r="D348" s="1190" t="s">
        <v>701</v>
      </c>
      <c r="E348" s="1174">
        <v>80111600</v>
      </c>
      <c r="F348" s="1380" t="s">
        <v>1015</v>
      </c>
      <c r="G348" s="1381">
        <v>44562</v>
      </c>
      <c r="H348" s="1381">
        <v>44592</v>
      </c>
      <c r="I348" s="1176">
        <v>12</v>
      </c>
      <c r="J348" s="1176" t="s">
        <v>673</v>
      </c>
      <c r="K348" s="1177" t="s">
        <v>674</v>
      </c>
      <c r="L348" s="1178" t="s">
        <v>675</v>
      </c>
      <c r="M348" s="1179">
        <v>25200000</v>
      </c>
      <c r="N348" s="1382" t="s">
        <v>1006</v>
      </c>
      <c r="O348" s="1174" t="s">
        <v>915</v>
      </c>
      <c r="P348" s="1207" t="s">
        <v>678</v>
      </c>
      <c r="Q348" s="1163"/>
      <c r="R348" s="1357">
        <v>20100000</v>
      </c>
      <c r="S348" s="1357">
        <v>20100000</v>
      </c>
      <c r="T348" s="1357">
        <f>+Tabla16[[#This Row],[CDPS A 31 JULIO 2022]]-Tabla16[[#This Row],[CDP]]</f>
        <v>0</v>
      </c>
      <c r="U348" s="1357">
        <v>20100000</v>
      </c>
      <c r="V348" s="1357">
        <v>13176667</v>
      </c>
      <c r="W348" s="1357"/>
      <c r="X348" s="1207"/>
      <c r="Y348" s="1207"/>
      <c r="Z348" s="1207"/>
      <c r="AA348" s="1207"/>
      <c r="AB348" s="1207"/>
      <c r="AC348" s="1207"/>
      <c r="AD348" s="1207"/>
      <c r="AE348" s="1207"/>
      <c r="AF348" s="1207"/>
      <c r="AG348" s="1207"/>
      <c r="AH348" s="1207"/>
      <c r="AI348" s="1207"/>
      <c r="AJ348" s="1207"/>
      <c r="AK348" s="1207"/>
      <c r="AL348" s="1207"/>
      <c r="AM348" s="1207"/>
      <c r="AN348" s="1207"/>
      <c r="AO348" s="1207"/>
      <c r="AP348" s="1207"/>
      <c r="AQ348" s="1207"/>
      <c r="AR348" s="1207"/>
      <c r="AS348" s="1207"/>
      <c r="AT348" s="1207"/>
      <c r="AU348" s="1207"/>
      <c r="AV348" s="1207"/>
      <c r="AW348" s="1207"/>
      <c r="AX348" s="1207"/>
      <c r="AY348" s="1207"/>
      <c r="AZ348" s="1207"/>
      <c r="BA348" s="1207"/>
      <c r="BB348" s="1207"/>
      <c r="BC348" s="1207"/>
      <c r="BD348" s="1207"/>
      <c r="BE348" s="1207"/>
      <c r="BF348" s="1207"/>
      <c r="BG348" s="1207"/>
      <c r="BH348" s="1207"/>
      <c r="BI348" s="1207"/>
      <c r="BJ348" s="1207"/>
      <c r="BK348" s="1207"/>
      <c r="BL348" s="1207"/>
      <c r="BM348" s="1207"/>
      <c r="BN348" s="1207"/>
      <c r="BO348" s="1207"/>
      <c r="BP348" s="1207"/>
      <c r="BQ348" s="1207"/>
      <c r="BR348" s="1207"/>
      <c r="BS348" s="1207"/>
      <c r="BT348" s="1207"/>
      <c r="BU348" s="1207"/>
      <c r="BV348" s="1207"/>
      <c r="BW348" s="1207"/>
      <c r="BX348" s="1207"/>
      <c r="BY348" s="1207"/>
      <c r="BZ348" s="1207"/>
      <c r="CA348" s="1207"/>
      <c r="CB348" s="1207"/>
      <c r="CC348" s="1207"/>
      <c r="CD348" s="1207"/>
      <c r="CE348" s="1207"/>
      <c r="CF348" s="1207"/>
    </row>
    <row r="349" spans="1:84" ht="135" x14ac:dyDescent="0.25">
      <c r="A349" s="1355">
        <v>2022369</v>
      </c>
      <c r="B349" s="1172">
        <v>7658</v>
      </c>
      <c r="C349" s="1356" t="s">
        <v>679</v>
      </c>
      <c r="D349" s="1190" t="s">
        <v>701</v>
      </c>
      <c r="E349" s="1174">
        <v>80111600</v>
      </c>
      <c r="F349" s="1380" t="s">
        <v>1016</v>
      </c>
      <c r="G349" s="1381">
        <v>44562</v>
      </c>
      <c r="H349" s="1381">
        <v>44592</v>
      </c>
      <c r="I349" s="1176">
        <v>11</v>
      </c>
      <c r="J349" s="1176" t="s">
        <v>673</v>
      </c>
      <c r="K349" s="1177" t="s">
        <v>674</v>
      </c>
      <c r="L349" s="1178" t="s">
        <v>675</v>
      </c>
      <c r="M349" s="1179">
        <v>37950000</v>
      </c>
      <c r="N349" s="1382" t="s">
        <v>1006</v>
      </c>
      <c r="O349" s="1174" t="s">
        <v>915</v>
      </c>
      <c r="P349" s="1207" t="s">
        <v>678</v>
      </c>
      <c r="Q349" s="1163"/>
      <c r="R349" s="1357">
        <v>36850000</v>
      </c>
      <c r="S349" s="1357">
        <v>36850000</v>
      </c>
      <c r="T349" s="1357">
        <f>+Tabla16[[#This Row],[CDPS A 31 JULIO 2022]]-Tabla16[[#This Row],[CDP]]</f>
        <v>0</v>
      </c>
      <c r="U349" s="1357">
        <v>36850000</v>
      </c>
      <c r="V349" s="1357">
        <v>13958333</v>
      </c>
      <c r="W349" s="1357"/>
      <c r="X349" s="1207"/>
      <c r="Y349" s="1207"/>
      <c r="Z349" s="1207"/>
      <c r="AA349" s="1207"/>
      <c r="AB349" s="1207"/>
      <c r="AC349" s="1207"/>
      <c r="AD349" s="1207"/>
      <c r="AE349" s="1207"/>
      <c r="AF349" s="1207"/>
      <c r="AG349" s="1207"/>
      <c r="AH349" s="1207"/>
      <c r="AI349" s="1207"/>
      <c r="AJ349" s="1207"/>
      <c r="AK349" s="1207"/>
      <c r="AL349" s="1207"/>
      <c r="AM349" s="1207"/>
      <c r="AN349" s="1207"/>
      <c r="AO349" s="1207"/>
      <c r="AP349" s="1207"/>
      <c r="AQ349" s="1207"/>
      <c r="AR349" s="1207"/>
      <c r="AS349" s="1207"/>
      <c r="AT349" s="1207"/>
      <c r="AU349" s="1207"/>
      <c r="AV349" s="1207"/>
      <c r="AW349" s="1207"/>
      <c r="AX349" s="1207"/>
      <c r="AY349" s="1207"/>
      <c r="AZ349" s="1207"/>
      <c r="BA349" s="1207"/>
      <c r="BB349" s="1207"/>
      <c r="BC349" s="1207"/>
      <c r="BD349" s="1207"/>
      <c r="BE349" s="1207"/>
      <c r="BF349" s="1207"/>
      <c r="BG349" s="1207"/>
      <c r="BH349" s="1207"/>
      <c r="BI349" s="1207"/>
      <c r="BJ349" s="1207"/>
      <c r="BK349" s="1207"/>
      <c r="BL349" s="1207"/>
      <c r="BM349" s="1207"/>
      <c r="BN349" s="1207"/>
      <c r="BO349" s="1207"/>
      <c r="BP349" s="1207"/>
      <c r="BQ349" s="1207"/>
      <c r="BR349" s="1207"/>
      <c r="BS349" s="1207"/>
      <c r="BT349" s="1207"/>
      <c r="BU349" s="1207"/>
      <c r="BV349" s="1207"/>
      <c r="BW349" s="1207"/>
      <c r="BX349" s="1207"/>
      <c r="BY349" s="1207"/>
      <c r="BZ349" s="1207"/>
      <c r="CA349" s="1207"/>
      <c r="CB349" s="1207"/>
      <c r="CC349" s="1207"/>
      <c r="CD349" s="1207"/>
      <c r="CE349" s="1207"/>
      <c r="CF349" s="1207"/>
    </row>
    <row r="350" spans="1:84" ht="135" x14ac:dyDescent="0.25">
      <c r="A350" s="1355">
        <v>2022370</v>
      </c>
      <c r="B350" s="1172">
        <v>7658</v>
      </c>
      <c r="C350" s="1356" t="s">
        <v>679</v>
      </c>
      <c r="D350" s="1190" t="s">
        <v>701</v>
      </c>
      <c r="E350" s="1174">
        <v>80111600</v>
      </c>
      <c r="F350" s="1380" t="s">
        <v>1017</v>
      </c>
      <c r="G350" s="1381">
        <v>44562</v>
      </c>
      <c r="H350" s="1381">
        <v>44592</v>
      </c>
      <c r="I350" s="1176">
        <v>12</v>
      </c>
      <c r="J350" s="1176" t="s">
        <v>673</v>
      </c>
      <c r="K350" s="1177" t="s">
        <v>674</v>
      </c>
      <c r="L350" s="1178" t="s">
        <v>675</v>
      </c>
      <c r="M350" s="1179">
        <v>47586000</v>
      </c>
      <c r="N350" s="1382" t="s">
        <v>1006</v>
      </c>
      <c r="O350" s="1174" t="s">
        <v>915</v>
      </c>
      <c r="P350" s="1207" t="s">
        <v>678</v>
      </c>
      <c r="Q350" s="1163"/>
      <c r="R350" s="1357">
        <v>46200000</v>
      </c>
      <c r="S350" s="1357">
        <v>46200000</v>
      </c>
      <c r="T350" s="1357">
        <f>+Tabla16[[#This Row],[CDPS A 31 JULIO 2022]]-Tabla16[[#This Row],[CDP]]</f>
        <v>0</v>
      </c>
      <c r="U350" s="1357">
        <v>46200000</v>
      </c>
      <c r="V350" s="1357">
        <v>16940000</v>
      </c>
      <c r="W350" s="1357"/>
      <c r="X350" s="1207"/>
      <c r="Y350" s="1207"/>
      <c r="Z350" s="1207"/>
      <c r="AA350" s="1207"/>
      <c r="AB350" s="1207"/>
      <c r="AC350" s="1207"/>
      <c r="AD350" s="1207"/>
      <c r="AE350" s="1207"/>
      <c r="AF350" s="1207"/>
      <c r="AG350" s="1207"/>
      <c r="AH350" s="1207"/>
      <c r="AI350" s="1207"/>
      <c r="AJ350" s="1207"/>
      <c r="AK350" s="1207"/>
      <c r="AL350" s="1207"/>
      <c r="AM350" s="1207"/>
      <c r="AN350" s="1207"/>
      <c r="AO350" s="1207"/>
      <c r="AP350" s="1207"/>
      <c r="AQ350" s="1207"/>
      <c r="AR350" s="1207"/>
      <c r="AS350" s="1207"/>
      <c r="AT350" s="1207"/>
      <c r="AU350" s="1207"/>
      <c r="AV350" s="1207"/>
      <c r="AW350" s="1207"/>
      <c r="AX350" s="1207"/>
      <c r="AY350" s="1207"/>
      <c r="AZ350" s="1207"/>
      <c r="BA350" s="1207"/>
      <c r="BB350" s="1207"/>
      <c r="BC350" s="1207"/>
      <c r="BD350" s="1207"/>
      <c r="BE350" s="1207"/>
      <c r="BF350" s="1207"/>
      <c r="BG350" s="1207"/>
      <c r="BH350" s="1207"/>
      <c r="BI350" s="1207"/>
      <c r="BJ350" s="1207"/>
      <c r="BK350" s="1207"/>
      <c r="BL350" s="1207"/>
      <c r="BM350" s="1207"/>
      <c r="BN350" s="1207"/>
      <c r="BO350" s="1207"/>
      <c r="BP350" s="1207"/>
      <c r="BQ350" s="1207"/>
      <c r="BR350" s="1207"/>
      <c r="BS350" s="1207"/>
      <c r="BT350" s="1207"/>
      <c r="BU350" s="1207"/>
      <c r="BV350" s="1207"/>
      <c r="BW350" s="1207"/>
      <c r="BX350" s="1207"/>
      <c r="BY350" s="1207"/>
      <c r="BZ350" s="1207"/>
      <c r="CA350" s="1207"/>
      <c r="CB350" s="1207"/>
      <c r="CC350" s="1207"/>
      <c r="CD350" s="1207"/>
      <c r="CE350" s="1207"/>
      <c r="CF350" s="1207"/>
    </row>
    <row r="351" spans="1:84" ht="135" x14ac:dyDescent="0.25">
      <c r="A351" s="1355">
        <v>2022371</v>
      </c>
      <c r="B351" s="1172">
        <v>7658</v>
      </c>
      <c r="C351" s="1356" t="s">
        <v>679</v>
      </c>
      <c r="D351" s="1190" t="s">
        <v>701</v>
      </c>
      <c r="E351" s="1174">
        <v>80111600</v>
      </c>
      <c r="F351" s="1380" t="s">
        <v>1018</v>
      </c>
      <c r="G351" s="1381">
        <v>44562</v>
      </c>
      <c r="H351" s="1381">
        <v>44592</v>
      </c>
      <c r="I351" s="1176">
        <v>11</v>
      </c>
      <c r="J351" s="1176" t="s">
        <v>673</v>
      </c>
      <c r="K351" s="1177" t="s">
        <v>674</v>
      </c>
      <c r="L351" s="1178" t="s">
        <v>675</v>
      </c>
      <c r="M351" s="1179">
        <f>37956000-28254000+8925000</f>
        <v>18627000</v>
      </c>
      <c r="N351" s="1382" t="s">
        <v>1006</v>
      </c>
      <c r="O351" s="1174" t="s">
        <v>915</v>
      </c>
      <c r="P351" s="1207" t="s">
        <v>678</v>
      </c>
      <c r="Q351" s="1163"/>
      <c r="R351" s="1269">
        <v>0</v>
      </c>
      <c r="S351" s="1357"/>
      <c r="T351" s="1357">
        <f>+Tabla16[[#This Row],[CDPS A 31 JULIO 2022]]-Tabla16[[#This Row],[CDP]]</f>
        <v>0</v>
      </c>
      <c r="U351" s="1357"/>
      <c r="V351" s="1357"/>
      <c r="W351" s="1357"/>
      <c r="X351" s="1207"/>
      <c r="Y351" s="1207"/>
      <c r="Z351" s="1207"/>
      <c r="AA351" s="1207"/>
      <c r="AB351" s="1207"/>
      <c r="AC351" s="1207"/>
      <c r="AD351" s="1207"/>
      <c r="AE351" s="1207"/>
      <c r="AF351" s="1207"/>
      <c r="AG351" s="1207"/>
      <c r="AH351" s="1207"/>
      <c r="AI351" s="1207"/>
      <c r="AJ351" s="1207"/>
      <c r="AK351" s="1207"/>
      <c r="AL351" s="1207"/>
      <c r="AM351" s="1207"/>
      <c r="AN351" s="1207"/>
      <c r="AO351" s="1207"/>
      <c r="AP351" s="1207"/>
      <c r="AQ351" s="1207"/>
      <c r="AR351" s="1207"/>
      <c r="AS351" s="1207"/>
      <c r="AT351" s="1207"/>
      <c r="AU351" s="1207"/>
      <c r="AV351" s="1207"/>
      <c r="AW351" s="1207"/>
      <c r="AX351" s="1207"/>
      <c r="AY351" s="1207"/>
      <c r="AZ351" s="1207"/>
      <c r="BA351" s="1207"/>
      <c r="BB351" s="1207"/>
      <c r="BC351" s="1207"/>
      <c r="BD351" s="1207"/>
      <c r="BE351" s="1207"/>
      <c r="BF351" s="1207"/>
      <c r="BG351" s="1207"/>
      <c r="BH351" s="1207"/>
      <c r="BI351" s="1207"/>
      <c r="BJ351" s="1207"/>
      <c r="BK351" s="1207"/>
      <c r="BL351" s="1207"/>
      <c r="BM351" s="1207"/>
      <c r="BN351" s="1207"/>
      <c r="BO351" s="1207"/>
      <c r="BP351" s="1207"/>
      <c r="BQ351" s="1207"/>
      <c r="BR351" s="1207"/>
      <c r="BS351" s="1207"/>
      <c r="BT351" s="1207"/>
      <c r="BU351" s="1207"/>
      <c r="BV351" s="1207"/>
      <c r="BW351" s="1207"/>
      <c r="BX351" s="1207"/>
      <c r="BY351" s="1207"/>
      <c r="BZ351" s="1207"/>
      <c r="CA351" s="1207"/>
      <c r="CB351" s="1207"/>
      <c r="CC351" s="1207"/>
      <c r="CD351" s="1207"/>
      <c r="CE351" s="1207"/>
      <c r="CF351" s="1207"/>
    </row>
    <row r="352" spans="1:84" ht="135" x14ac:dyDescent="0.25">
      <c r="A352" s="1355">
        <v>2022372</v>
      </c>
      <c r="B352" s="1172">
        <v>7658</v>
      </c>
      <c r="C352" s="1356" t="s">
        <v>679</v>
      </c>
      <c r="D352" s="1190" t="s">
        <v>701</v>
      </c>
      <c r="E352" s="1174">
        <v>80111600</v>
      </c>
      <c r="F352" s="1380" t="s">
        <v>1019</v>
      </c>
      <c r="G352" s="1381">
        <v>44562</v>
      </c>
      <c r="H352" s="1381">
        <v>44592</v>
      </c>
      <c r="I352" s="1176">
        <v>12</v>
      </c>
      <c r="J352" s="1176" t="s">
        <v>673</v>
      </c>
      <c r="K352" s="1177" t="s">
        <v>674</v>
      </c>
      <c r="L352" s="1178" t="s">
        <v>675</v>
      </c>
      <c r="M352" s="1179">
        <f>63036000-1836000</f>
        <v>61200000</v>
      </c>
      <c r="N352" s="1382" t="s">
        <v>1006</v>
      </c>
      <c r="O352" s="1174" t="s">
        <v>915</v>
      </c>
      <c r="P352" s="1207" t="s">
        <v>678</v>
      </c>
      <c r="Q352" s="1163"/>
      <c r="R352" s="1357">
        <v>61200000</v>
      </c>
      <c r="S352" s="1357">
        <v>61200000</v>
      </c>
      <c r="T352" s="1357">
        <f>+Tabla16[[#This Row],[CDPS A 31 JULIO 2022]]-Tabla16[[#This Row],[CDP]]</f>
        <v>0</v>
      </c>
      <c r="U352" s="1357">
        <v>61200000</v>
      </c>
      <c r="V352" s="1357">
        <v>19890000</v>
      </c>
      <c r="W352" s="1357"/>
      <c r="X352" s="1207"/>
      <c r="Y352" s="1207"/>
      <c r="Z352" s="1207"/>
      <c r="AA352" s="1207"/>
      <c r="AB352" s="1207"/>
      <c r="AC352" s="1207"/>
      <c r="AD352" s="1207"/>
      <c r="AE352" s="1207"/>
      <c r="AF352" s="1207"/>
      <c r="AG352" s="1207"/>
      <c r="AH352" s="1207"/>
      <c r="AI352" s="1207"/>
      <c r="AJ352" s="1207"/>
      <c r="AK352" s="1207"/>
      <c r="AL352" s="1207"/>
      <c r="AM352" s="1207"/>
      <c r="AN352" s="1207"/>
      <c r="AO352" s="1207"/>
      <c r="AP352" s="1207"/>
      <c r="AQ352" s="1207"/>
      <c r="AR352" s="1207"/>
      <c r="AS352" s="1207"/>
      <c r="AT352" s="1207"/>
      <c r="AU352" s="1207"/>
      <c r="AV352" s="1207"/>
      <c r="AW352" s="1207"/>
      <c r="AX352" s="1207"/>
      <c r="AY352" s="1207"/>
      <c r="AZ352" s="1207"/>
      <c r="BA352" s="1207"/>
      <c r="BB352" s="1207"/>
      <c r="BC352" s="1207"/>
      <c r="BD352" s="1207"/>
      <c r="BE352" s="1207"/>
      <c r="BF352" s="1207"/>
      <c r="BG352" s="1207"/>
      <c r="BH352" s="1207"/>
      <c r="BI352" s="1207"/>
      <c r="BJ352" s="1207"/>
      <c r="BK352" s="1207"/>
      <c r="BL352" s="1207"/>
      <c r="BM352" s="1207"/>
      <c r="BN352" s="1207"/>
      <c r="BO352" s="1207"/>
      <c r="BP352" s="1207"/>
      <c r="BQ352" s="1207"/>
      <c r="BR352" s="1207"/>
      <c r="BS352" s="1207"/>
      <c r="BT352" s="1207"/>
      <c r="BU352" s="1207"/>
      <c r="BV352" s="1207"/>
      <c r="BW352" s="1207"/>
      <c r="BX352" s="1207"/>
      <c r="BY352" s="1207"/>
      <c r="BZ352" s="1207"/>
      <c r="CA352" s="1207"/>
      <c r="CB352" s="1207"/>
      <c r="CC352" s="1207"/>
      <c r="CD352" s="1207"/>
      <c r="CE352" s="1207"/>
      <c r="CF352" s="1207"/>
    </row>
    <row r="353" spans="1:84" ht="135" x14ac:dyDescent="0.25">
      <c r="A353" s="1355">
        <v>2022373</v>
      </c>
      <c r="B353" s="1172">
        <v>7658</v>
      </c>
      <c r="C353" s="1356" t="s">
        <v>679</v>
      </c>
      <c r="D353" s="1190" t="s">
        <v>701</v>
      </c>
      <c r="E353" s="1174">
        <v>80111600</v>
      </c>
      <c r="F353" s="1380" t="s">
        <v>1019</v>
      </c>
      <c r="G353" s="1381">
        <v>44562</v>
      </c>
      <c r="H353" s="1381">
        <v>44592</v>
      </c>
      <c r="I353" s="1176">
        <v>10</v>
      </c>
      <c r="J353" s="1176" t="s">
        <v>673</v>
      </c>
      <c r="K353" s="1177" t="s">
        <v>674</v>
      </c>
      <c r="L353" s="1178" t="s">
        <v>675</v>
      </c>
      <c r="M353" s="1179">
        <f>39700000-1200000</f>
        <v>38500000</v>
      </c>
      <c r="N353" s="1382" t="s">
        <v>1006</v>
      </c>
      <c r="O353" s="1174" t="s">
        <v>915</v>
      </c>
      <c r="P353" s="1207" t="s">
        <v>678</v>
      </c>
      <c r="Q353" s="1163"/>
      <c r="R353" s="1357">
        <v>38500000</v>
      </c>
      <c r="S353" s="1357">
        <v>38500000</v>
      </c>
      <c r="T353" s="1357">
        <f>+Tabla16[[#This Row],[CDPS A 31 JULIO 2022]]-Tabla16[[#This Row],[CDP]]</f>
        <v>0</v>
      </c>
      <c r="U353" s="1357">
        <v>38500000</v>
      </c>
      <c r="V353" s="1357">
        <v>14501667</v>
      </c>
      <c r="W353" s="1357"/>
      <c r="X353" s="1207"/>
      <c r="Y353" s="1207"/>
      <c r="Z353" s="1207"/>
      <c r="AA353" s="1207"/>
      <c r="AB353" s="1207"/>
      <c r="AC353" s="1207"/>
      <c r="AD353" s="1207"/>
      <c r="AE353" s="1207"/>
      <c r="AF353" s="1207"/>
      <c r="AG353" s="1207"/>
      <c r="AH353" s="1207"/>
      <c r="AI353" s="1207"/>
      <c r="AJ353" s="1207"/>
      <c r="AK353" s="1207"/>
      <c r="AL353" s="1207"/>
      <c r="AM353" s="1207"/>
      <c r="AN353" s="1207"/>
      <c r="AO353" s="1207"/>
      <c r="AP353" s="1207"/>
      <c r="AQ353" s="1207"/>
      <c r="AR353" s="1207"/>
      <c r="AS353" s="1207"/>
      <c r="AT353" s="1207"/>
      <c r="AU353" s="1207"/>
      <c r="AV353" s="1207"/>
      <c r="AW353" s="1207"/>
      <c r="AX353" s="1207"/>
      <c r="AY353" s="1207"/>
      <c r="AZ353" s="1207"/>
      <c r="BA353" s="1207"/>
      <c r="BB353" s="1207"/>
      <c r="BC353" s="1207"/>
      <c r="BD353" s="1207"/>
      <c r="BE353" s="1207"/>
      <c r="BF353" s="1207"/>
      <c r="BG353" s="1207"/>
      <c r="BH353" s="1207"/>
      <c r="BI353" s="1207"/>
      <c r="BJ353" s="1207"/>
      <c r="BK353" s="1207"/>
      <c r="BL353" s="1207"/>
      <c r="BM353" s="1207"/>
      <c r="BN353" s="1207"/>
      <c r="BO353" s="1207"/>
      <c r="BP353" s="1207"/>
      <c r="BQ353" s="1207"/>
      <c r="BR353" s="1207"/>
      <c r="BS353" s="1207"/>
      <c r="BT353" s="1207"/>
      <c r="BU353" s="1207"/>
      <c r="BV353" s="1207"/>
      <c r="BW353" s="1207"/>
      <c r="BX353" s="1207"/>
      <c r="BY353" s="1207"/>
      <c r="BZ353" s="1207"/>
      <c r="CA353" s="1207"/>
      <c r="CB353" s="1207"/>
      <c r="CC353" s="1207"/>
      <c r="CD353" s="1207"/>
      <c r="CE353" s="1207"/>
      <c r="CF353" s="1207"/>
    </row>
    <row r="354" spans="1:84" ht="135" x14ac:dyDescent="0.25">
      <c r="A354" s="1355">
        <v>2022374</v>
      </c>
      <c r="B354" s="1172">
        <v>7658</v>
      </c>
      <c r="C354" s="1356" t="s">
        <v>679</v>
      </c>
      <c r="D354" s="1190" t="s">
        <v>701</v>
      </c>
      <c r="E354" s="1174">
        <v>80111600</v>
      </c>
      <c r="F354" s="1380" t="s">
        <v>1019</v>
      </c>
      <c r="G354" s="1381">
        <v>44562</v>
      </c>
      <c r="H354" s="1381">
        <v>44592</v>
      </c>
      <c r="I354" s="1176">
        <v>11</v>
      </c>
      <c r="J354" s="1176" t="s">
        <v>673</v>
      </c>
      <c r="K354" s="1177" t="s">
        <v>674</v>
      </c>
      <c r="L354" s="1178" t="s">
        <v>675</v>
      </c>
      <c r="M354" s="1179">
        <f>50985000-1485000</f>
        <v>49500000</v>
      </c>
      <c r="N354" s="1382" t="s">
        <v>1006</v>
      </c>
      <c r="O354" s="1174" t="s">
        <v>915</v>
      </c>
      <c r="P354" s="1207" t="s">
        <v>678</v>
      </c>
      <c r="Q354" s="1163"/>
      <c r="R354" s="1357">
        <v>49500000</v>
      </c>
      <c r="S354" s="1357">
        <v>49500000</v>
      </c>
      <c r="T354" s="1357">
        <f>+Tabla16[[#This Row],[CDPS A 31 JULIO 2022]]-Tabla16[[#This Row],[CDP]]</f>
        <v>0</v>
      </c>
      <c r="U354" s="1357">
        <v>49500000</v>
      </c>
      <c r="V354" s="1357">
        <v>18000000</v>
      </c>
      <c r="W354" s="1357"/>
      <c r="X354" s="1207"/>
      <c r="Y354" s="1207"/>
      <c r="Z354" s="1207"/>
      <c r="AA354" s="1207"/>
      <c r="AB354" s="1207"/>
      <c r="AC354" s="1207"/>
      <c r="AD354" s="1207"/>
      <c r="AE354" s="1207"/>
      <c r="AF354" s="1207"/>
      <c r="AG354" s="1207"/>
      <c r="AH354" s="1207"/>
      <c r="AI354" s="1207"/>
      <c r="AJ354" s="1207"/>
      <c r="AK354" s="1207"/>
      <c r="AL354" s="1207"/>
      <c r="AM354" s="1207"/>
      <c r="AN354" s="1207"/>
      <c r="AO354" s="1207"/>
      <c r="AP354" s="1207"/>
      <c r="AQ354" s="1207"/>
      <c r="AR354" s="1207"/>
      <c r="AS354" s="1207"/>
      <c r="AT354" s="1207"/>
      <c r="AU354" s="1207"/>
      <c r="AV354" s="1207"/>
      <c r="AW354" s="1207"/>
      <c r="AX354" s="1207"/>
      <c r="AY354" s="1207"/>
      <c r="AZ354" s="1207"/>
      <c r="BA354" s="1207"/>
      <c r="BB354" s="1207"/>
      <c r="BC354" s="1207"/>
      <c r="BD354" s="1207"/>
      <c r="BE354" s="1207"/>
      <c r="BF354" s="1207"/>
      <c r="BG354" s="1207"/>
      <c r="BH354" s="1207"/>
      <c r="BI354" s="1207"/>
      <c r="BJ354" s="1207"/>
      <c r="BK354" s="1207"/>
      <c r="BL354" s="1207"/>
      <c r="BM354" s="1207"/>
      <c r="BN354" s="1207"/>
      <c r="BO354" s="1207"/>
      <c r="BP354" s="1207"/>
      <c r="BQ354" s="1207"/>
      <c r="BR354" s="1207"/>
      <c r="BS354" s="1207"/>
      <c r="BT354" s="1207"/>
      <c r="BU354" s="1207"/>
      <c r="BV354" s="1207"/>
      <c r="BW354" s="1207"/>
      <c r="BX354" s="1207"/>
      <c r="BY354" s="1207"/>
      <c r="BZ354" s="1207"/>
      <c r="CA354" s="1207"/>
      <c r="CB354" s="1207"/>
      <c r="CC354" s="1207"/>
      <c r="CD354" s="1207"/>
      <c r="CE354" s="1207"/>
      <c r="CF354" s="1207"/>
    </row>
    <row r="355" spans="1:84" ht="135" x14ac:dyDescent="0.25">
      <c r="A355" s="1355">
        <v>2022375</v>
      </c>
      <c r="B355" s="1172">
        <v>7658</v>
      </c>
      <c r="C355" s="1356" t="s">
        <v>679</v>
      </c>
      <c r="D355" s="1190" t="s">
        <v>701</v>
      </c>
      <c r="E355" s="1174">
        <v>80111600</v>
      </c>
      <c r="F355" s="1380" t="s">
        <v>1020</v>
      </c>
      <c r="G355" s="1381">
        <v>44562</v>
      </c>
      <c r="H355" s="1381">
        <v>44592</v>
      </c>
      <c r="I355" s="1176">
        <v>12</v>
      </c>
      <c r="J355" s="1176" t="s">
        <v>673</v>
      </c>
      <c r="K355" s="1177" t="s">
        <v>674</v>
      </c>
      <c r="L355" s="1178" t="s">
        <v>675</v>
      </c>
      <c r="M355" s="1179">
        <v>55620000</v>
      </c>
      <c r="N355" s="1382" t="s">
        <v>1006</v>
      </c>
      <c r="O355" s="1174" t="s">
        <v>915</v>
      </c>
      <c r="P355" s="1207" t="s">
        <v>678</v>
      </c>
      <c r="Q355" s="1163"/>
      <c r="R355" s="1357">
        <v>54000000</v>
      </c>
      <c r="S355" s="1357">
        <v>54000000</v>
      </c>
      <c r="T355" s="1357">
        <f>+Tabla16[[#This Row],[CDPS A 31 JULIO 2022]]-Tabla16[[#This Row],[CDP]]</f>
        <v>0</v>
      </c>
      <c r="U355" s="1357">
        <v>54000000</v>
      </c>
      <c r="V355" s="1357">
        <v>19050000</v>
      </c>
      <c r="W355" s="1357"/>
      <c r="X355" s="1207"/>
      <c r="Y355" s="1207"/>
      <c r="Z355" s="1207"/>
      <c r="AA355" s="1207"/>
      <c r="AB355" s="1207"/>
      <c r="AC355" s="1207"/>
      <c r="AD355" s="1207"/>
      <c r="AE355" s="1207"/>
      <c r="AF355" s="1207"/>
      <c r="AG355" s="1207"/>
      <c r="AH355" s="1207"/>
      <c r="AI355" s="1207"/>
      <c r="AJ355" s="1207"/>
      <c r="AK355" s="1207"/>
      <c r="AL355" s="1207"/>
      <c r="AM355" s="1207"/>
      <c r="AN355" s="1207"/>
      <c r="AO355" s="1207"/>
      <c r="AP355" s="1207"/>
      <c r="AQ355" s="1207"/>
      <c r="AR355" s="1207"/>
      <c r="AS355" s="1207"/>
      <c r="AT355" s="1207"/>
      <c r="AU355" s="1207"/>
      <c r="AV355" s="1207"/>
      <c r="AW355" s="1207"/>
      <c r="AX355" s="1207"/>
      <c r="AY355" s="1207"/>
      <c r="AZ355" s="1207"/>
      <c r="BA355" s="1207"/>
      <c r="BB355" s="1207"/>
      <c r="BC355" s="1207"/>
      <c r="BD355" s="1207"/>
      <c r="BE355" s="1207"/>
      <c r="BF355" s="1207"/>
      <c r="BG355" s="1207"/>
      <c r="BH355" s="1207"/>
      <c r="BI355" s="1207"/>
      <c r="BJ355" s="1207"/>
      <c r="BK355" s="1207"/>
      <c r="BL355" s="1207"/>
      <c r="BM355" s="1207"/>
      <c r="BN355" s="1207"/>
      <c r="BO355" s="1207"/>
      <c r="BP355" s="1207"/>
      <c r="BQ355" s="1207"/>
      <c r="BR355" s="1207"/>
      <c r="BS355" s="1207"/>
      <c r="BT355" s="1207"/>
      <c r="BU355" s="1207"/>
      <c r="BV355" s="1207"/>
      <c r="BW355" s="1207"/>
      <c r="BX355" s="1207"/>
      <c r="BY355" s="1207"/>
      <c r="BZ355" s="1207"/>
      <c r="CA355" s="1207"/>
      <c r="CB355" s="1207"/>
      <c r="CC355" s="1207"/>
      <c r="CD355" s="1207"/>
      <c r="CE355" s="1207"/>
      <c r="CF355" s="1207"/>
    </row>
    <row r="356" spans="1:84" ht="135" x14ac:dyDescent="0.25">
      <c r="A356" s="1355">
        <v>2022376</v>
      </c>
      <c r="B356" s="1172">
        <v>7658</v>
      </c>
      <c r="C356" s="1356" t="s">
        <v>679</v>
      </c>
      <c r="D356" s="1190" t="s">
        <v>701</v>
      </c>
      <c r="E356" s="1174">
        <v>80111600</v>
      </c>
      <c r="F356" s="1380" t="s">
        <v>1021</v>
      </c>
      <c r="G356" s="1381">
        <v>44562</v>
      </c>
      <c r="H356" s="1381">
        <v>44592</v>
      </c>
      <c r="I356" s="1176">
        <v>12</v>
      </c>
      <c r="J356" s="1176" t="s">
        <v>673</v>
      </c>
      <c r="K356" s="1177" t="s">
        <v>674</v>
      </c>
      <c r="L356" s="1178" t="s">
        <v>675</v>
      </c>
      <c r="M356" s="1179">
        <v>55620000</v>
      </c>
      <c r="N356" s="1382" t="s">
        <v>1006</v>
      </c>
      <c r="O356" s="1174" t="s">
        <v>915</v>
      </c>
      <c r="P356" s="1207" t="s">
        <v>678</v>
      </c>
      <c r="Q356" s="1163"/>
      <c r="R356" s="1357">
        <v>54000000</v>
      </c>
      <c r="S356" s="1357">
        <v>54000000</v>
      </c>
      <c r="T356" s="1357">
        <f>+Tabla16[[#This Row],[CDPS A 31 JULIO 2022]]-Tabla16[[#This Row],[CDP]]</f>
        <v>0</v>
      </c>
      <c r="U356" s="1357">
        <v>54000000</v>
      </c>
      <c r="V356" s="1357">
        <v>18750000</v>
      </c>
      <c r="W356" s="1357"/>
      <c r="X356" s="1207"/>
      <c r="Y356" s="1207"/>
      <c r="Z356" s="1207"/>
      <c r="AA356" s="1207"/>
      <c r="AB356" s="1207"/>
      <c r="AC356" s="1207"/>
      <c r="AD356" s="1207"/>
      <c r="AE356" s="1207"/>
      <c r="AF356" s="1207"/>
      <c r="AG356" s="1207"/>
      <c r="AH356" s="1207"/>
      <c r="AI356" s="1207"/>
      <c r="AJ356" s="1207"/>
      <c r="AK356" s="1207"/>
      <c r="AL356" s="1207"/>
      <c r="AM356" s="1207"/>
      <c r="AN356" s="1207"/>
      <c r="AO356" s="1207"/>
      <c r="AP356" s="1207"/>
      <c r="AQ356" s="1207"/>
      <c r="AR356" s="1207"/>
      <c r="AS356" s="1207"/>
      <c r="AT356" s="1207"/>
      <c r="AU356" s="1207"/>
      <c r="AV356" s="1207"/>
      <c r="AW356" s="1207"/>
      <c r="AX356" s="1207"/>
      <c r="AY356" s="1207"/>
      <c r="AZ356" s="1207"/>
      <c r="BA356" s="1207"/>
      <c r="BB356" s="1207"/>
      <c r="BC356" s="1207"/>
      <c r="BD356" s="1207"/>
      <c r="BE356" s="1207"/>
      <c r="BF356" s="1207"/>
      <c r="BG356" s="1207"/>
      <c r="BH356" s="1207"/>
      <c r="BI356" s="1207"/>
      <c r="BJ356" s="1207"/>
      <c r="BK356" s="1207"/>
      <c r="BL356" s="1207"/>
      <c r="BM356" s="1207"/>
      <c r="BN356" s="1207"/>
      <c r="BO356" s="1207"/>
      <c r="BP356" s="1207"/>
      <c r="BQ356" s="1207"/>
      <c r="BR356" s="1207"/>
      <c r="BS356" s="1207"/>
      <c r="BT356" s="1207"/>
      <c r="BU356" s="1207"/>
      <c r="BV356" s="1207"/>
      <c r="BW356" s="1207"/>
      <c r="BX356" s="1207"/>
      <c r="BY356" s="1207"/>
      <c r="BZ356" s="1207"/>
      <c r="CA356" s="1207"/>
      <c r="CB356" s="1207"/>
      <c r="CC356" s="1207"/>
      <c r="CD356" s="1207"/>
      <c r="CE356" s="1207"/>
      <c r="CF356" s="1207"/>
    </row>
    <row r="357" spans="1:84" ht="135" x14ac:dyDescent="0.25">
      <c r="A357" s="1355">
        <v>2022377</v>
      </c>
      <c r="B357" s="1172">
        <v>7658</v>
      </c>
      <c r="C357" s="1356" t="s">
        <v>679</v>
      </c>
      <c r="D357" s="1190" t="s">
        <v>701</v>
      </c>
      <c r="E357" s="1174">
        <v>80111600</v>
      </c>
      <c r="F357" s="1380" t="s">
        <v>1022</v>
      </c>
      <c r="G357" s="1381">
        <v>44562</v>
      </c>
      <c r="H357" s="1381">
        <v>44592</v>
      </c>
      <c r="I357" s="1176">
        <v>12</v>
      </c>
      <c r="J357" s="1176" t="s">
        <v>673</v>
      </c>
      <c r="K357" s="1177" t="s">
        <v>674</v>
      </c>
      <c r="L357" s="1178" t="s">
        <v>675</v>
      </c>
      <c r="M357" s="1179">
        <v>55620000</v>
      </c>
      <c r="N357" s="1382" t="s">
        <v>1006</v>
      </c>
      <c r="O357" s="1174" t="s">
        <v>915</v>
      </c>
      <c r="P357" s="1207" t="s">
        <v>678</v>
      </c>
      <c r="Q357" s="1163"/>
      <c r="R357" s="1357">
        <v>54000000</v>
      </c>
      <c r="S357" s="1357">
        <v>54000000</v>
      </c>
      <c r="T357" s="1357">
        <f>+Tabla16[[#This Row],[CDPS A 31 JULIO 2022]]-Tabla16[[#This Row],[CDP]]</f>
        <v>0</v>
      </c>
      <c r="U357" s="1357">
        <v>54000000</v>
      </c>
      <c r="V357" s="1357">
        <v>18750000</v>
      </c>
      <c r="W357" s="1357"/>
      <c r="X357" s="1207"/>
      <c r="Y357" s="1207"/>
      <c r="Z357" s="1207"/>
      <c r="AA357" s="1207"/>
      <c r="AB357" s="1207"/>
      <c r="AC357" s="1207"/>
      <c r="AD357" s="1207"/>
      <c r="AE357" s="1207"/>
      <c r="AF357" s="1207"/>
      <c r="AG357" s="1207"/>
      <c r="AH357" s="1207"/>
      <c r="AI357" s="1207"/>
      <c r="AJ357" s="1207"/>
      <c r="AK357" s="1207"/>
      <c r="AL357" s="1207"/>
      <c r="AM357" s="1207"/>
      <c r="AN357" s="1207"/>
      <c r="AO357" s="1207"/>
      <c r="AP357" s="1207"/>
      <c r="AQ357" s="1207"/>
      <c r="AR357" s="1207"/>
      <c r="AS357" s="1207"/>
      <c r="AT357" s="1207"/>
      <c r="AU357" s="1207"/>
      <c r="AV357" s="1207"/>
      <c r="AW357" s="1207"/>
      <c r="AX357" s="1207"/>
      <c r="AY357" s="1207"/>
      <c r="AZ357" s="1207"/>
      <c r="BA357" s="1207"/>
      <c r="BB357" s="1207"/>
      <c r="BC357" s="1207"/>
      <c r="BD357" s="1207"/>
      <c r="BE357" s="1207"/>
      <c r="BF357" s="1207"/>
      <c r="BG357" s="1207"/>
      <c r="BH357" s="1207"/>
      <c r="BI357" s="1207"/>
      <c r="BJ357" s="1207"/>
      <c r="BK357" s="1207"/>
      <c r="BL357" s="1207"/>
      <c r="BM357" s="1207"/>
      <c r="BN357" s="1207"/>
      <c r="BO357" s="1207"/>
      <c r="BP357" s="1207"/>
      <c r="BQ357" s="1207"/>
      <c r="BR357" s="1207"/>
      <c r="BS357" s="1207"/>
      <c r="BT357" s="1207"/>
      <c r="BU357" s="1207"/>
      <c r="BV357" s="1207"/>
      <c r="BW357" s="1207"/>
      <c r="BX357" s="1207"/>
      <c r="BY357" s="1207"/>
      <c r="BZ357" s="1207"/>
      <c r="CA357" s="1207"/>
      <c r="CB357" s="1207"/>
      <c r="CC357" s="1207"/>
      <c r="CD357" s="1207"/>
      <c r="CE357" s="1207"/>
      <c r="CF357" s="1207"/>
    </row>
    <row r="358" spans="1:84" ht="135" x14ac:dyDescent="0.25">
      <c r="A358" s="1355">
        <v>2022378</v>
      </c>
      <c r="B358" s="1172">
        <v>7658</v>
      </c>
      <c r="C358" s="1356" t="s">
        <v>679</v>
      </c>
      <c r="D358" s="1190" t="s">
        <v>701</v>
      </c>
      <c r="E358" s="1174">
        <v>80111600</v>
      </c>
      <c r="F358" s="1380" t="s">
        <v>1023</v>
      </c>
      <c r="G358" s="1381">
        <v>44562</v>
      </c>
      <c r="H358" s="1381">
        <v>44592</v>
      </c>
      <c r="I358" s="1176">
        <v>12</v>
      </c>
      <c r="J358" s="1176" t="s">
        <v>673</v>
      </c>
      <c r="K358" s="1177" t="s">
        <v>674</v>
      </c>
      <c r="L358" s="1178" t="s">
        <v>675</v>
      </c>
      <c r="M358" s="1179">
        <v>55620000</v>
      </c>
      <c r="N358" s="1382" t="s">
        <v>1006</v>
      </c>
      <c r="O358" s="1174" t="s">
        <v>915</v>
      </c>
      <c r="P358" s="1207" t="s">
        <v>678</v>
      </c>
      <c r="Q358" s="1163"/>
      <c r="R358" s="1357">
        <v>54000000</v>
      </c>
      <c r="S358" s="1357">
        <v>54000000</v>
      </c>
      <c r="T358" s="1357">
        <f>+Tabla16[[#This Row],[CDPS A 31 JULIO 2022]]-Tabla16[[#This Row],[CDP]]</f>
        <v>0</v>
      </c>
      <c r="U358" s="1357">
        <v>54000000</v>
      </c>
      <c r="V358" s="1357">
        <v>19050000</v>
      </c>
      <c r="W358" s="1357"/>
      <c r="X358" s="1207"/>
      <c r="Y358" s="1207"/>
      <c r="Z358" s="1207"/>
      <c r="AA358" s="1207"/>
      <c r="AB358" s="1207"/>
      <c r="AC358" s="1207"/>
      <c r="AD358" s="1207"/>
      <c r="AE358" s="1207"/>
      <c r="AF358" s="1207"/>
      <c r="AG358" s="1207"/>
      <c r="AH358" s="1207"/>
      <c r="AI358" s="1207"/>
      <c r="AJ358" s="1207"/>
      <c r="AK358" s="1207"/>
      <c r="AL358" s="1207"/>
      <c r="AM358" s="1207"/>
      <c r="AN358" s="1207"/>
      <c r="AO358" s="1207"/>
      <c r="AP358" s="1207"/>
      <c r="AQ358" s="1207"/>
      <c r="AR358" s="1207"/>
      <c r="AS358" s="1207"/>
      <c r="AT358" s="1207"/>
      <c r="AU358" s="1207"/>
      <c r="AV358" s="1207"/>
      <c r="AW358" s="1207"/>
      <c r="AX358" s="1207"/>
      <c r="AY358" s="1207"/>
      <c r="AZ358" s="1207"/>
      <c r="BA358" s="1207"/>
      <c r="BB358" s="1207"/>
      <c r="BC358" s="1207"/>
      <c r="BD358" s="1207"/>
      <c r="BE358" s="1207"/>
      <c r="BF358" s="1207"/>
      <c r="BG358" s="1207"/>
      <c r="BH358" s="1207"/>
      <c r="BI358" s="1207"/>
      <c r="BJ358" s="1207"/>
      <c r="BK358" s="1207"/>
      <c r="BL358" s="1207"/>
      <c r="BM358" s="1207"/>
      <c r="BN358" s="1207"/>
      <c r="BO358" s="1207"/>
      <c r="BP358" s="1207"/>
      <c r="BQ358" s="1207"/>
      <c r="BR358" s="1207"/>
      <c r="BS358" s="1207"/>
      <c r="BT358" s="1207"/>
      <c r="BU358" s="1207"/>
      <c r="BV358" s="1207"/>
      <c r="BW358" s="1207"/>
      <c r="BX358" s="1207"/>
      <c r="BY358" s="1207"/>
      <c r="BZ358" s="1207"/>
      <c r="CA358" s="1207"/>
      <c r="CB358" s="1207"/>
      <c r="CC358" s="1207"/>
      <c r="CD358" s="1207"/>
      <c r="CE358" s="1207"/>
      <c r="CF358" s="1207"/>
    </row>
    <row r="359" spans="1:84" ht="135" x14ac:dyDescent="0.25">
      <c r="A359" s="1355">
        <v>2022379</v>
      </c>
      <c r="B359" s="1172">
        <v>7658</v>
      </c>
      <c r="C359" s="1356" t="s">
        <v>679</v>
      </c>
      <c r="D359" s="1190" t="s">
        <v>701</v>
      </c>
      <c r="E359" s="1174">
        <v>80111600</v>
      </c>
      <c r="F359" s="1380" t="s">
        <v>1024</v>
      </c>
      <c r="G359" s="1381">
        <v>44562</v>
      </c>
      <c r="H359" s="1381">
        <v>44592</v>
      </c>
      <c r="I359" s="1176">
        <v>11</v>
      </c>
      <c r="J359" s="1176" t="s">
        <v>673</v>
      </c>
      <c r="K359" s="1177" t="s">
        <v>674</v>
      </c>
      <c r="L359" s="1178" t="s">
        <v>675</v>
      </c>
      <c r="M359" s="1179">
        <v>50985000</v>
      </c>
      <c r="N359" s="1382" t="s">
        <v>1006</v>
      </c>
      <c r="O359" s="1174" t="s">
        <v>915</v>
      </c>
      <c r="P359" s="1207" t="s">
        <v>678</v>
      </c>
      <c r="Q359" s="1163"/>
      <c r="R359" s="1357">
        <v>49500000</v>
      </c>
      <c r="S359" s="1357">
        <v>49500000</v>
      </c>
      <c r="T359" s="1357">
        <f>+Tabla16[[#This Row],[CDPS A 31 JULIO 2022]]-Tabla16[[#This Row],[CDP]]</f>
        <v>0</v>
      </c>
      <c r="U359" s="1357">
        <v>49500000</v>
      </c>
      <c r="V359" s="1357">
        <v>18750000</v>
      </c>
      <c r="W359" s="1357"/>
      <c r="X359" s="1207"/>
      <c r="Y359" s="1207"/>
      <c r="Z359" s="1207"/>
      <c r="AA359" s="1207"/>
      <c r="AB359" s="1207"/>
      <c r="AC359" s="1207"/>
      <c r="AD359" s="1207"/>
      <c r="AE359" s="1207"/>
      <c r="AF359" s="1207"/>
      <c r="AG359" s="1207"/>
      <c r="AH359" s="1207"/>
      <c r="AI359" s="1207"/>
      <c r="AJ359" s="1207"/>
      <c r="AK359" s="1207"/>
      <c r="AL359" s="1207"/>
      <c r="AM359" s="1207"/>
      <c r="AN359" s="1207"/>
      <c r="AO359" s="1207"/>
      <c r="AP359" s="1207"/>
      <c r="AQ359" s="1207"/>
      <c r="AR359" s="1207"/>
      <c r="AS359" s="1207"/>
      <c r="AT359" s="1207"/>
      <c r="AU359" s="1207"/>
      <c r="AV359" s="1207"/>
      <c r="AW359" s="1207"/>
      <c r="AX359" s="1207"/>
      <c r="AY359" s="1207"/>
      <c r="AZ359" s="1207"/>
      <c r="BA359" s="1207"/>
      <c r="BB359" s="1207"/>
      <c r="BC359" s="1207"/>
      <c r="BD359" s="1207"/>
      <c r="BE359" s="1207"/>
      <c r="BF359" s="1207"/>
      <c r="BG359" s="1207"/>
      <c r="BH359" s="1207"/>
      <c r="BI359" s="1207"/>
      <c r="BJ359" s="1207"/>
      <c r="BK359" s="1207"/>
      <c r="BL359" s="1207"/>
      <c r="BM359" s="1207"/>
      <c r="BN359" s="1207"/>
      <c r="BO359" s="1207"/>
      <c r="BP359" s="1207"/>
      <c r="BQ359" s="1207"/>
      <c r="BR359" s="1207"/>
      <c r="BS359" s="1207"/>
      <c r="BT359" s="1207"/>
      <c r="BU359" s="1207"/>
      <c r="BV359" s="1207"/>
      <c r="BW359" s="1207"/>
      <c r="BX359" s="1207"/>
      <c r="BY359" s="1207"/>
      <c r="BZ359" s="1207"/>
      <c r="CA359" s="1207"/>
      <c r="CB359" s="1207"/>
      <c r="CC359" s="1207"/>
      <c r="CD359" s="1207"/>
      <c r="CE359" s="1207"/>
      <c r="CF359" s="1207"/>
    </row>
    <row r="360" spans="1:84" ht="135" x14ac:dyDescent="0.25">
      <c r="A360" s="1355">
        <v>2022380</v>
      </c>
      <c r="B360" s="1172">
        <v>7658</v>
      </c>
      <c r="C360" s="1356" t="s">
        <v>679</v>
      </c>
      <c r="D360" s="1190" t="s">
        <v>701</v>
      </c>
      <c r="E360" s="1174">
        <v>80111600</v>
      </c>
      <c r="F360" s="1380" t="s">
        <v>1025</v>
      </c>
      <c r="G360" s="1381">
        <v>44562</v>
      </c>
      <c r="H360" s="1381">
        <v>44592</v>
      </c>
      <c r="I360" s="1176">
        <v>11</v>
      </c>
      <c r="J360" s="1176" t="s">
        <v>673</v>
      </c>
      <c r="K360" s="1177" t="s">
        <v>674</v>
      </c>
      <c r="L360" s="1178" t="s">
        <v>675</v>
      </c>
      <c r="M360" s="1179">
        <v>50985000</v>
      </c>
      <c r="N360" s="1382" t="s">
        <v>1006</v>
      </c>
      <c r="O360" s="1174" t="s">
        <v>915</v>
      </c>
      <c r="P360" s="1207" t="s">
        <v>678</v>
      </c>
      <c r="Q360" s="1163"/>
      <c r="R360" s="1357">
        <v>49500000</v>
      </c>
      <c r="S360" s="1357">
        <v>49500000</v>
      </c>
      <c r="T360" s="1357">
        <f>+Tabla16[[#This Row],[CDPS A 31 JULIO 2022]]-Tabla16[[#This Row],[CDP]]</f>
        <v>0</v>
      </c>
      <c r="U360" s="1357">
        <v>49500000</v>
      </c>
      <c r="V360" s="1357">
        <v>18750000</v>
      </c>
      <c r="W360" s="1357"/>
      <c r="X360" s="1207"/>
      <c r="Y360" s="1207"/>
      <c r="Z360" s="1207"/>
      <c r="AA360" s="1207"/>
      <c r="AB360" s="1207"/>
      <c r="AC360" s="1207"/>
      <c r="AD360" s="1207"/>
      <c r="AE360" s="1207"/>
      <c r="AF360" s="1207"/>
      <c r="AG360" s="1207"/>
      <c r="AH360" s="1207"/>
      <c r="AI360" s="1207"/>
      <c r="AJ360" s="1207"/>
      <c r="AK360" s="1207"/>
      <c r="AL360" s="1207"/>
      <c r="AM360" s="1207"/>
      <c r="AN360" s="1207"/>
      <c r="AO360" s="1207"/>
      <c r="AP360" s="1207"/>
      <c r="AQ360" s="1207"/>
      <c r="AR360" s="1207"/>
      <c r="AS360" s="1207"/>
      <c r="AT360" s="1207"/>
      <c r="AU360" s="1207"/>
      <c r="AV360" s="1207"/>
      <c r="AW360" s="1207"/>
      <c r="AX360" s="1207"/>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1207"/>
      <c r="CB360" s="1207"/>
      <c r="CC360" s="1207"/>
      <c r="CD360" s="1207"/>
      <c r="CE360" s="1207"/>
      <c r="CF360" s="1207"/>
    </row>
    <row r="361" spans="1:84" ht="135" x14ac:dyDescent="0.25">
      <c r="A361" s="1355">
        <v>2022381</v>
      </c>
      <c r="B361" s="1172">
        <v>7658</v>
      </c>
      <c r="C361" s="1356" t="s">
        <v>679</v>
      </c>
      <c r="D361" s="1190" t="s">
        <v>701</v>
      </c>
      <c r="E361" s="1174">
        <v>80111600</v>
      </c>
      <c r="F361" s="1380" t="s">
        <v>1026</v>
      </c>
      <c r="G361" s="1381">
        <v>44562</v>
      </c>
      <c r="H361" s="1381">
        <v>44592</v>
      </c>
      <c r="I361" s="1176">
        <v>12</v>
      </c>
      <c r="J361" s="1176" t="s">
        <v>673</v>
      </c>
      <c r="K361" s="1177" t="s">
        <v>674</v>
      </c>
      <c r="L361" s="1178" t="s">
        <v>675</v>
      </c>
      <c r="M361" s="1179">
        <v>84000000</v>
      </c>
      <c r="N361" s="1382" t="s">
        <v>1006</v>
      </c>
      <c r="O361" s="1174" t="s">
        <v>915</v>
      </c>
      <c r="P361" s="1207" t="s">
        <v>678</v>
      </c>
      <c r="Q361" s="1163"/>
      <c r="R361" s="1357">
        <v>81600000</v>
      </c>
      <c r="S361" s="1357">
        <v>81600000</v>
      </c>
      <c r="T361" s="1357">
        <f>+Tabla16[[#This Row],[CDPS A 31 JULIO 2022]]-Tabla16[[#This Row],[CDP]]</f>
        <v>0</v>
      </c>
      <c r="U361" s="1357">
        <v>81600000</v>
      </c>
      <c r="V361" s="1357">
        <v>29920000</v>
      </c>
      <c r="W361" s="1357"/>
      <c r="X361" s="1207"/>
      <c r="Y361" s="1207"/>
      <c r="Z361" s="1207"/>
      <c r="AA361" s="1207"/>
      <c r="AB361" s="1207"/>
      <c r="AC361" s="1207"/>
      <c r="AD361" s="1207"/>
      <c r="AE361" s="1207"/>
      <c r="AF361" s="1207"/>
      <c r="AG361" s="1207"/>
      <c r="AH361" s="1207"/>
      <c r="AI361" s="1207"/>
      <c r="AJ361" s="1207"/>
      <c r="AK361" s="1207"/>
      <c r="AL361" s="1207"/>
      <c r="AM361" s="1207"/>
      <c r="AN361" s="1207"/>
      <c r="AO361" s="1207"/>
      <c r="AP361" s="1207"/>
      <c r="AQ361" s="1207"/>
      <c r="AR361" s="1207"/>
      <c r="AS361" s="1207"/>
      <c r="AT361" s="1207"/>
      <c r="AU361" s="1207"/>
      <c r="AV361" s="1207"/>
      <c r="AW361" s="1207"/>
      <c r="AX361" s="1207"/>
      <c r="AY361" s="1207"/>
      <c r="AZ361" s="1207"/>
      <c r="BA361" s="1207"/>
      <c r="BB361" s="1207"/>
      <c r="BC361" s="1207"/>
      <c r="BD361" s="1207"/>
      <c r="BE361" s="1207"/>
      <c r="BF361" s="1207"/>
      <c r="BG361" s="1207"/>
      <c r="BH361" s="1207"/>
      <c r="BI361" s="1207"/>
      <c r="BJ361" s="1207"/>
      <c r="BK361" s="1207"/>
      <c r="BL361" s="1207"/>
      <c r="BM361" s="1207"/>
      <c r="BN361" s="1207"/>
      <c r="BO361" s="1207"/>
      <c r="BP361" s="1207"/>
      <c r="BQ361" s="1207"/>
      <c r="BR361" s="1207"/>
      <c r="BS361" s="1207"/>
      <c r="BT361" s="1207"/>
      <c r="BU361" s="1207"/>
      <c r="BV361" s="1207"/>
      <c r="BW361" s="1207"/>
      <c r="BX361" s="1207"/>
      <c r="BY361" s="1207"/>
      <c r="BZ361" s="1207"/>
      <c r="CA361" s="1207"/>
      <c r="CB361" s="1207"/>
      <c r="CC361" s="1207"/>
      <c r="CD361" s="1207"/>
      <c r="CE361" s="1207"/>
      <c r="CF361" s="1207"/>
    </row>
    <row r="362" spans="1:84" ht="135" x14ac:dyDescent="0.25">
      <c r="A362" s="1355">
        <v>2022382</v>
      </c>
      <c r="B362" s="1172">
        <v>7658</v>
      </c>
      <c r="C362" s="1356" t="s">
        <v>679</v>
      </c>
      <c r="D362" s="1190" t="s">
        <v>701</v>
      </c>
      <c r="E362" s="1174">
        <v>80111600</v>
      </c>
      <c r="F362" s="1380" t="s">
        <v>1027</v>
      </c>
      <c r="G362" s="1381">
        <v>44562</v>
      </c>
      <c r="H362" s="1381">
        <v>44592</v>
      </c>
      <c r="I362" s="1176">
        <v>12</v>
      </c>
      <c r="J362" s="1176" t="s">
        <v>673</v>
      </c>
      <c r="K362" s="1177" t="s">
        <v>674</v>
      </c>
      <c r="L362" s="1178" t="s">
        <v>675</v>
      </c>
      <c r="M362" s="1179">
        <v>84000000</v>
      </c>
      <c r="N362" s="1382" t="s">
        <v>1006</v>
      </c>
      <c r="O362" s="1174" t="s">
        <v>915</v>
      </c>
      <c r="P362" s="1207" t="s">
        <v>678</v>
      </c>
      <c r="Q362" s="1163"/>
      <c r="R362" s="1357">
        <v>81600000</v>
      </c>
      <c r="S362" s="1357">
        <v>81600000</v>
      </c>
      <c r="T362" s="1357">
        <f>+Tabla16[[#This Row],[CDPS A 31 JULIO 2022]]-Tabla16[[#This Row],[CDP]]</f>
        <v>0</v>
      </c>
      <c r="U362" s="1357">
        <v>81600000</v>
      </c>
      <c r="V362" s="1357">
        <v>28333333</v>
      </c>
      <c r="W362" s="1357"/>
      <c r="X362" s="1207"/>
      <c r="Y362" s="1207"/>
      <c r="Z362" s="1207"/>
      <c r="AA362" s="1207"/>
      <c r="AB362" s="1207"/>
      <c r="AC362" s="1207"/>
      <c r="AD362" s="1207"/>
      <c r="AE362" s="1207"/>
      <c r="AF362" s="1207"/>
      <c r="AG362" s="1207"/>
      <c r="AH362" s="1207"/>
      <c r="AI362" s="1207"/>
      <c r="AJ362" s="1207"/>
      <c r="AK362" s="1207"/>
      <c r="AL362" s="1207"/>
      <c r="AM362" s="1207"/>
      <c r="AN362" s="1207"/>
      <c r="AO362" s="1207"/>
      <c r="AP362" s="1207"/>
      <c r="AQ362" s="1207"/>
      <c r="AR362" s="1207"/>
      <c r="AS362" s="1207"/>
      <c r="AT362" s="1207"/>
      <c r="AU362" s="1207"/>
      <c r="AV362" s="1207"/>
      <c r="AW362" s="1207"/>
      <c r="AX362" s="1207"/>
      <c r="AY362" s="1207"/>
      <c r="AZ362" s="1207"/>
      <c r="BA362" s="1207"/>
      <c r="BB362" s="1207"/>
      <c r="BC362" s="1207"/>
      <c r="BD362" s="1207"/>
      <c r="BE362" s="1207"/>
      <c r="BF362" s="1207"/>
      <c r="BG362" s="1207"/>
      <c r="BH362" s="1207"/>
      <c r="BI362" s="1207"/>
      <c r="BJ362" s="1207"/>
      <c r="BK362" s="1207"/>
      <c r="BL362" s="1207"/>
      <c r="BM362" s="1207"/>
      <c r="BN362" s="1207"/>
      <c r="BO362" s="1207"/>
      <c r="BP362" s="1207"/>
      <c r="BQ362" s="1207"/>
      <c r="BR362" s="1207"/>
      <c r="BS362" s="1207"/>
      <c r="BT362" s="1207"/>
      <c r="BU362" s="1207"/>
      <c r="BV362" s="1207"/>
      <c r="BW362" s="1207"/>
      <c r="BX362" s="1207"/>
      <c r="BY362" s="1207"/>
      <c r="BZ362" s="1207"/>
      <c r="CA362" s="1207"/>
      <c r="CB362" s="1207"/>
      <c r="CC362" s="1207"/>
      <c r="CD362" s="1207"/>
      <c r="CE362" s="1207"/>
      <c r="CF362" s="1207"/>
    </row>
    <row r="363" spans="1:84" ht="135" x14ac:dyDescent="0.25">
      <c r="A363" s="1355">
        <v>2022383</v>
      </c>
      <c r="B363" s="1172">
        <v>7658</v>
      </c>
      <c r="C363" s="1356" t="s">
        <v>679</v>
      </c>
      <c r="D363" s="1190" t="s">
        <v>701</v>
      </c>
      <c r="E363" s="1174">
        <v>80111600</v>
      </c>
      <c r="F363" s="1380" t="s">
        <v>1028</v>
      </c>
      <c r="G363" s="1381">
        <v>44562</v>
      </c>
      <c r="H363" s="1381">
        <v>44592</v>
      </c>
      <c r="I363" s="1176">
        <v>12</v>
      </c>
      <c r="J363" s="1176" t="s">
        <v>673</v>
      </c>
      <c r="K363" s="1177" t="s">
        <v>674</v>
      </c>
      <c r="L363" s="1178" t="s">
        <v>675</v>
      </c>
      <c r="M363" s="1179">
        <v>84000000</v>
      </c>
      <c r="N363" s="1382" t="s">
        <v>1006</v>
      </c>
      <c r="O363" s="1174" t="s">
        <v>915</v>
      </c>
      <c r="P363" s="1207" t="s">
        <v>678</v>
      </c>
      <c r="Q363" s="1163"/>
      <c r="R363" s="1357">
        <v>81600000</v>
      </c>
      <c r="S363" s="1357">
        <v>81600000</v>
      </c>
      <c r="T363" s="1357">
        <f>+Tabla16[[#This Row],[CDPS A 31 JULIO 2022]]-Tabla16[[#This Row],[CDP]]</f>
        <v>0</v>
      </c>
      <c r="U363" s="1357">
        <v>81600000</v>
      </c>
      <c r="V363" s="1357">
        <v>28333333</v>
      </c>
      <c r="W363" s="1357"/>
      <c r="X363" s="1207"/>
      <c r="Y363" s="1207"/>
      <c r="Z363" s="1207"/>
      <c r="AA363" s="1207"/>
      <c r="AB363" s="1207"/>
      <c r="AC363" s="1207"/>
      <c r="AD363" s="1207"/>
      <c r="AE363" s="1207"/>
      <c r="AF363" s="1207"/>
      <c r="AG363" s="1207"/>
      <c r="AH363" s="1207"/>
      <c r="AI363" s="1207"/>
      <c r="AJ363" s="1207"/>
      <c r="AK363" s="1207"/>
      <c r="AL363" s="1207"/>
      <c r="AM363" s="1207"/>
      <c r="AN363" s="1207"/>
      <c r="AO363" s="1207"/>
      <c r="AP363" s="1207"/>
      <c r="AQ363" s="1207"/>
      <c r="AR363" s="1207"/>
      <c r="AS363" s="1207"/>
      <c r="AT363" s="1207"/>
      <c r="AU363" s="1207"/>
      <c r="AV363" s="1207"/>
      <c r="AW363" s="1207"/>
      <c r="AX363" s="1207"/>
      <c r="AY363" s="1207"/>
      <c r="AZ363" s="1207"/>
      <c r="BA363" s="1207"/>
      <c r="BB363" s="1207"/>
      <c r="BC363" s="1207"/>
      <c r="BD363" s="1207"/>
      <c r="BE363" s="1207"/>
      <c r="BF363" s="1207"/>
      <c r="BG363" s="1207"/>
      <c r="BH363" s="1207"/>
      <c r="BI363" s="1207"/>
      <c r="BJ363" s="1207"/>
      <c r="BK363" s="1207"/>
      <c r="BL363" s="1207"/>
      <c r="BM363" s="1207"/>
      <c r="BN363" s="1207"/>
      <c r="BO363" s="1207"/>
      <c r="BP363" s="1207"/>
      <c r="BQ363" s="1207"/>
      <c r="BR363" s="1207"/>
      <c r="BS363" s="1207"/>
      <c r="BT363" s="1207"/>
      <c r="BU363" s="1207"/>
      <c r="BV363" s="1207"/>
      <c r="BW363" s="1207"/>
      <c r="BX363" s="1207"/>
      <c r="BY363" s="1207"/>
      <c r="BZ363" s="1207"/>
      <c r="CA363" s="1207"/>
      <c r="CB363" s="1207"/>
      <c r="CC363" s="1207"/>
      <c r="CD363" s="1207"/>
      <c r="CE363" s="1207"/>
      <c r="CF363" s="1207"/>
    </row>
    <row r="364" spans="1:84" ht="135" x14ac:dyDescent="0.25">
      <c r="A364" s="1355">
        <v>2022384</v>
      </c>
      <c r="B364" s="1172">
        <v>7658</v>
      </c>
      <c r="C364" s="1356" t="s">
        <v>679</v>
      </c>
      <c r="D364" s="1190" t="s">
        <v>701</v>
      </c>
      <c r="E364" s="1174">
        <v>80111600</v>
      </c>
      <c r="F364" s="1380" t="s">
        <v>1029</v>
      </c>
      <c r="G364" s="1381">
        <v>44562</v>
      </c>
      <c r="H364" s="1381">
        <v>44592</v>
      </c>
      <c r="I364" s="1176">
        <v>12</v>
      </c>
      <c r="J364" s="1176" t="s">
        <v>673</v>
      </c>
      <c r="K364" s="1177" t="s">
        <v>674</v>
      </c>
      <c r="L364" s="1178" t="s">
        <v>675</v>
      </c>
      <c r="M364" s="1179">
        <v>84000000</v>
      </c>
      <c r="N364" s="1382" t="s">
        <v>1006</v>
      </c>
      <c r="O364" s="1174" t="s">
        <v>915</v>
      </c>
      <c r="P364" s="1207" t="s">
        <v>678</v>
      </c>
      <c r="Q364" s="1163"/>
      <c r="R364" s="1357">
        <v>27000000</v>
      </c>
      <c r="S364" s="1357">
        <v>27000000</v>
      </c>
      <c r="T364" s="1357">
        <f>+Tabla16[[#This Row],[CDPS A 31 JULIO 2022]]-Tabla16[[#This Row],[CDP]]</f>
        <v>0</v>
      </c>
      <c r="U364" s="1357">
        <v>27000000</v>
      </c>
      <c r="V364" s="1357">
        <v>3750000</v>
      </c>
      <c r="W364" s="1357"/>
      <c r="X364" s="1207"/>
      <c r="Y364" s="1207"/>
      <c r="Z364" s="1207"/>
      <c r="AA364" s="1207"/>
      <c r="AB364" s="1207"/>
      <c r="AC364" s="1207"/>
      <c r="AD364" s="1207"/>
      <c r="AE364" s="1207"/>
      <c r="AF364" s="1207"/>
      <c r="AG364" s="1207"/>
      <c r="AH364" s="1207"/>
      <c r="AI364" s="1207"/>
      <c r="AJ364" s="1207"/>
      <c r="AK364" s="1207"/>
      <c r="AL364" s="1207"/>
      <c r="AM364" s="1207"/>
      <c r="AN364" s="1207"/>
      <c r="AO364" s="1207"/>
      <c r="AP364" s="1207"/>
      <c r="AQ364" s="1207"/>
      <c r="AR364" s="1207"/>
      <c r="AS364" s="1207"/>
      <c r="AT364" s="1207"/>
      <c r="AU364" s="1207"/>
      <c r="AV364" s="1207"/>
      <c r="AW364" s="1207"/>
      <c r="AX364" s="1207"/>
      <c r="AY364" s="1207"/>
      <c r="AZ364" s="1207"/>
      <c r="BA364" s="1207"/>
      <c r="BB364" s="1207"/>
      <c r="BC364" s="1207"/>
      <c r="BD364" s="1207"/>
      <c r="BE364" s="1207"/>
      <c r="BF364" s="1207"/>
      <c r="BG364" s="1207"/>
      <c r="BH364" s="1207"/>
      <c r="BI364" s="1207"/>
      <c r="BJ364" s="1207"/>
      <c r="BK364" s="1207"/>
      <c r="BL364" s="1207"/>
      <c r="BM364" s="1207"/>
      <c r="BN364" s="1207"/>
      <c r="BO364" s="1207"/>
      <c r="BP364" s="1207"/>
      <c r="BQ364" s="1207"/>
      <c r="BR364" s="1207"/>
      <c r="BS364" s="1207"/>
      <c r="BT364" s="1207"/>
      <c r="BU364" s="1207"/>
      <c r="BV364" s="1207"/>
      <c r="BW364" s="1207"/>
      <c r="BX364" s="1207"/>
      <c r="BY364" s="1207"/>
      <c r="BZ364" s="1207"/>
      <c r="CA364" s="1207"/>
      <c r="CB364" s="1207"/>
      <c r="CC364" s="1207"/>
      <c r="CD364" s="1207"/>
      <c r="CE364" s="1207"/>
      <c r="CF364" s="1207"/>
    </row>
    <row r="365" spans="1:84" ht="135" x14ac:dyDescent="0.25">
      <c r="A365" s="1355">
        <v>2022385</v>
      </c>
      <c r="B365" s="1172">
        <v>7658</v>
      </c>
      <c r="C365" s="1356" t="s">
        <v>679</v>
      </c>
      <c r="D365" s="1190" t="s">
        <v>701</v>
      </c>
      <c r="E365" s="1174">
        <v>80111600</v>
      </c>
      <c r="F365" s="1380" t="s">
        <v>1030</v>
      </c>
      <c r="G365" s="1381">
        <v>44562</v>
      </c>
      <c r="H365" s="1381">
        <v>44592</v>
      </c>
      <c r="I365" s="1176">
        <v>12</v>
      </c>
      <c r="J365" s="1176" t="s">
        <v>673</v>
      </c>
      <c r="K365" s="1177" t="s">
        <v>674</v>
      </c>
      <c r="L365" s="1178" t="s">
        <v>675</v>
      </c>
      <c r="M365" s="1179">
        <v>84000000</v>
      </c>
      <c r="N365" s="1382" t="s">
        <v>1006</v>
      </c>
      <c r="O365" s="1174" t="s">
        <v>915</v>
      </c>
      <c r="P365" s="1207" t="s">
        <v>678</v>
      </c>
      <c r="Q365" s="1163"/>
      <c r="R365" s="1357">
        <v>81600000</v>
      </c>
      <c r="S365" s="1357">
        <v>81600000</v>
      </c>
      <c r="T365" s="1357">
        <f>+Tabla16[[#This Row],[CDPS A 31 JULIO 2022]]-Tabla16[[#This Row],[CDP]]</f>
        <v>0</v>
      </c>
      <c r="U365" s="1357">
        <v>81600000</v>
      </c>
      <c r="V365" s="1357">
        <v>28106667</v>
      </c>
      <c r="W365" s="1357"/>
      <c r="X365" s="1207"/>
      <c r="Y365" s="1207"/>
      <c r="Z365" s="1207"/>
      <c r="AA365" s="1207"/>
      <c r="AB365" s="1207"/>
      <c r="AC365" s="1207"/>
      <c r="AD365" s="1207"/>
      <c r="AE365" s="1207"/>
      <c r="AF365" s="1207"/>
      <c r="AG365" s="1207"/>
      <c r="AH365" s="1207"/>
      <c r="AI365" s="1207"/>
      <c r="AJ365" s="1207"/>
      <c r="AK365" s="1207"/>
      <c r="AL365" s="1207"/>
      <c r="AM365" s="1207"/>
      <c r="AN365" s="1207"/>
      <c r="AO365" s="1207"/>
      <c r="AP365" s="1207"/>
      <c r="AQ365" s="1207"/>
      <c r="AR365" s="1207"/>
      <c r="AS365" s="1207"/>
      <c r="AT365" s="1207"/>
      <c r="AU365" s="1207"/>
      <c r="AV365" s="1207"/>
      <c r="AW365" s="1207"/>
      <c r="AX365" s="1207"/>
      <c r="AY365" s="1207"/>
      <c r="AZ365" s="1207"/>
      <c r="BA365" s="1207"/>
      <c r="BB365" s="1207"/>
      <c r="BC365" s="1207"/>
      <c r="BD365" s="1207"/>
      <c r="BE365" s="1207"/>
      <c r="BF365" s="1207"/>
      <c r="BG365" s="1207"/>
      <c r="BH365" s="1207"/>
      <c r="BI365" s="1207"/>
      <c r="BJ365" s="1207"/>
      <c r="BK365" s="1207"/>
      <c r="BL365" s="1207"/>
      <c r="BM365" s="1207"/>
      <c r="BN365" s="1207"/>
      <c r="BO365" s="1207"/>
      <c r="BP365" s="1207"/>
      <c r="BQ365" s="1207"/>
      <c r="BR365" s="1207"/>
      <c r="BS365" s="1207"/>
      <c r="BT365" s="1207"/>
      <c r="BU365" s="1207"/>
      <c r="BV365" s="1207"/>
      <c r="BW365" s="1207"/>
      <c r="BX365" s="1207"/>
      <c r="BY365" s="1207"/>
      <c r="BZ365" s="1207"/>
      <c r="CA365" s="1207"/>
      <c r="CB365" s="1207"/>
      <c r="CC365" s="1207"/>
      <c r="CD365" s="1207"/>
      <c r="CE365" s="1207"/>
      <c r="CF365" s="1207"/>
    </row>
    <row r="366" spans="1:84" ht="135" x14ac:dyDescent="0.25">
      <c r="A366" s="1355">
        <v>2022386</v>
      </c>
      <c r="B366" s="1172">
        <v>7658</v>
      </c>
      <c r="C366" s="1356" t="s">
        <v>679</v>
      </c>
      <c r="D366" s="1190" t="s">
        <v>701</v>
      </c>
      <c r="E366" s="1174">
        <v>80111600</v>
      </c>
      <c r="F366" s="1380" t="s">
        <v>1031</v>
      </c>
      <c r="G366" s="1381">
        <v>44562</v>
      </c>
      <c r="H366" s="1381">
        <v>44592</v>
      </c>
      <c r="I366" s="1176">
        <v>12</v>
      </c>
      <c r="J366" s="1176" t="s">
        <v>673</v>
      </c>
      <c r="K366" s="1177" t="s">
        <v>674</v>
      </c>
      <c r="L366" s="1178" t="s">
        <v>675</v>
      </c>
      <c r="M366" s="1179">
        <v>84000000</v>
      </c>
      <c r="N366" s="1382" t="s">
        <v>1006</v>
      </c>
      <c r="O366" s="1174" t="s">
        <v>915</v>
      </c>
      <c r="P366" s="1207" t="s">
        <v>678</v>
      </c>
      <c r="Q366" s="1163"/>
      <c r="R366" s="1357">
        <v>81600000</v>
      </c>
      <c r="S366" s="1357">
        <v>81600000</v>
      </c>
      <c r="T366" s="1357">
        <f>+Tabla16[[#This Row],[CDPS A 31 JULIO 2022]]-Tabla16[[#This Row],[CDP]]</f>
        <v>0</v>
      </c>
      <c r="U366" s="1357">
        <v>81600000</v>
      </c>
      <c r="V366" s="1357">
        <v>28333333</v>
      </c>
      <c r="W366" s="1357"/>
      <c r="X366" s="1207"/>
      <c r="Y366" s="1207"/>
      <c r="Z366" s="1207"/>
      <c r="AA366" s="1207"/>
      <c r="AB366" s="1207"/>
      <c r="AC366" s="1207"/>
      <c r="AD366" s="1207"/>
      <c r="AE366" s="1207"/>
      <c r="AF366" s="1207"/>
      <c r="AG366" s="1207"/>
      <c r="AH366" s="1207"/>
      <c r="AI366" s="1207"/>
      <c r="AJ366" s="1207"/>
      <c r="AK366" s="1207"/>
      <c r="AL366" s="1207"/>
      <c r="AM366" s="1207"/>
      <c r="AN366" s="1207"/>
      <c r="AO366" s="1207"/>
      <c r="AP366" s="1207"/>
      <c r="AQ366" s="1207"/>
      <c r="AR366" s="1207"/>
      <c r="AS366" s="1207"/>
      <c r="AT366" s="1207"/>
      <c r="AU366" s="1207"/>
      <c r="AV366" s="1207"/>
      <c r="AW366" s="1207"/>
      <c r="AX366" s="1207"/>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row>
    <row r="367" spans="1:84" ht="135" x14ac:dyDescent="0.25">
      <c r="A367" s="1355">
        <v>2022387</v>
      </c>
      <c r="B367" s="1172">
        <v>7658</v>
      </c>
      <c r="C367" s="1356" t="s">
        <v>679</v>
      </c>
      <c r="D367" s="1190" t="s">
        <v>701</v>
      </c>
      <c r="E367" s="1174">
        <v>80111600</v>
      </c>
      <c r="F367" s="1380" t="s">
        <v>1032</v>
      </c>
      <c r="G367" s="1381">
        <v>44562</v>
      </c>
      <c r="H367" s="1381">
        <v>44592</v>
      </c>
      <c r="I367" s="1176">
        <v>12</v>
      </c>
      <c r="J367" s="1176" t="s">
        <v>673</v>
      </c>
      <c r="K367" s="1177" t="s">
        <v>674</v>
      </c>
      <c r="L367" s="1178" t="s">
        <v>675</v>
      </c>
      <c r="M367" s="1179">
        <v>90000000</v>
      </c>
      <c r="N367" s="1382" t="s">
        <v>1006</v>
      </c>
      <c r="O367" s="1174" t="s">
        <v>915</v>
      </c>
      <c r="P367" s="1207" t="s">
        <v>678</v>
      </c>
      <c r="Q367" s="1163"/>
      <c r="R367" s="1357">
        <v>87600000</v>
      </c>
      <c r="S367" s="1357">
        <v>87600000</v>
      </c>
      <c r="T367" s="1357">
        <f>+Tabla16[[#This Row],[CDPS A 31 JULIO 2022]]-Tabla16[[#This Row],[CDP]]</f>
        <v>0</v>
      </c>
      <c r="U367" s="1357">
        <v>87600000</v>
      </c>
      <c r="V367" s="1357">
        <v>29200000</v>
      </c>
      <c r="W367" s="1357"/>
      <c r="X367" s="1207"/>
      <c r="Y367" s="1207"/>
      <c r="Z367" s="1207"/>
      <c r="AA367" s="1207"/>
      <c r="AB367" s="1207"/>
      <c r="AC367" s="1207"/>
      <c r="AD367" s="1207"/>
      <c r="AE367" s="1207"/>
      <c r="AF367" s="1207"/>
      <c r="AG367" s="1207"/>
      <c r="AH367" s="1207"/>
      <c r="AI367" s="1207"/>
      <c r="AJ367" s="1207"/>
      <c r="AK367" s="1207"/>
      <c r="AL367" s="1207"/>
      <c r="AM367" s="1207"/>
      <c r="AN367" s="1207"/>
      <c r="AO367" s="1207"/>
      <c r="AP367" s="1207"/>
      <c r="AQ367" s="1207"/>
      <c r="AR367" s="1207"/>
      <c r="AS367" s="1207"/>
      <c r="AT367" s="1207"/>
      <c r="AU367" s="1207"/>
      <c r="AV367" s="1207"/>
      <c r="AW367" s="1207"/>
      <c r="AX367" s="1207"/>
      <c r="AY367" s="1207"/>
      <c r="AZ367" s="1207"/>
      <c r="BA367" s="1207"/>
      <c r="BB367" s="1207"/>
      <c r="BC367" s="1207"/>
      <c r="BD367" s="1207"/>
      <c r="BE367" s="1207"/>
      <c r="BF367" s="1207"/>
      <c r="BG367" s="1207"/>
      <c r="BH367" s="1207"/>
      <c r="BI367" s="1207"/>
      <c r="BJ367" s="1207"/>
      <c r="BK367" s="1207"/>
      <c r="BL367" s="1207"/>
      <c r="BM367" s="1207"/>
      <c r="BN367" s="1207"/>
      <c r="BO367" s="1207"/>
      <c r="BP367" s="1207"/>
      <c r="BQ367" s="1207"/>
      <c r="BR367" s="1207"/>
      <c r="BS367" s="1207"/>
      <c r="BT367" s="1207"/>
      <c r="BU367" s="1207"/>
      <c r="BV367" s="1207"/>
      <c r="BW367" s="1207"/>
      <c r="BX367" s="1207"/>
      <c r="BY367" s="1207"/>
      <c r="BZ367" s="1207"/>
      <c r="CA367" s="1207"/>
      <c r="CB367" s="1207"/>
      <c r="CC367" s="1207"/>
      <c r="CD367" s="1207"/>
      <c r="CE367" s="1207"/>
      <c r="CF367" s="1207"/>
    </row>
    <row r="368" spans="1:84" ht="105" x14ac:dyDescent="0.25">
      <c r="A368" s="1355">
        <v>2022389</v>
      </c>
      <c r="B368" s="1172">
        <v>7658</v>
      </c>
      <c r="C368" s="1356" t="s">
        <v>679</v>
      </c>
      <c r="D368" s="1190" t="s">
        <v>692</v>
      </c>
      <c r="E368" s="1174" t="s">
        <v>1033</v>
      </c>
      <c r="F368" s="1380" t="s">
        <v>1034</v>
      </c>
      <c r="G368" s="1381">
        <v>44621</v>
      </c>
      <c r="H368" s="1381">
        <v>44682</v>
      </c>
      <c r="I368" s="1176">
        <v>7</v>
      </c>
      <c r="J368" s="1176" t="s">
        <v>645</v>
      </c>
      <c r="K368" s="1177" t="s">
        <v>674</v>
      </c>
      <c r="L368" s="1178" t="s">
        <v>675</v>
      </c>
      <c r="M368" s="1179">
        <f>816036232-66036232</f>
        <v>750000000</v>
      </c>
      <c r="N368" s="1382" t="s">
        <v>1035</v>
      </c>
      <c r="O368" s="1174" t="s">
        <v>1036</v>
      </c>
      <c r="P368" s="1207" t="s">
        <v>678</v>
      </c>
      <c r="Q368" s="1163"/>
      <c r="R368" s="1357">
        <v>816036232</v>
      </c>
      <c r="S368" s="1357">
        <v>816036232</v>
      </c>
      <c r="T368" s="1357">
        <f>+Tabla16[[#This Row],[CDPS A 31 JULIO 2022]]-Tabla16[[#This Row],[CDP]]</f>
        <v>0</v>
      </c>
      <c r="U368" s="1357">
        <v>683963768</v>
      </c>
      <c r="V368" s="1357"/>
      <c r="W368" s="1357"/>
      <c r="X368" s="1207"/>
      <c r="Y368" s="1207"/>
      <c r="Z368" s="1207"/>
      <c r="AA368" s="1207"/>
      <c r="AB368" s="1207"/>
      <c r="AC368" s="1207"/>
      <c r="AD368" s="1207"/>
      <c r="AE368" s="1207"/>
      <c r="AF368" s="1207"/>
      <c r="AG368" s="1207"/>
      <c r="AH368" s="1207"/>
      <c r="AI368" s="1207"/>
      <c r="AJ368" s="1207"/>
      <c r="AK368" s="1207"/>
      <c r="AL368" s="1207"/>
      <c r="AM368" s="1207"/>
      <c r="AN368" s="1207"/>
      <c r="AO368" s="1207"/>
      <c r="AP368" s="1207"/>
      <c r="AQ368" s="1207"/>
      <c r="AR368" s="1207"/>
      <c r="AS368" s="1207"/>
      <c r="AT368" s="1207"/>
      <c r="AU368" s="1207"/>
      <c r="AV368" s="1207"/>
      <c r="AW368" s="1207"/>
      <c r="AX368" s="1207"/>
      <c r="AY368" s="1207"/>
      <c r="AZ368" s="1207"/>
      <c r="BA368" s="1207"/>
      <c r="BB368" s="1207"/>
      <c r="BC368" s="1207"/>
      <c r="BD368" s="1207"/>
      <c r="BE368" s="1207"/>
      <c r="BF368" s="1207"/>
      <c r="BG368" s="1207"/>
      <c r="BH368" s="1207"/>
      <c r="BI368" s="1207"/>
      <c r="BJ368" s="1207"/>
      <c r="BK368" s="1207"/>
      <c r="BL368" s="1207"/>
      <c r="BM368" s="1207"/>
      <c r="BN368" s="1207"/>
      <c r="BO368" s="1207"/>
      <c r="BP368" s="1207"/>
      <c r="BQ368" s="1207"/>
      <c r="BR368" s="1207"/>
      <c r="BS368" s="1207"/>
      <c r="BT368" s="1207"/>
      <c r="BU368" s="1207"/>
      <c r="BV368" s="1207"/>
      <c r="BW368" s="1207"/>
      <c r="BX368" s="1207"/>
      <c r="BY368" s="1207"/>
      <c r="BZ368" s="1207"/>
      <c r="CA368" s="1207"/>
      <c r="CB368" s="1207"/>
      <c r="CC368" s="1207"/>
      <c r="CD368" s="1207"/>
      <c r="CE368" s="1207"/>
      <c r="CF368" s="1207"/>
    </row>
    <row r="369" spans="1:84" ht="105" x14ac:dyDescent="0.25">
      <c r="A369" s="1355">
        <v>2022390</v>
      </c>
      <c r="B369" s="1172">
        <v>7658</v>
      </c>
      <c r="C369" s="1356" t="s">
        <v>679</v>
      </c>
      <c r="D369" s="1190" t="s">
        <v>692</v>
      </c>
      <c r="E369" s="1174" t="s">
        <v>1033</v>
      </c>
      <c r="F369" s="1380" t="s">
        <v>1037</v>
      </c>
      <c r="G369" s="1381">
        <v>44562</v>
      </c>
      <c r="H369" s="1381">
        <v>44592</v>
      </c>
      <c r="I369" s="1176">
        <v>2</v>
      </c>
      <c r="J369" s="1176" t="s">
        <v>645</v>
      </c>
      <c r="K369" s="1177" t="s">
        <v>674</v>
      </c>
      <c r="L369" s="1178" t="s">
        <v>675</v>
      </c>
      <c r="M369" s="1179">
        <v>183963768</v>
      </c>
      <c r="N369" s="1382" t="s">
        <v>1035</v>
      </c>
      <c r="O369" s="1174" t="s">
        <v>1036</v>
      </c>
      <c r="P369" s="1207" t="s">
        <v>748</v>
      </c>
      <c r="Q369" s="1163"/>
      <c r="R369" s="1357">
        <v>183963768</v>
      </c>
      <c r="S369" s="1357">
        <v>183963768</v>
      </c>
      <c r="T369" s="1357">
        <f>+Tabla16[[#This Row],[CDPS A 31 JULIO 2022]]-Tabla16[[#This Row],[CDP]]</f>
        <v>0</v>
      </c>
      <c r="U369" s="1357">
        <v>183963768</v>
      </c>
      <c r="V369" s="1357">
        <v>183963768</v>
      </c>
      <c r="W369" s="1357"/>
      <c r="X369" s="1207"/>
      <c r="Y369" s="1207"/>
      <c r="Z369" s="1207"/>
      <c r="AA369" s="1207"/>
      <c r="AB369" s="1207"/>
      <c r="AC369" s="1207"/>
      <c r="AD369" s="1207"/>
      <c r="AE369" s="1207"/>
      <c r="AF369" s="1207"/>
      <c r="AG369" s="1207"/>
      <c r="AH369" s="1207"/>
      <c r="AI369" s="1207"/>
      <c r="AJ369" s="1207"/>
      <c r="AK369" s="1207"/>
      <c r="AL369" s="1207"/>
      <c r="AM369" s="1207"/>
      <c r="AN369" s="1207"/>
      <c r="AO369" s="1207"/>
      <c r="AP369" s="1207"/>
      <c r="AQ369" s="1207"/>
      <c r="AR369" s="1207"/>
      <c r="AS369" s="1207"/>
      <c r="AT369" s="1207"/>
      <c r="AU369" s="1207"/>
      <c r="AV369" s="1207"/>
      <c r="AW369" s="1207"/>
      <c r="AX369" s="1207"/>
      <c r="AY369" s="1207"/>
      <c r="AZ369" s="1207"/>
      <c r="BA369" s="1207"/>
      <c r="BB369" s="1207"/>
      <c r="BC369" s="1207"/>
      <c r="BD369" s="1207"/>
      <c r="BE369" s="1207"/>
      <c r="BF369" s="1207"/>
      <c r="BG369" s="1207"/>
      <c r="BH369" s="1207"/>
      <c r="BI369" s="1207"/>
      <c r="BJ369" s="1207"/>
      <c r="BK369" s="1207"/>
      <c r="BL369" s="1207"/>
      <c r="BM369" s="1207"/>
      <c r="BN369" s="1207"/>
      <c r="BO369" s="1207"/>
      <c r="BP369" s="1207"/>
      <c r="BQ369" s="1207"/>
      <c r="BR369" s="1207"/>
      <c r="BS369" s="1207"/>
      <c r="BT369" s="1207"/>
      <c r="BU369" s="1207"/>
      <c r="BV369" s="1207"/>
      <c r="BW369" s="1207"/>
      <c r="BX369" s="1207"/>
      <c r="BY369" s="1207"/>
      <c r="BZ369" s="1207"/>
      <c r="CA369" s="1207"/>
      <c r="CB369" s="1207"/>
      <c r="CC369" s="1207"/>
      <c r="CD369" s="1207"/>
      <c r="CE369" s="1207"/>
      <c r="CF369" s="1207"/>
    </row>
    <row r="370" spans="1:84" ht="105" x14ac:dyDescent="0.25">
      <c r="A370" s="1355">
        <v>2022392</v>
      </c>
      <c r="B370" s="1172">
        <v>7658</v>
      </c>
      <c r="C370" s="1356" t="s">
        <v>679</v>
      </c>
      <c r="D370" s="1190" t="s">
        <v>692</v>
      </c>
      <c r="E370" s="1174" t="s">
        <v>1038</v>
      </c>
      <c r="F370" s="1380" t="s">
        <v>1039</v>
      </c>
      <c r="G370" s="1381">
        <v>44687</v>
      </c>
      <c r="H370" s="1381">
        <v>44742</v>
      </c>
      <c r="I370" s="1176">
        <v>6</v>
      </c>
      <c r="J370" s="1176" t="s">
        <v>696</v>
      </c>
      <c r="K370" s="1177" t="s">
        <v>674</v>
      </c>
      <c r="L370" s="1178" t="s">
        <v>675</v>
      </c>
      <c r="M370" s="1179">
        <f>300000000-180000000-2307582</f>
        <v>117692418</v>
      </c>
      <c r="N370" s="1382" t="s">
        <v>1035</v>
      </c>
      <c r="O370" s="1174" t="s">
        <v>1036</v>
      </c>
      <c r="P370" s="1207" t="s">
        <v>678</v>
      </c>
      <c r="Q370" s="1163" t="s">
        <v>1040</v>
      </c>
      <c r="R370" s="1357">
        <v>120000000</v>
      </c>
      <c r="S370" s="1357">
        <v>120000000</v>
      </c>
      <c r="T370" s="1357">
        <f>+Tabla16[[#This Row],[CDPS A 31 JULIO 2022]]-Tabla16[[#This Row],[CDP]]</f>
        <v>0</v>
      </c>
      <c r="U370" s="1357"/>
      <c r="V370" s="1357"/>
      <c r="W370" s="1357"/>
      <c r="X370" s="1207"/>
      <c r="Y370" s="1207"/>
      <c r="Z370" s="1207"/>
      <c r="AA370" s="1207"/>
      <c r="AB370" s="1207"/>
      <c r="AC370" s="1207"/>
      <c r="AD370" s="1207"/>
      <c r="AE370" s="1207"/>
      <c r="AF370" s="1207"/>
      <c r="AG370" s="1207"/>
      <c r="AH370" s="1207"/>
      <c r="AI370" s="1207"/>
      <c r="AJ370" s="1207"/>
      <c r="AK370" s="1207"/>
      <c r="AL370" s="1207"/>
      <c r="AM370" s="1207"/>
      <c r="AN370" s="1207"/>
      <c r="AO370" s="1207"/>
      <c r="AP370" s="1207"/>
      <c r="AQ370" s="1207"/>
      <c r="AR370" s="1207"/>
      <c r="AS370" s="1207"/>
      <c r="AT370" s="1207"/>
      <c r="AU370" s="1207"/>
      <c r="AV370" s="1207"/>
      <c r="AW370" s="1207"/>
      <c r="AX370" s="1207"/>
      <c r="AY370" s="1207"/>
      <c r="AZ370" s="1207"/>
      <c r="BA370" s="1207"/>
      <c r="BB370" s="1207"/>
      <c r="BC370" s="1207"/>
      <c r="BD370" s="1207"/>
      <c r="BE370" s="1207"/>
      <c r="BF370" s="1207"/>
      <c r="BG370" s="1207"/>
      <c r="BH370" s="1207"/>
      <c r="BI370" s="1207"/>
      <c r="BJ370" s="1207"/>
      <c r="BK370" s="1207"/>
      <c r="BL370" s="1207"/>
      <c r="BM370" s="1207"/>
      <c r="BN370" s="1207"/>
      <c r="BO370" s="1207"/>
      <c r="BP370" s="1207"/>
      <c r="BQ370" s="1207"/>
      <c r="BR370" s="1207"/>
      <c r="BS370" s="1207"/>
      <c r="BT370" s="1207"/>
      <c r="BU370" s="1207"/>
      <c r="BV370" s="1207"/>
      <c r="BW370" s="1207"/>
      <c r="BX370" s="1207"/>
      <c r="BY370" s="1207"/>
      <c r="BZ370" s="1207"/>
      <c r="CA370" s="1207"/>
      <c r="CB370" s="1207"/>
      <c r="CC370" s="1207"/>
      <c r="CD370" s="1207"/>
      <c r="CE370" s="1207"/>
      <c r="CF370" s="1207"/>
    </row>
    <row r="371" spans="1:84" ht="105" x14ac:dyDescent="0.25">
      <c r="A371" s="1355">
        <v>2022393</v>
      </c>
      <c r="B371" s="1172">
        <v>7658</v>
      </c>
      <c r="C371" s="1356" t="s">
        <v>679</v>
      </c>
      <c r="D371" s="1190" t="s">
        <v>692</v>
      </c>
      <c r="E371" s="1174" t="s">
        <v>1041</v>
      </c>
      <c r="F371" s="1380" t="s">
        <v>1042</v>
      </c>
      <c r="G371" s="1381">
        <v>44687</v>
      </c>
      <c r="H371" s="1381">
        <v>44743</v>
      </c>
      <c r="I371" s="1176">
        <v>5</v>
      </c>
      <c r="J371" s="1176" t="s">
        <v>687</v>
      </c>
      <c r="K371" s="1177" t="s">
        <v>674</v>
      </c>
      <c r="L371" s="1178" t="s">
        <v>675</v>
      </c>
      <c r="M371" s="1179">
        <f>200000000+180000000+70000000</f>
        <v>450000000</v>
      </c>
      <c r="N371" s="1382" t="s">
        <v>1035</v>
      </c>
      <c r="O371" s="1174" t="s">
        <v>1036</v>
      </c>
      <c r="P371" s="1207" t="s">
        <v>678</v>
      </c>
      <c r="Q371" s="1163"/>
      <c r="R371" s="1357">
        <v>450000000</v>
      </c>
      <c r="S371" s="1357">
        <v>380000000</v>
      </c>
      <c r="T371" s="1357">
        <f>+Tabla16[[#This Row],[CDPS A 31 JULIO 2022]]-Tabla16[[#This Row],[CDP]]</f>
        <v>70000000</v>
      </c>
      <c r="U371" s="1357"/>
      <c r="V371" s="1357"/>
      <c r="W371" s="1357"/>
      <c r="X371" s="1207"/>
      <c r="Y371" s="1207"/>
      <c r="Z371" s="1207"/>
      <c r="AA371" s="1207"/>
      <c r="AB371" s="1207"/>
      <c r="AC371" s="1207"/>
      <c r="AD371" s="1207"/>
      <c r="AE371" s="1207"/>
      <c r="AF371" s="1207"/>
      <c r="AG371" s="1207"/>
      <c r="AH371" s="1207"/>
      <c r="AI371" s="1207"/>
      <c r="AJ371" s="1207"/>
      <c r="AK371" s="1207"/>
      <c r="AL371" s="1207"/>
      <c r="AM371" s="1207"/>
      <c r="AN371" s="1207"/>
      <c r="AO371" s="1207"/>
      <c r="AP371" s="1207"/>
      <c r="AQ371" s="1207"/>
      <c r="AR371" s="1207"/>
      <c r="AS371" s="1207"/>
      <c r="AT371" s="1207"/>
      <c r="AU371" s="1207"/>
      <c r="AV371" s="1207"/>
      <c r="AW371" s="1207"/>
      <c r="AX371" s="1207"/>
      <c r="AY371" s="1207"/>
      <c r="AZ371" s="1207"/>
      <c r="BA371" s="1207"/>
      <c r="BB371" s="1207"/>
      <c r="BC371" s="1207"/>
      <c r="BD371" s="1207"/>
      <c r="BE371" s="1207"/>
      <c r="BF371" s="1207"/>
      <c r="BG371" s="1207"/>
      <c r="BH371" s="1207"/>
      <c r="BI371" s="1207"/>
      <c r="BJ371" s="1207"/>
      <c r="BK371" s="1207"/>
      <c r="BL371" s="1207"/>
      <c r="BM371" s="1207"/>
      <c r="BN371" s="1207"/>
      <c r="BO371" s="1207"/>
      <c r="BP371" s="1207"/>
      <c r="BQ371" s="1207"/>
      <c r="BR371" s="1207"/>
      <c r="BS371" s="1207"/>
      <c r="BT371" s="1207"/>
      <c r="BU371" s="1207"/>
      <c r="BV371" s="1207"/>
      <c r="BW371" s="1207"/>
      <c r="BX371" s="1207"/>
      <c r="BY371" s="1207"/>
      <c r="BZ371" s="1207"/>
      <c r="CA371" s="1207"/>
      <c r="CB371" s="1207"/>
      <c r="CC371" s="1207"/>
      <c r="CD371" s="1207"/>
      <c r="CE371" s="1207"/>
      <c r="CF371" s="1207"/>
    </row>
    <row r="372" spans="1:84" ht="105" x14ac:dyDescent="0.25">
      <c r="A372" s="1355">
        <v>2022398</v>
      </c>
      <c r="B372" s="1172">
        <v>7658</v>
      </c>
      <c r="C372" s="1356" t="s">
        <v>679</v>
      </c>
      <c r="D372" s="1190" t="s">
        <v>692</v>
      </c>
      <c r="E372" s="1174" t="s">
        <v>1043</v>
      </c>
      <c r="F372" s="1380" t="s">
        <v>1044</v>
      </c>
      <c r="G372" s="1377">
        <v>44682</v>
      </c>
      <c r="H372" s="1377">
        <v>44713</v>
      </c>
      <c r="I372" s="1176">
        <v>7</v>
      </c>
      <c r="J372" s="1176" t="s">
        <v>699</v>
      </c>
      <c r="K372" s="1177" t="s">
        <v>674</v>
      </c>
      <c r="L372" s="1178" t="s">
        <v>675</v>
      </c>
      <c r="M372" s="1179">
        <f>10000000-10000000+10000000</f>
        <v>10000000</v>
      </c>
      <c r="N372" s="1382" t="s">
        <v>1035</v>
      </c>
      <c r="O372" s="1174" t="s">
        <v>1036</v>
      </c>
      <c r="P372" s="1207" t="s">
        <v>678</v>
      </c>
      <c r="Q372" s="1163"/>
      <c r="R372" s="1357"/>
      <c r="S372" s="1357"/>
      <c r="T372" s="1357">
        <f>+Tabla16[[#This Row],[CDPS A 31 JULIO 2022]]-Tabla16[[#This Row],[CDP]]</f>
        <v>0</v>
      </c>
      <c r="U372" s="1357"/>
      <c r="V372" s="1357"/>
      <c r="W372" s="1357"/>
      <c r="X372" s="1207"/>
      <c r="Y372" s="1207"/>
      <c r="Z372" s="1207"/>
      <c r="AA372" s="1207"/>
      <c r="AB372" s="1207"/>
      <c r="AC372" s="1207"/>
      <c r="AD372" s="1207"/>
      <c r="AE372" s="1207"/>
      <c r="AF372" s="1207"/>
      <c r="AG372" s="1207"/>
      <c r="AH372" s="1207"/>
      <c r="AI372" s="1207"/>
      <c r="AJ372" s="1207"/>
      <c r="AK372" s="1207"/>
      <c r="AL372" s="1207"/>
      <c r="AM372" s="1207"/>
      <c r="AN372" s="1207"/>
      <c r="AO372" s="1207"/>
      <c r="AP372" s="1207"/>
      <c r="AQ372" s="1207"/>
      <c r="AR372" s="1207"/>
      <c r="AS372" s="1207"/>
      <c r="AT372" s="1207"/>
      <c r="AU372" s="1207"/>
      <c r="AV372" s="1207"/>
      <c r="AW372" s="1207"/>
      <c r="AX372" s="1207"/>
      <c r="AY372" s="1207"/>
      <c r="AZ372" s="1207"/>
      <c r="BA372" s="1207"/>
      <c r="BB372" s="1207"/>
      <c r="BC372" s="1207"/>
      <c r="BD372" s="1207"/>
      <c r="BE372" s="1207"/>
      <c r="BF372" s="1207"/>
      <c r="BG372" s="1207"/>
      <c r="BH372" s="1207"/>
      <c r="BI372" s="1207"/>
      <c r="BJ372" s="1207"/>
      <c r="BK372" s="1207"/>
      <c r="BL372" s="1207"/>
      <c r="BM372" s="1207"/>
      <c r="BN372" s="1207"/>
      <c r="BO372" s="1207"/>
      <c r="BP372" s="1207"/>
      <c r="BQ372" s="1207"/>
      <c r="BR372" s="1207"/>
      <c r="BS372" s="1207"/>
      <c r="BT372" s="1207"/>
      <c r="BU372" s="1207"/>
      <c r="BV372" s="1207"/>
      <c r="BW372" s="1207"/>
      <c r="BX372" s="1207"/>
      <c r="BY372" s="1207"/>
      <c r="BZ372" s="1207"/>
      <c r="CA372" s="1207"/>
      <c r="CB372" s="1207"/>
      <c r="CC372" s="1207"/>
      <c r="CD372" s="1207"/>
      <c r="CE372" s="1207"/>
      <c r="CF372" s="1207"/>
    </row>
    <row r="373" spans="1:84" ht="105" x14ac:dyDescent="0.25">
      <c r="A373" s="1400">
        <v>2022399</v>
      </c>
      <c r="B373" s="1401">
        <v>7658</v>
      </c>
      <c r="C373" s="1402" t="s">
        <v>679</v>
      </c>
      <c r="D373" s="1403" t="s">
        <v>692</v>
      </c>
      <c r="E373" s="1404" t="s">
        <v>1045</v>
      </c>
      <c r="F373" s="1405" t="s">
        <v>1046</v>
      </c>
      <c r="G373" s="1416">
        <v>44753</v>
      </c>
      <c r="H373" s="1416">
        <v>44774</v>
      </c>
      <c r="I373" s="1407">
        <v>1</v>
      </c>
      <c r="J373" s="1407" t="s">
        <v>699</v>
      </c>
      <c r="K373" s="1408" t="s">
        <v>674</v>
      </c>
      <c r="L373" s="1409" t="s">
        <v>675</v>
      </c>
      <c r="M373" s="1410">
        <f>20000000-20000000+19395017-2525017</f>
        <v>16870000</v>
      </c>
      <c r="N373" s="1411" t="s">
        <v>1035</v>
      </c>
      <c r="O373" s="1404" t="s">
        <v>1036</v>
      </c>
      <c r="P373" s="1412" t="s">
        <v>678</v>
      </c>
      <c r="Q373" s="1207"/>
      <c r="R373" s="1207"/>
      <c r="S373" s="1207"/>
      <c r="T373" s="1207"/>
      <c r="U373" s="1207"/>
      <c r="V373" s="1207"/>
      <c r="W373" s="1207"/>
      <c r="X373" s="1207"/>
      <c r="Y373" s="1207"/>
      <c r="Z373" s="1207"/>
      <c r="AA373" s="1207"/>
      <c r="AB373" s="1207"/>
      <c r="AC373" s="1207"/>
      <c r="AD373" s="1207"/>
      <c r="AE373" s="1207"/>
      <c r="AF373" s="1207"/>
      <c r="AG373" s="1207"/>
      <c r="AH373" s="1207"/>
      <c r="AI373" s="1207"/>
      <c r="AJ373" s="1207"/>
      <c r="AK373" s="1207"/>
      <c r="AL373" s="1207"/>
      <c r="AM373" s="1207"/>
      <c r="AN373" s="1207"/>
      <c r="AO373" s="1207"/>
      <c r="AP373" s="1207"/>
      <c r="AQ373" s="1207"/>
      <c r="AR373" s="1207"/>
      <c r="AS373" s="1207"/>
      <c r="AT373" s="1207"/>
      <c r="AU373" s="1207"/>
      <c r="AV373" s="1207"/>
      <c r="AW373" s="1207"/>
      <c r="AX373" s="1207"/>
      <c r="AY373" s="1207"/>
      <c r="AZ373" s="1207"/>
      <c r="BA373" s="1207"/>
      <c r="BB373" s="1207"/>
      <c r="BC373" s="1207"/>
      <c r="BD373" s="1207"/>
      <c r="BE373" s="1207"/>
      <c r="BF373" s="1207"/>
      <c r="BG373" s="1207"/>
      <c r="BH373" s="1207"/>
      <c r="BI373" s="1207"/>
      <c r="BJ373" s="1207"/>
      <c r="BK373" s="1207"/>
      <c r="BL373" s="1207"/>
      <c r="BM373" s="1207"/>
      <c r="BN373" s="1207"/>
      <c r="BO373" s="1207"/>
      <c r="BP373" s="1207"/>
      <c r="BQ373" s="1207"/>
      <c r="BR373" s="1207"/>
      <c r="BS373" s="1207"/>
      <c r="BT373" s="1207"/>
      <c r="BU373" s="1207"/>
      <c r="BV373" s="1207"/>
      <c r="BW373" s="1207"/>
      <c r="BX373" s="1207"/>
      <c r="BY373" s="1207"/>
      <c r="BZ373" s="1207"/>
      <c r="CA373" s="1207"/>
      <c r="CB373" s="1207"/>
      <c r="CC373" s="1207"/>
      <c r="CD373" s="1207"/>
      <c r="CE373" s="1207"/>
      <c r="CF373" s="1207"/>
    </row>
    <row r="374" spans="1:84" ht="105" x14ac:dyDescent="0.25">
      <c r="A374" s="1355">
        <v>2022400</v>
      </c>
      <c r="B374" s="1172">
        <v>7658</v>
      </c>
      <c r="C374" s="1356" t="s">
        <v>679</v>
      </c>
      <c r="D374" s="1190" t="s">
        <v>692</v>
      </c>
      <c r="E374" s="1174" t="s">
        <v>1047</v>
      </c>
      <c r="F374" s="1380" t="s">
        <v>1048</v>
      </c>
      <c r="G374" s="1377">
        <v>44663</v>
      </c>
      <c r="H374" s="1377">
        <v>44713</v>
      </c>
      <c r="I374" s="1176">
        <v>4</v>
      </c>
      <c r="J374" s="1176" t="s">
        <v>699</v>
      </c>
      <c r="K374" s="1177" t="s">
        <v>674</v>
      </c>
      <c r="L374" s="1178" t="s">
        <v>675</v>
      </c>
      <c r="M374" s="1179">
        <f>50000000-8854126+126</f>
        <v>41146000</v>
      </c>
      <c r="N374" s="1382" t="s">
        <v>1035</v>
      </c>
      <c r="O374" s="1174" t="s">
        <v>1036</v>
      </c>
      <c r="P374" s="1207" t="s">
        <v>678</v>
      </c>
      <c r="Q374" s="1163"/>
      <c r="R374" s="1357">
        <v>41146000</v>
      </c>
      <c r="S374" s="1357">
        <v>41146000</v>
      </c>
      <c r="T374" s="1357">
        <f>+Tabla16[[#This Row],[CDPS A 31 JULIO 2022]]-Tabla16[[#This Row],[CDP]]</f>
        <v>0</v>
      </c>
      <c r="U374" s="1357"/>
      <c r="V374" s="1357"/>
      <c r="W374" s="1357"/>
      <c r="X374" s="1207"/>
      <c r="Y374" s="1207"/>
      <c r="Z374" s="1207"/>
      <c r="AA374" s="1207"/>
      <c r="AB374" s="1207"/>
      <c r="AC374" s="1207"/>
      <c r="AD374" s="1207"/>
      <c r="AE374" s="1207"/>
      <c r="AF374" s="1207"/>
      <c r="AG374" s="1207"/>
      <c r="AH374" s="1207"/>
      <c r="AI374" s="1207"/>
      <c r="AJ374" s="1207"/>
      <c r="AK374" s="1207"/>
      <c r="AL374" s="1207"/>
      <c r="AM374" s="1207"/>
      <c r="AN374" s="1207"/>
      <c r="AO374" s="1207"/>
      <c r="AP374" s="1207"/>
      <c r="AQ374" s="1207"/>
      <c r="AR374" s="1207"/>
      <c r="AS374" s="1207"/>
      <c r="AT374" s="1207"/>
      <c r="AU374" s="1207"/>
      <c r="AV374" s="1207"/>
      <c r="AW374" s="1207"/>
      <c r="AX374" s="1207"/>
      <c r="AY374" s="1207"/>
      <c r="AZ374" s="1207"/>
      <c r="BA374" s="1207"/>
      <c r="BB374" s="1207"/>
      <c r="BC374" s="1207"/>
      <c r="BD374" s="1207"/>
      <c r="BE374" s="1207"/>
      <c r="BF374" s="1207"/>
      <c r="BG374" s="1207"/>
      <c r="BH374" s="1207"/>
      <c r="BI374" s="1207"/>
      <c r="BJ374" s="1207"/>
      <c r="BK374" s="1207"/>
      <c r="BL374" s="1207"/>
      <c r="BM374" s="1207"/>
      <c r="BN374" s="1207"/>
      <c r="BO374" s="1207"/>
      <c r="BP374" s="1207"/>
      <c r="BQ374" s="1207"/>
      <c r="BR374" s="1207"/>
      <c r="BS374" s="1207"/>
      <c r="BT374" s="1207"/>
      <c r="BU374" s="1207"/>
      <c r="BV374" s="1207"/>
      <c r="BW374" s="1207"/>
      <c r="BX374" s="1207"/>
      <c r="BY374" s="1207"/>
      <c r="BZ374" s="1207"/>
      <c r="CA374" s="1207"/>
      <c r="CB374" s="1207"/>
      <c r="CC374" s="1207"/>
      <c r="CD374" s="1207"/>
      <c r="CE374" s="1207"/>
      <c r="CF374" s="1207"/>
    </row>
    <row r="375" spans="1:84" ht="105" x14ac:dyDescent="0.25">
      <c r="A375" s="1355">
        <v>2022404</v>
      </c>
      <c r="B375" s="1172">
        <v>7658</v>
      </c>
      <c r="C375" s="1356" t="s">
        <v>679</v>
      </c>
      <c r="D375" s="1190" t="s">
        <v>692</v>
      </c>
      <c r="E375" s="1174">
        <v>80111600</v>
      </c>
      <c r="F375" s="1380" t="s">
        <v>1049</v>
      </c>
      <c r="G375" s="1381">
        <v>44562</v>
      </c>
      <c r="H375" s="1381">
        <v>44592</v>
      </c>
      <c r="I375" s="1176">
        <v>7</v>
      </c>
      <c r="J375" s="1176" t="s">
        <v>673</v>
      </c>
      <c r="K375" s="1177" t="s">
        <v>674</v>
      </c>
      <c r="L375" s="1178" t="s">
        <v>675</v>
      </c>
      <c r="M375" s="1179">
        <v>26950000</v>
      </c>
      <c r="N375" s="1382" t="s">
        <v>1035</v>
      </c>
      <c r="O375" s="1174" t="s">
        <v>1036</v>
      </c>
      <c r="P375" s="1207" t="s">
        <v>678</v>
      </c>
      <c r="Q375" s="1163"/>
      <c r="R375" s="1357">
        <v>26950000</v>
      </c>
      <c r="S375" s="1357">
        <v>26950000</v>
      </c>
      <c r="T375" s="1357">
        <f>+Tabla16[[#This Row],[CDPS A 31 JULIO 2022]]-Tabla16[[#This Row],[CDP]]</f>
        <v>0</v>
      </c>
      <c r="U375" s="1357">
        <v>26950000</v>
      </c>
      <c r="V375" s="1357">
        <v>17196667</v>
      </c>
      <c r="W375" s="1357"/>
      <c r="X375" s="1207"/>
      <c r="Y375" s="1207"/>
      <c r="Z375" s="1207"/>
      <c r="AA375" s="1207"/>
      <c r="AB375" s="1207"/>
      <c r="AC375" s="1207"/>
      <c r="AD375" s="1207"/>
      <c r="AE375" s="1207"/>
      <c r="AF375" s="1207"/>
      <c r="AG375" s="1207"/>
      <c r="AH375" s="1207"/>
      <c r="AI375" s="1207"/>
      <c r="AJ375" s="1207"/>
      <c r="AK375" s="1207"/>
      <c r="AL375" s="1207"/>
      <c r="AM375" s="1207"/>
      <c r="AN375" s="1207"/>
      <c r="AO375" s="1207"/>
      <c r="AP375" s="1207"/>
      <c r="AQ375" s="1207"/>
      <c r="AR375" s="1207"/>
      <c r="AS375" s="1207"/>
      <c r="AT375" s="1207"/>
      <c r="AU375" s="1207"/>
      <c r="AV375" s="1207"/>
      <c r="AW375" s="1207"/>
      <c r="AX375" s="1207"/>
      <c r="AY375" s="1207"/>
      <c r="AZ375" s="1207"/>
      <c r="BA375" s="1207"/>
      <c r="BB375" s="1207"/>
      <c r="BC375" s="1207"/>
      <c r="BD375" s="1207"/>
      <c r="BE375" s="1207"/>
      <c r="BF375" s="1207"/>
      <c r="BG375" s="1207"/>
      <c r="BH375" s="1207"/>
      <c r="BI375" s="1207"/>
      <c r="BJ375" s="1207"/>
      <c r="BK375" s="1207"/>
      <c r="BL375" s="1207"/>
      <c r="BM375" s="1207"/>
      <c r="BN375" s="1207"/>
      <c r="BO375" s="1207"/>
      <c r="BP375" s="1207"/>
      <c r="BQ375" s="1207"/>
      <c r="BR375" s="1207"/>
      <c r="BS375" s="1207"/>
      <c r="BT375" s="1207"/>
      <c r="BU375" s="1207"/>
      <c r="BV375" s="1207"/>
      <c r="BW375" s="1207"/>
      <c r="BX375" s="1207"/>
      <c r="BY375" s="1207"/>
      <c r="BZ375" s="1207"/>
      <c r="CA375" s="1207"/>
      <c r="CB375" s="1207"/>
      <c r="CC375" s="1207"/>
      <c r="CD375" s="1207"/>
      <c r="CE375" s="1207"/>
      <c r="CF375" s="1207"/>
    </row>
    <row r="376" spans="1:84" ht="105" x14ac:dyDescent="0.25">
      <c r="A376" s="1355">
        <v>2022405</v>
      </c>
      <c r="B376" s="1172">
        <v>7658</v>
      </c>
      <c r="C376" s="1356" t="s">
        <v>679</v>
      </c>
      <c r="D376" s="1190" t="s">
        <v>692</v>
      </c>
      <c r="E376" s="1174">
        <v>80111600</v>
      </c>
      <c r="F376" s="1380" t="s">
        <v>1049</v>
      </c>
      <c r="G376" s="1381">
        <v>44562</v>
      </c>
      <c r="H376" s="1381">
        <v>44592</v>
      </c>
      <c r="I376" s="1176">
        <v>3</v>
      </c>
      <c r="J376" s="1176" t="s">
        <v>673</v>
      </c>
      <c r="K376" s="1177" t="s">
        <v>674</v>
      </c>
      <c r="L376" s="1178" t="s">
        <v>675</v>
      </c>
      <c r="M376" s="1179">
        <v>13500000</v>
      </c>
      <c r="N376" s="1382" t="s">
        <v>1035</v>
      </c>
      <c r="O376" s="1174" t="s">
        <v>1036</v>
      </c>
      <c r="P376" s="1207" t="s">
        <v>678</v>
      </c>
      <c r="Q376" s="1163"/>
      <c r="R376" s="1269">
        <v>0</v>
      </c>
      <c r="S376" s="1357"/>
      <c r="T376" s="1357">
        <f>+Tabla16[[#This Row],[CDPS A 31 JULIO 2022]]-Tabla16[[#This Row],[CDP]]</f>
        <v>0</v>
      </c>
      <c r="U376" s="1357"/>
      <c r="V376" s="1357"/>
      <c r="W376" s="1357"/>
      <c r="X376" s="1207"/>
      <c r="Y376" s="1207"/>
      <c r="Z376" s="1207"/>
      <c r="AA376" s="1207"/>
      <c r="AB376" s="1207"/>
      <c r="AC376" s="1207"/>
      <c r="AD376" s="1207"/>
      <c r="AE376" s="1207"/>
      <c r="AF376" s="1207"/>
      <c r="AG376" s="1207"/>
      <c r="AH376" s="1207"/>
      <c r="AI376" s="1207"/>
      <c r="AJ376" s="1207"/>
      <c r="AK376" s="1207"/>
      <c r="AL376" s="1207"/>
      <c r="AM376" s="1207"/>
      <c r="AN376" s="1207"/>
      <c r="AO376" s="1207"/>
      <c r="AP376" s="1207"/>
      <c r="AQ376" s="1207"/>
      <c r="AR376" s="1207"/>
      <c r="AS376" s="1207"/>
      <c r="AT376" s="1207"/>
      <c r="AU376" s="1207"/>
      <c r="AV376" s="1207"/>
      <c r="AW376" s="1207"/>
      <c r="AX376" s="1207"/>
      <c r="AY376" s="1207"/>
      <c r="AZ376" s="1207"/>
      <c r="BA376" s="1207"/>
      <c r="BB376" s="1207"/>
      <c r="BC376" s="1207"/>
      <c r="BD376" s="1207"/>
      <c r="BE376" s="1207"/>
      <c r="BF376" s="1207"/>
      <c r="BG376" s="1207"/>
      <c r="BH376" s="1207"/>
      <c r="BI376" s="1207"/>
      <c r="BJ376" s="1207"/>
      <c r="BK376" s="1207"/>
      <c r="BL376" s="1207"/>
      <c r="BM376" s="1207"/>
      <c r="BN376" s="1207"/>
      <c r="BO376" s="1207"/>
      <c r="BP376" s="1207"/>
      <c r="BQ376" s="1207"/>
      <c r="BR376" s="1207"/>
      <c r="BS376" s="1207"/>
      <c r="BT376" s="1207"/>
      <c r="BU376" s="1207"/>
      <c r="BV376" s="1207"/>
      <c r="BW376" s="1207"/>
      <c r="BX376" s="1207"/>
      <c r="BY376" s="1207"/>
      <c r="BZ376" s="1207"/>
      <c r="CA376" s="1207"/>
      <c r="CB376" s="1207"/>
      <c r="CC376" s="1207"/>
      <c r="CD376" s="1207"/>
      <c r="CE376" s="1207"/>
      <c r="CF376" s="1207"/>
    </row>
    <row r="377" spans="1:84" ht="105" x14ac:dyDescent="0.25">
      <c r="A377" s="1355">
        <v>2022406</v>
      </c>
      <c r="B377" s="1172">
        <v>7658</v>
      </c>
      <c r="C377" s="1356" t="s">
        <v>679</v>
      </c>
      <c r="D377" s="1190" t="s">
        <v>692</v>
      </c>
      <c r="E377" s="1174">
        <v>80111600</v>
      </c>
      <c r="F377" s="1380" t="s">
        <v>1050</v>
      </c>
      <c r="G377" s="1381">
        <v>44562</v>
      </c>
      <c r="H377" s="1381">
        <v>44592</v>
      </c>
      <c r="I377" s="1176">
        <v>10</v>
      </c>
      <c r="J377" s="1176" t="s">
        <v>673</v>
      </c>
      <c r="K377" s="1177" t="s">
        <v>674</v>
      </c>
      <c r="L377" s="1178" t="s">
        <v>675</v>
      </c>
      <c r="M377" s="1179">
        <v>82400000</v>
      </c>
      <c r="N377" s="1382" t="s">
        <v>1035</v>
      </c>
      <c r="O377" s="1174" t="s">
        <v>1036</v>
      </c>
      <c r="P377" s="1207" t="s">
        <v>678</v>
      </c>
      <c r="Q377" s="1163"/>
      <c r="R377" s="1357">
        <v>82400000</v>
      </c>
      <c r="S377" s="1357">
        <v>82400000</v>
      </c>
      <c r="T377" s="1357">
        <f>+Tabla16[[#This Row],[CDPS A 31 JULIO 2022]]-Tabla16[[#This Row],[CDP]]</f>
        <v>0</v>
      </c>
      <c r="U377" s="1357">
        <v>82400000</v>
      </c>
      <c r="V377" s="1357">
        <v>35706667</v>
      </c>
      <c r="W377" s="1357"/>
      <c r="X377" s="1207"/>
      <c r="Y377" s="1207"/>
      <c r="Z377" s="1207"/>
      <c r="AA377" s="1207"/>
      <c r="AB377" s="1207"/>
      <c r="AC377" s="1207"/>
      <c r="AD377" s="1207"/>
      <c r="AE377" s="1207"/>
      <c r="AF377" s="1207"/>
      <c r="AG377" s="1207"/>
      <c r="AH377" s="1207"/>
      <c r="AI377" s="1207"/>
      <c r="AJ377" s="1207"/>
      <c r="AK377" s="1207"/>
      <c r="AL377" s="1207"/>
      <c r="AM377" s="1207"/>
      <c r="AN377" s="1207"/>
      <c r="AO377" s="1207"/>
      <c r="AP377" s="1207"/>
      <c r="AQ377" s="1207"/>
      <c r="AR377" s="1207"/>
      <c r="AS377" s="1207"/>
      <c r="AT377" s="1207"/>
      <c r="AU377" s="1207"/>
      <c r="AV377" s="1207"/>
      <c r="AW377" s="1207"/>
      <c r="AX377" s="1207"/>
      <c r="AY377" s="1207"/>
      <c r="AZ377" s="1207"/>
      <c r="BA377" s="1207"/>
      <c r="BB377" s="1207"/>
      <c r="BC377" s="1207"/>
      <c r="BD377" s="1207"/>
      <c r="BE377" s="1207"/>
      <c r="BF377" s="1207"/>
      <c r="BG377" s="1207"/>
      <c r="BH377" s="1207"/>
      <c r="BI377" s="1207"/>
      <c r="BJ377" s="1207"/>
      <c r="BK377" s="1207"/>
      <c r="BL377" s="1207"/>
      <c r="BM377" s="1207"/>
      <c r="BN377" s="1207"/>
      <c r="BO377" s="1207"/>
      <c r="BP377" s="1207"/>
      <c r="BQ377" s="1207"/>
      <c r="BR377" s="1207"/>
      <c r="BS377" s="1207"/>
      <c r="BT377" s="1207"/>
      <c r="BU377" s="1207"/>
      <c r="BV377" s="1207"/>
      <c r="BW377" s="1207"/>
      <c r="BX377" s="1207"/>
      <c r="BY377" s="1207"/>
      <c r="BZ377" s="1207"/>
      <c r="CA377" s="1207"/>
      <c r="CB377" s="1207"/>
      <c r="CC377" s="1207"/>
      <c r="CD377" s="1207"/>
      <c r="CE377" s="1207"/>
      <c r="CF377" s="1207"/>
    </row>
    <row r="378" spans="1:84" ht="105" x14ac:dyDescent="0.25">
      <c r="A378" s="1355">
        <v>2022407</v>
      </c>
      <c r="B378" s="1172">
        <v>7658</v>
      </c>
      <c r="C378" s="1356" t="s">
        <v>679</v>
      </c>
      <c r="D378" s="1190" t="s">
        <v>692</v>
      </c>
      <c r="E378" s="1174">
        <v>80111600</v>
      </c>
      <c r="F378" s="1380" t="s">
        <v>1051</v>
      </c>
      <c r="G378" s="1381">
        <v>44562</v>
      </c>
      <c r="H378" s="1381">
        <v>44592</v>
      </c>
      <c r="I378" s="1176">
        <v>6</v>
      </c>
      <c r="J378" s="1176" t="s">
        <v>673</v>
      </c>
      <c r="K378" s="1177" t="s">
        <v>674</v>
      </c>
      <c r="L378" s="1178" t="s">
        <v>675</v>
      </c>
      <c r="M378" s="1179">
        <v>49440000</v>
      </c>
      <c r="N378" s="1382" t="s">
        <v>1035</v>
      </c>
      <c r="O378" s="1174" t="s">
        <v>1036</v>
      </c>
      <c r="P378" s="1207" t="s">
        <v>678</v>
      </c>
      <c r="Q378" s="1163"/>
      <c r="R378" s="1357">
        <v>49440000</v>
      </c>
      <c r="S378" s="1357">
        <v>49440000</v>
      </c>
      <c r="T378" s="1357">
        <f>+Tabla16[[#This Row],[CDPS A 31 JULIO 2022]]-Tabla16[[#This Row],[CDP]]</f>
        <v>0</v>
      </c>
      <c r="U378" s="1357">
        <v>49440000</v>
      </c>
      <c r="V378" s="1357">
        <v>34882667</v>
      </c>
      <c r="W378" s="1357"/>
      <c r="X378" s="1207"/>
      <c r="Y378" s="1207"/>
      <c r="Z378" s="1207"/>
      <c r="AA378" s="1207"/>
      <c r="AB378" s="1207"/>
      <c r="AC378" s="1207"/>
      <c r="AD378" s="1207"/>
      <c r="AE378" s="1207"/>
      <c r="AF378" s="1207"/>
      <c r="AG378" s="1207"/>
      <c r="AH378" s="1207"/>
      <c r="AI378" s="1207"/>
      <c r="AJ378" s="1207"/>
      <c r="AK378" s="1207"/>
      <c r="AL378" s="1207"/>
      <c r="AM378" s="1207"/>
      <c r="AN378" s="1207"/>
      <c r="AO378" s="1207"/>
      <c r="AP378" s="1207"/>
      <c r="AQ378" s="1207"/>
      <c r="AR378" s="1207"/>
      <c r="AS378" s="1207"/>
      <c r="AT378" s="1207"/>
      <c r="AU378" s="1207"/>
      <c r="AV378" s="1207"/>
      <c r="AW378" s="1207"/>
      <c r="AX378" s="1207"/>
      <c r="AY378" s="1207"/>
      <c r="AZ378" s="1207"/>
      <c r="BA378" s="1207"/>
      <c r="BB378" s="1207"/>
      <c r="BC378" s="1207"/>
      <c r="BD378" s="1207"/>
      <c r="BE378" s="1207"/>
      <c r="BF378" s="1207"/>
      <c r="BG378" s="1207"/>
      <c r="BH378" s="1207"/>
      <c r="BI378" s="1207"/>
      <c r="BJ378" s="1207"/>
      <c r="BK378" s="1207"/>
      <c r="BL378" s="1207"/>
      <c r="BM378" s="1207"/>
      <c r="BN378" s="1207"/>
      <c r="BO378" s="1207"/>
      <c r="BP378" s="1207"/>
      <c r="BQ378" s="1207"/>
      <c r="BR378" s="1207"/>
      <c r="BS378" s="1207"/>
      <c r="BT378" s="1207"/>
      <c r="BU378" s="1207"/>
      <c r="BV378" s="1207"/>
      <c r="BW378" s="1207"/>
      <c r="BX378" s="1207"/>
      <c r="BY378" s="1207"/>
      <c r="BZ378" s="1207"/>
      <c r="CA378" s="1207"/>
      <c r="CB378" s="1207"/>
      <c r="CC378" s="1207"/>
      <c r="CD378" s="1207"/>
      <c r="CE378" s="1207"/>
      <c r="CF378" s="1207"/>
    </row>
    <row r="379" spans="1:84" ht="105" x14ac:dyDescent="0.25">
      <c r="A379" s="1355">
        <v>2022408</v>
      </c>
      <c r="B379" s="1172">
        <v>7658</v>
      </c>
      <c r="C379" s="1356" t="s">
        <v>679</v>
      </c>
      <c r="D379" s="1190" t="s">
        <v>692</v>
      </c>
      <c r="E379" s="1174">
        <v>80111600</v>
      </c>
      <c r="F379" s="1380" t="s">
        <v>1051</v>
      </c>
      <c r="G379" s="1381">
        <v>44562</v>
      </c>
      <c r="H379" s="1381">
        <v>44592</v>
      </c>
      <c r="I379" s="1176">
        <v>4</v>
      </c>
      <c r="J379" s="1176" t="s">
        <v>673</v>
      </c>
      <c r="K379" s="1177" t="s">
        <v>674</v>
      </c>
      <c r="L379" s="1178" t="s">
        <v>675</v>
      </c>
      <c r="M379" s="1179">
        <v>32960000</v>
      </c>
      <c r="N379" s="1382" t="s">
        <v>1035</v>
      </c>
      <c r="O379" s="1174" t="s">
        <v>1036</v>
      </c>
      <c r="P379" s="1207" t="s">
        <v>678</v>
      </c>
      <c r="Q379" s="1163"/>
      <c r="R379" s="1357">
        <v>42000000</v>
      </c>
      <c r="S379" s="1357">
        <v>42000000</v>
      </c>
      <c r="T379" s="1357">
        <f>+Tabla16[[#This Row],[CDPS A 31 JULIO 2022]]-Tabla16[[#This Row],[CDP]]</f>
        <v>0</v>
      </c>
      <c r="U379" s="1357">
        <v>42000000</v>
      </c>
      <c r="V379" s="1357">
        <v>31266667</v>
      </c>
      <c r="W379" s="1357"/>
      <c r="X379" s="1207"/>
      <c r="Y379" s="1207"/>
      <c r="Z379" s="1207"/>
      <c r="AA379" s="1207"/>
      <c r="AB379" s="1207"/>
      <c r="AC379" s="1207"/>
      <c r="AD379" s="1207"/>
      <c r="AE379" s="1207"/>
      <c r="AF379" s="1207"/>
      <c r="AG379" s="1207"/>
      <c r="AH379" s="1207"/>
      <c r="AI379" s="1207"/>
      <c r="AJ379" s="1207"/>
      <c r="AK379" s="1207"/>
      <c r="AL379" s="1207"/>
      <c r="AM379" s="1207"/>
      <c r="AN379" s="1207"/>
      <c r="AO379" s="1207"/>
      <c r="AP379" s="1207"/>
      <c r="AQ379" s="1207"/>
      <c r="AR379" s="1207"/>
      <c r="AS379" s="1207"/>
      <c r="AT379" s="1207"/>
      <c r="AU379" s="1207"/>
      <c r="AV379" s="1207"/>
      <c r="AW379" s="1207"/>
      <c r="AX379" s="1207"/>
      <c r="AY379" s="1207"/>
      <c r="AZ379" s="1207"/>
      <c r="BA379" s="1207"/>
      <c r="BB379" s="1207"/>
      <c r="BC379" s="1207"/>
      <c r="BD379" s="1207"/>
      <c r="BE379" s="1207"/>
      <c r="BF379" s="1207"/>
      <c r="BG379" s="1207"/>
      <c r="BH379" s="1207"/>
      <c r="BI379" s="1207"/>
      <c r="BJ379" s="1207"/>
      <c r="BK379" s="1207"/>
      <c r="BL379" s="1207"/>
      <c r="BM379" s="1207"/>
      <c r="BN379" s="1207"/>
      <c r="BO379" s="1207"/>
      <c r="BP379" s="1207"/>
      <c r="BQ379" s="1207"/>
      <c r="BR379" s="1207"/>
      <c r="BS379" s="1207"/>
      <c r="BT379" s="1207"/>
      <c r="BU379" s="1207"/>
      <c r="BV379" s="1207"/>
      <c r="BW379" s="1207"/>
      <c r="BX379" s="1207"/>
      <c r="BY379" s="1207"/>
      <c r="BZ379" s="1207"/>
      <c r="CA379" s="1207"/>
      <c r="CB379" s="1207"/>
      <c r="CC379" s="1207"/>
      <c r="CD379" s="1207"/>
      <c r="CE379" s="1207"/>
      <c r="CF379" s="1207"/>
    </row>
    <row r="380" spans="1:84" ht="105" x14ac:dyDescent="0.25">
      <c r="A380" s="1355">
        <v>2022409</v>
      </c>
      <c r="B380" s="1172">
        <v>7658</v>
      </c>
      <c r="C380" s="1356" t="s">
        <v>679</v>
      </c>
      <c r="D380" s="1190" t="s">
        <v>692</v>
      </c>
      <c r="E380" s="1174">
        <v>80111601</v>
      </c>
      <c r="F380" s="1380" t="s">
        <v>1052</v>
      </c>
      <c r="G380" s="1381">
        <v>44562</v>
      </c>
      <c r="H380" s="1381">
        <v>44592</v>
      </c>
      <c r="I380" s="1176">
        <v>6</v>
      </c>
      <c r="J380" s="1176" t="s">
        <v>673</v>
      </c>
      <c r="K380" s="1177" t="s">
        <v>674</v>
      </c>
      <c r="L380" s="1178" t="s">
        <v>675</v>
      </c>
      <c r="M380" s="1179">
        <v>42000000</v>
      </c>
      <c r="N380" s="1382" t="s">
        <v>1035</v>
      </c>
      <c r="O380" s="1174" t="s">
        <v>1036</v>
      </c>
      <c r="P380" s="1207" t="s">
        <v>678</v>
      </c>
      <c r="Q380" s="1163"/>
      <c r="R380" s="1269">
        <v>0</v>
      </c>
      <c r="S380" s="1357"/>
      <c r="T380" s="1357">
        <f>+Tabla16[[#This Row],[CDPS A 31 JULIO 2022]]-Tabla16[[#This Row],[CDP]]</f>
        <v>0</v>
      </c>
      <c r="U380" s="1357"/>
      <c r="V380" s="1357"/>
      <c r="W380" s="1357"/>
      <c r="X380" s="1207"/>
      <c r="Y380" s="1207"/>
      <c r="Z380" s="1207"/>
      <c r="AA380" s="1207"/>
      <c r="AB380" s="1207"/>
      <c r="AC380" s="1207"/>
      <c r="AD380" s="1207"/>
      <c r="AE380" s="1207"/>
      <c r="AF380" s="1207"/>
      <c r="AG380" s="1207"/>
      <c r="AH380" s="1207"/>
      <c r="AI380" s="1207"/>
      <c r="AJ380" s="1207"/>
      <c r="AK380" s="1207"/>
      <c r="AL380" s="1207"/>
      <c r="AM380" s="1207"/>
      <c r="AN380" s="1207"/>
      <c r="AO380" s="1207"/>
      <c r="AP380" s="1207"/>
      <c r="AQ380" s="1207"/>
      <c r="AR380" s="1207"/>
      <c r="AS380" s="1207"/>
      <c r="AT380" s="1207"/>
      <c r="AU380" s="1207"/>
      <c r="AV380" s="1207"/>
      <c r="AW380" s="1207"/>
      <c r="AX380" s="1207"/>
      <c r="AY380" s="1207"/>
      <c r="AZ380" s="1207"/>
      <c r="BA380" s="1207"/>
      <c r="BB380" s="1207"/>
      <c r="BC380" s="1207"/>
      <c r="BD380" s="1207"/>
      <c r="BE380" s="1207"/>
      <c r="BF380" s="1207"/>
      <c r="BG380" s="1207"/>
      <c r="BH380" s="1207"/>
      <c r="BI380" s="1207"/>
      <c r="BJ380" s="1207"/>
      <c r="BK380" s="1207"/>
      <c r="BL380" s="1207"/>
      <c r="BM380" s="1207"/>
      <c r="BN380" s="1207"/>
      <c r="BO380" s="1207"/>
      <c r="BP380" s="1207"/>
      <c r="BQ380" s="1207"/>
      <c r="BR380" s="1207"/>
      <c r="BS380" s="1207"/>
      <c r="BT380" s="1207"/>
      <c r="BU380" s="1207"/>
      <c r="BV380" s="1207"/>
      <c r="BW380" s="1207"/>
      <c r="BX380" s="1207"/>
      <c r="BY380" s="1207"/>
      <c r="BZ380" s="1207"/>
      <c r="CA380" s="1207"/>
      <c r="CB380" s="1207"/>
      <c r="CC380" s="1207"/>
      <c r="CD380" s="1207"/>
      <c r="CE380" s="1207"/>
      <c r="CF380" s="1207"/>
    </row>
    <row r="381" spans="1:84" ht="105" x14ac:dyDescent="0.25">
      <c r="A381" s="1355">
        <v>2022410</v>
      </c>
      <c r="B381" s="1172">
        <v>7658</v>
      </c>
      <c r="C381" s="1356" t="s">
        <v>679</v>
      </c>
      <c r="D381" s="1190" t="s">
        <v>692</v>
      </c>
      <c r="E381" s="1174">
        <v>80111601</v>
      </c>
      <c r="F381" s="1380" t="s">
        <v>1052</v>
      </c>
      <c r="G381" s="1381">
        <v>44562</v>
      </c>
      <c r="H381" s="1381">
        <v>44592</v>
      </c>
      <c r="I381" s="1176">
        <v>4</v>
      </c>
      <c r="J381" s="1176" t="s">
        <v>673</v>
      </c>
      <c r="K381" s="1177" t="s">
        <v>674</v>
      </c>
      <c r="L381" s="1178" t="s">
        <v>675</v>
      </c>
      <c r="M381" s="1179">
        <v>28000000</v>
      </c>
      <c r="N381" s="1382" t="s">
        <v>1035</v>
      </c>
      <c r="O381" s="1174" t="s">
        <v>1036</v>
      </c>
      <c r="P381" s="1207" t="s">
        <v>678</v>
      </c>
      <c r="Q381" s="1163"/>
      <c r="R381" s="1357">
        <v>28000000</v>
      </c>
      <c r="S381" s="1357"/>
      <c r="T381" s="1357">
        <f>+Tabla16[[#This Row],[CDPS A 31 JULIO 2022]]-Tabla16[[#This Row],[CDP]]</f>
        <v>28000000</v>
      </c>
      <c r="U381" s="1357"/>
      <c r="V381" s="1357"/>
      <c r="W381" s="1357" t="s">
        <v>1053</v>
      </c>
      <c r="X381" s="1207"/>
      <c r="Y381" s="1207"/>
      <c r="Z381" s="1207"/>
      <c r="AA381" s="1207"/>
      <c r="AB381" s="1207"/>
      <c r="AC381" s="1207"/>
      <c r="AD381" s="1207"/>
      <c r="AE381" s="1207"/>
      <c r="AF381" s="1207"/>
      <c r="AG381" s="1207"/>
      <c r="AH381" s="1207"/>
      <c r="AI381" s="1207"/>
      <c r="AJ381" s="1207"/>
      <c r="AK381" s="1207"/>
      <c r="AL381" s="1207"/>
      <c r="AM381" s="1207"/>
      <c r="AN381" s="1207"/>
      <c r="AO381" s="1207"/>
      <c r="AP381" s="1207"/>
      <c r="AQ381" s="1207"/>
      <c r="AR381" s="1207"/>
      <c r="AS381" s="1207"/>
      <c r="AT381" s="1207"/>
      <c r="AU381" s="1207"/>
      <c r="AV381" s="1207"/>
      <c r="AW381" s="1207"/>
      <c r="AX381" s="1207"/>
      <c r="AY381" s="1207"/>
      <c r="AZ381" s="1207"/>
      <c r="BA381" s="1207"/>
      <c r="BB381" s="1207"/>
      <c r="BC381" s="1207"/>
      <c r="BD381" s="1207"/>
      <c r="BE381" s="1207"/>
      <c r="BF381" s="1207"/>
      <c r="BG381" s="1207"/>
      <c r="BH381" s="1207"/>
      <c r="BI381" s="1207"/>
      <c r="BJ381" s="1207"/>
      <c r="BK381" s="1207"/>
      <c r="BL381" s="1207"/>
      <c r="BM381" s="1207"/>
      <c r="BN381" s="1207"/>
      <c r="BO381" s="1207"/>
      <c r="BP381" s="1207"/>
      <c r="BQ381" s="1207"/>
      <c r="BR381" s="1207"/>
      <c r="BS381" s="1207"/>
      <c r="BT381" s="1207"/>
      <c r="BU381" s="1207"/>
      <c r="BV381" s="1207"/>
      <c r="BW381" s="1207"/>
      <c r="BX381" s="1207"/>
      <c r="BY381" s="1207"/>
      <c r="BZ381" s="1207"/>
      <c r="CA381" s="1207"/>
      <c r="CB381" s="1207"/>
      <c r="CC381" s="1207"/>
      <c r="CD381" s="1207"/>
      <c r="CE381" s="1207"/>
      <c r="CF381" s="1207"/>
    </row>
    <row r="382" spans="1:84" ht="105" x14ac:dyDescent="0.25">
      <c r="A382" s="1355">
        <v>2022411</v>
      </c>
      <c r="B382" s="1172">
        <v>7658</v>
      </c>
      <c r="C382" s="1356" t="s">
        <v>679</v>
      </c>
      <c r="D382" s="1190" t="s">
        <v>692</v>
      </c>
      <c r="E382" s="1174">
        <v>80111601</v>
      </c>
      <c r="F382" s="1380" t="s">
        <v>1054</v>
      </c>
      <c r="G382" s="1381">
        <v>44562</v>
      </c>
      <c r="H382" s="1381">
        <v>44592</v>
      </c>
      <c r="I382" s="1176">
        <v>10</v>
      </c>
      <c r="J382" s="1176" t="s">
        <v>673</v>
      </c>
      <c r="K382" s="1177" t="s">
        <v>674</v>
      </c>
      <c r="L382" s="1178" t="s">
        <v>675</v>
      </c>
      <c r="M382" s="1179">
        <v>60000000</v>
      </c>
      <c r="N382" s="1382" t="s">
        <v>1035</v>
      </c>
      <c r="O382" s="1174" t="s">
        <v>1036</v>
      </c>
      <c r="P382" s="1207" t="s">
        <v>678</v>
      </c>
      <c r="Q382" s="1163"/>
      <c r="R382" s="1357">
        <v>60000000</v>
      </c>
      <c r="S382" s="1357">
        <v>60000000</v>
      </c>
      <c r="T382" s="1357">
        <f>+Tabla16[[#This Row],[CDPS A 31 JULIO 2022]]-Tabla16[[#This Row],[CDP]]</f>
        <v>0</v>
      </c>
      <c r="U382" s="1357">
        <v>60000000</v>
      </c>
      <c r="V382" s="1357">
        <v>32750000</v>
      </c>
      <c r="W382" s="1357"/>
      <c r="X382" s="1207"/>
      <c r="Y382" s="1207"/>
      <c r="Z382" s="1207"/>
      <c r="AA382" s="1207"/>
      <c r="AB382" s="1207"/>
      <c r="AC382" s="1207"/>
      <c r="AD382" s="1207"/>
      <c r="AE382" s="1207"/>
      <c r="AF382" s="1207"/>
      <c r="AG382" s="1207"/>
      <c r="AH382" s="1207"/>
      <c r="AI382" s="1207"/>
      <c r="AJ382" s="1207"/>
      <c r="AK382" s="1207"/>
      <c r="AL382" s="1207"/>
      <c r="AM382" s="1207"/>
      <c r="AN382" s="1207"/>
      <c r="AO382" s="1207"/>
      <c r="AP382" s="1207"/>
      <c r="AQ382" s="1207"/>
      <c r="AR382" s="1207"/>
      <c r="AS382" s="1207"/>
      <c r="AT382" s="1207"/>
      <c r="AU382" s="1207"/>
      <c r="AV382" s="1207"/>
      <c r="AW382" s="1207"/>
      <c r="AX382" s="1207"/>
      <c r="AY382" s="1207"/>
      <c r="AZ382" s="1207"/>
      <c r="BA382" s="1207"/>
      <c r="BB382" s="1207"/>
      <c r="BC382" s="1207"/>
      <c r="BD382" s="1207"/>
      <c r="BE382" s="1207"/>
      <c r="BF382" s="1207"/>
      <c r="BG382" s="1207"/>
      <c r="BH382" s="1207"/>
      <c r="BI382" s="1207"/>
      <c r="BJ382" s="1207"/>
      <c r="BK382" s="1207"/>
      <c r="BL382" s="1207"/>
      <c r="BM382" s="1207"/>
      <c r="BN382" s="1207"/>
      <c r="BO382" s="1207"/>
      <c r="BP382" s="1207"/>
      <c r="BQ382" s="1207"/>
      <c r="BR382" s="1207"/>
      <c r="BS382" s="1207"/>
      <c r="BT382" s="1207"/>
      <c r="BU382" s="1207"/>
      <c r="BV382" s="1207"/>
      <c r="BW382" s="1207"/>
      <c r="BX382" s="1207"/>
      <c r="BY382" s="1207"/>
      <c r="BZ382" s="1207"/>
      <c r="CA382" s="1207"/>
      <c r="CB382" s="1207"/>
      <c r="CC382" s="1207"/>
      <c r="CD382" s="1207"/>
      <c r="CE382" s="1207"/>
      <c r="CF382" s="1207"/>
    </row>
    <row r="383" spans="1:84" ht="105" x14ac:dyDescent="0.25">
      <c r="A383" s="1355">
        <v>2022412</v>
      </c>
      <c r="B383" s="1172">
        <v>7658</v>
      </c>
      <c r="C383" s="1356" t="s">
        <v>679</v>
      </c>
      <c r="D383" s="1190" t="s">
        <v>692</v>
      </c>
      <c r="E383" s="1174">
        <v>80111600</v>
      </c>
      <c r="F383" s="1380" t="s">
        <v>1055</v>
      </c>
      <c r="G383" s="1381">
        <v>44562</v>
      </c>
      <c r="H383" s="1381">
        <v>44592</v>
      </c>
      <c r="I383" s="1176">
        <v>10</v>
      </c>
      <c r="J383" s="1176" t="s">
        <v>673</v>
      </c>
      <c r="K383" s="1177" t="s">
        <v>674</v>
      </c>
      <c r="L383" s="1178" t="s">
        <v>675</v>
      </c>
      <c r="M383" s="1179">
        <v>42000000</v>
      </c>
      <c r="N383" s="1382" t="s">
        <v>1035</v>
      </c>
      <c r="O383" s="1174" t="s">
        <v>1036</v>
      </c>
      <c r="P383" s="1207" t="s">
        <v>678</v>
      </c>
      <c r="Q383" s="1163"/>
      <c r="R383" s="1357">
        <v>42000000</v>
      </c>
      <c r="S383" s="1357">
        <v>42000000</v>
      </c>
      <c r="T383" s="1357">
        <f>+Tabla16[[#This Row],[CDPS A 31 JULIO 2022]]-Tabla16[[#This Row],[CDP]]</f>
        <v>0</v>
      </c>
      <c r="U383" s="1357">
        <v>42000000</v>
      </c>
      <c r="V383" s="1357">
        <v>18620000</v>
      </c>
      <c r="W383" s="1357"/>
      <c r="X383" s="1207"/>
      <c r="Y383" s="1207"/>
      <c r="Z383" s="1207"/>
      <c r="AA383" s="1207"/>
      <c r="AB383" s="1207"/>
      <c r="AC383" s="1207"/>
      <c r="AD383" s="1207"/>
      <c r="AE383" s="1207"/>
      <c r="AF383" s="1207"/>
      <c r="AG383" s="1207"/>
      <c r="AH383" s="1207"/>
      <c r="AI383" s="1207"/>
      <c r="AJ383" s="1207"/>
      <c r="AK383" s="1207"/>
      <c r="AL383" s="1207"/>
      <c r="AM383" s="1207"/>
      <c r="AN383" s="1207"/>
      <c r="AO383" s="1207"/>
      <c r="AP383" s="1207"/>
      <c r="AQ383" s="1207"/>
      <c r="AR383" s="1207"/>
      <c r="AS383" s="1207"/>
      <c r="AT383" s="1207"/>
      <c r="AU383" s="1207"/>
      <c r="AV383" s="1207"/>
      <c r="AW383" s="1207"/>
      <c r="AX383" s="1207"/>
      <c r="AY383" s="1207"/>
      <c r="AZ383" s="1207"/>
      <c r="BA383" s="1207"/>
      <c r="BB383" s="1207"/>
      <c r="BC383" s="1207"/>
      <c r="BD383" s="1207"/>
      <c r="BE383" s="1207"/>
      <c r="BF383" s="1207"/>
      <c r="BG383" s="1207"/>
      <c r="BH383" s="1207"/>
      <c r="BI383" s="1207"/>
      <c r="BJ383" s="1207"/>
      <c r="BK383" s="1207"/>
      <c r="BL383" s="1207"/>
      <c r="BM383" s="1207"/>
      <c r="BN383" s="1207"/>
      <c r="BO383" s="1207"/>
      <c r="BP383" s="1207"/>
      <c r="BQ383" s="1207"/>
      <c r="BR383" s="1207"/>
      <c r="BS383" s="1207"/>
      <c r="BT383" s="1207"/>
      <c r="BU383" s="1207"/>
      <c r="BV383" s="1207"/>
      <c r="BW383" s="1207"/>
      <c r="BX383" s="1207"/>
      <c r="BY383" s="1207"/>
      <c r="BZ383" s="1207"/>
      <c r="CA383" s="1207"/>
      <c r="CB383" s="1207"/>
      <c r="CC383" s="1207"/>
      <c r="CD383" s="1207"/>
      <c r="CE383" s="1207"/>
      <c r="CF383" s="1207"/>
    </row>
    <row r="384" spans="1:84" ht="105" x14ac:dyDescent="0.25">
      <c r="A384" s="1355">
        <v>2022413</v>
      </c>
      <c r="B384" s="1172">
        <v>7658</v>
      </c>
      <c r="C384" s="1356" t="s">
        <v>679</v>
      </c>
      <c r="D384" s="1190" t="s">
        <v>692</v>
      </c>
      <c r="E384" s="1174">
        <v>80111600</v>
      </c>
      <c r="F384" s="1380" t="s">
        <v>1056</v>
      </c>
      <c r="G384" s="1381">
        <v>44562</v>
      </c>
      <c r="H384" s="1381">
        <v>44592</v>
      </c>
      <c r="I384" s="1176">
        <v>10</v>
      </c>
      <c r="J384" s="1176" t="s">
        <v>673</v>
      </c>
      <c r="K384" s="1177" t="s">
        <v>674</v>
      </c>
      <c r="L384" s="1178" t="s">
        <v>675</v>
      </c>
      <c r="M384" s="1179">
        <v>82400000</v>
      </c>
      <c r="N384" s="1382" t="s">
        <v>1035</v>
      </c>
      <c r="O384" s="1174" t="s">
        <v>1036</v>
      </c>
      <c r="P384" s="1207" t="s">
        <v>678</v>
      </c>
      <c r="Q384" s="1163"/>
      <c r="R384" s="1357">
        <v>82400000</v>
      </c>
      <c r="S384" s="1357">
        <v>82400000</v>
      </c>
      <c r="T384" s="1357">
        <f>+Tabla16[[#This Row],[CDPS A 31 JULIO 2022]]-Tabla16[[#This Row],[CDP]]</f>
        <v>0</v>
      </c>
      <c r="U384" s="1357">
        <v>82400000</v>
      </c>
      <c r="V384" s="1357">
        <v>34882667</v>
      </c>
      <c r="W384" s="1357"/>
      <c r="X384" s="1207"/>
      <c r="Y384" s="1207"/>
      <c r="Z384" s="1207"/>
      <c r="AA384" s="1207"/>
      <c r="AB384" s="1207"/>
      <c r="AC384" s="1207"/>
      <c r="AD384" s="1207"/>
      <c r="AE384" s="1207"/>
      <c r="AF384" s="1207"/>
      <c r="AG384" s="1207"/>
      <c r="AH384" s="1207"/>
      <c r="AI384" s="1207"/>
      <c r="AJ384" s="1207"/>
      <c r="AK384" s="1207"/>
      <c r="AL384" s="1207"/>
      <c r="AM384" s="1207"/>
      <c r="AN384" s="1207"/>
      <c r="AO384" s="1207"/>
      <c r="AP384" s="1207"/>
      <c r="AQ384" s="1207"/>
      <c r="AR384" s="1207"/>
      <c r="AS384" s="1207"/>
      <c r="AT384" s="1207"/>
      <c r="AU384" s="1207"/>
      <c r="AV384" s="1207"/>
      <c r="AW384" s="1207"/>
      <c r="AX384" s="1207"/>
      <c r="AY384" s="1207"/>
      <c r="AZ384" s="1207"/>
      <c r="BA384" s="1207"/>
      <c r="BB384" s="1207"/>
      <c r="BC384" s="1207"/>
      <c r="BD384" s="1207"/>
      <c r="BE384" s="1207"/>
      <c r="BF384" s="1207"/>
      <c r="BG384" s="1207"/>
      <c r="BH384" s="1207"/>
      <c r="BI384" s="1207"/>
      <c r="BJ384" s="1207"/>
      <c r="BK384" s="1207"/>
      <c r="BL384" s="1207"/>
      <c r="BM384" s="1207"/>
      <c r="BN384" s="1207"/>
      <c r="BO384" s="1207"/>
      <c r="BP384" s="1207"/>
      <c r="BQ384" s="1207"/>
      <c r="BR384" s="1207"/>
      <c r="BS384" s="1207"/>
      <c r="BT384" s="1207"/>
      <c r="BU384" s="1207"/>
      <c r="BV384" s="1207"/>
      <c r="BW384" s="1207"/>
      <c r="BX384" s="1207"/>
      <c r="BY384" s="1207"/>
      <c r="BZ384" s="1207"/>
      <c r="CA384" s="1207"/>
      <c r="CB384" s="1207"/>
      <c r="CC384" s="1207"/>
      <c r="CD384" s="1207"/>
      <c r="CE384" s="1207"/>
      <c r="CF384" s="1207"/>
    </row>
    <row r="385" spans="1:84" ht="105" x14ac:dyDescent="0.25">
      <c r="A385" s="1355">
        <v>2022414</v>
      </c>
      <c r="B385" s="1172">
        <v>7658</v>
      </c>
      <c r="C385" s="1356" t="s">
        <v>679</v>
      </c>
      <c r="D385" s="1190" t="s">
        <v>692</v>
      </c>
      <c r="E385" s="1174">
        <v>80111600</v>
      </c>
      <c r="F385" s="1380" t="s">
        <v>1057</v>
      </c>
      <c r="G385" s="1381">
        <v>44562</v>
      </c>
      <c r="H385" s="1381">
        <v>44592</v>
      </c>
      <c r="I385" s="1176">
        <v>10</v>
      </c>
      <c r="J385" s="1176" t="s">
        <v>673</v>
      </c>
      <c r="K385" s="1177" t="s">
        <v>674</v>
      </c>
      <c r="L385" s="1178" t="s">
        <v>675</v>
      </c>
      <c r="M385" s="1179">
        <v>42000000</v>
      </c>
      <c r="N385" s="1382" t="s">
        <v>1035</v>
      </c>
      <c r="O385" s="1174" t="s">
        <v>1036</v>
      </c>
      <c r="P385" s="1207" t="s">
        <v>678</v>
      </c>
      <c r="Q385" s="1163"/>
      <c r="R385" s="1357">
        <v>42000000</v>
      </c>
      <c r="S385" s="1357">
        <v>42000000</v>
      </c>
      <c r="T385" s="1357">
        <f>+Tabla16[[#This Row],[CDPS A 31 JULIO 2022]]-Tabla16[[#This Row],[CDP]]</f>
        <v>0</v>
      </c>
      <c r="U385" s="1357">
        <v>42000000</v>
      </c>
      <c r="V385" s="1357">
        <v>18620000</v>
      </c>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84" ht="105" x14ac:dyDescent="0.25">
      <c r="A386" s="1355">
        <v>2022415</v>
      </c>
      <c r="B386" s="1172">
        <v>7658</v>
      </c>
      <c r="C386" s="1356" t="s">
        <v>679</v>
      </c>
      <c r="D386" s="1190" t="s">
        <v>692</v>
      </c>
      <c r="E386" s="1174">
        <v>80111600</v>
      </c>
      <c r="F386" s="1380" t="s">
        <v>1058</v>
      </c>
      <c r="G386" s="1381">
        <v>44562</v>
      </c>
      <c r="H386" s="1381">
        <v>44592</v>
      </c>
      <c r="I386" s="1176">
        <v>10</v>
      </c>
      <c r="J386" s="1176" t="s">
        <v>673</v>
      </c>
      <c r="K386" s="1177" t="s">
        <v>674</v>
      </c>
      <c r="L386" s="1178" t="s">
        <v>675</v>
      </c>
      <c r="M386" s="1179">
        <v>50000000</v>
      </c>
      <c r="N386" s="1382" t="s">
        <v>1035</v>
      </c>
      <c r="O386" s="1174" t="s">
        <v>1036</v>
      </c>
      <c r="P386" s="1207" t="s">
        <v>678</v>
      </c>
      <c r="Q386" s="1163"/>
      <c r="R386" s="1357">
        <v>50000000</v>
      </c>
      <c r="S386" s="1357">
        <v>50000000</v>
      </c>
      <c r="T386" s="1357">
        <f>+Tabla16[[#This Row],[CDPS A 31 JULIO 2022]]-Tabla16[[#This Row],[CDP]]</f>
        <v>0</v>
      </c>
      <c r="U386" s="1357">
        <v>50000000</v>
      </c>
      <c r="V386" s="1357">
        <v>20666667</v>
      </c>
      <c r="W386" s="1357"/>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84" ht="105" x14ac:dyDescent="0.25">
      <c r="A387" s="1355">
        <v>2022416</v>
      </c>
      <c r="B387" s="1172">
        <v>7658</v>
      </c>
      <c r="C387" s="1356" t="s">
        <v>679</v>
      </c>
      <c r="D387" s="1190" t="s">
        <v>692</v>
      </c>
      <c r="E387" s="1174">
        <v>80111600</v>
      </c>
      <c r="F387" s="1380" t="s">
        <v>1059</v>
      </c>
      <c r="G387" s="1381">
        <v>44562</v>
      </c>
      <c r="H387" s="1381">
        <v>44592</v>
      </c>
      <c r="I387" s="1176">
        <v>6</v>
      </c>
      <c r="J387" s="1176" t="s">
        <v>673</v>
      </c>
      <c r="K387" s="1177" t="s">
        <v>674</v>
      </c>
      <c r="L387" s="1178" t="s">
        <v>675</v>
      </c>
      <c r="M387" s="1179">
        <f>20100000-6700000</f>
        <v>13400000</v>
      </c>
      <c r="N387" s="1382" t="s">
        <v>1035</v>
      </c>
      <c r="O387" s="1174" t="s">
        <v>1036</v>
      </c>
      <c r="P387" s="1207" t="s">
        <v>678</v>
      </c>
      <c r="Q387" s="1163"/>
      <c r="R387" s="1357">
        <v>13400000</v>
      </c>
      <c r="S387" s="1357">
        <v>13400000</v>
      </c>
      <c r="T387" s="1357">
        <f>+Tabla16[[#This Row],[CDPS A 31 JULIO 2022]]-Tabla16[[#This Row],[CDP]]</f>
        <v>0</v>
      </c>
      <c r="U387" s="1357">
        <v>13400000</v>
      </c>
      <c r="V387" s="1357">
        <v>13400000</v>
      </c>
      <c r="W387" s="1357"/>
      <c r="X387" s="1207"/>
      <c r="Y387" s="1207"/>
      <c r="Z387" s="1207"/>
      <c r="AA387" s="1207"/>
      <c r="AB387" s="1207"/>
      <c r="AC387" s="1207"/>
      <c r="AD387" s="1207"/>
      <c r="AE387" s="1207"/>
      <c r="AF387" s="1207"/>
      <c r="AG387" s="1207"/>
      <c r="AH387" s="1207"/>
      <c r="AI387" s="1207"/>
      <c r="AJ387" s="1207"/>
      <c r="AK387" s="1207"/>
      <c r="AL387" s="1207"/>
      <c r="AM387" s="1207"/>
      <c r="AN387" s="1207"/>
      <c r="AO387" s="1207"/>
      <c r="AP387" s="1207"/>
      <c r="AQ387" s="1207"/>
      <c r="AR387" s="1207"/>
      <c r="AS387" s="1207"/>
      <c r="AT387" s="1207"/>
      <c r="AU387" s="1207"/>
      <c r="AV387" s="1207"/>
      <c r="AW387" s="1207"/>
      <c r="AX387" s="1207"/>
      <c r="AY387" s="1207"/>
      <c r="AZ387" s="1207"/>
      <c r="BA387" s="1207"/>
      <c r="BB387" s="1207"/>
      <c r="BC387" s="1207"/>
      <c r="BD387" s="1207"/>
      <c r="BE387" s="1207"/>
      <c r="BF387" s="1207"/>
      <c r="BG387" s="1207"/>
      <c r="BH387" s="1207"/>
      <c r="BI387" s="1207"/>
      <c r="BJ387" s="1207"/>
      <c r="BK387" s="1207"/>
      <c r="BL387" s="1207"/>
      <c r="BM387" s="1207"/>
      <c r="BN387" s="1207"/>
      <c r="BO387" s="1207"/>
      <c r="BP387" s="1207"/>
      <c r="BQ387" s="1207"/>
      <c r="BR387" s="1207"/>
      <c r="BS387" s="1207"/>
      <c r="BT387" s="1207"/>
      <c r="BU387" s="1207"/>
      <c r="BV387" s="1207"/>
      <c r="BW387" s="1207"/>
      <c r="BX387" s="1207"/>
      <c r="BY387" s="1207"/>
      <c r="BZ387" s="1207"/>
      <c r="CA387" s="1207"/>
      <c r="CB387" s="1207"/>
      <c r="CC387" s="1207"/>
      <c r="CD387" s="1207"/>
      <c r="CE387" s="1207"/>
      <c r="CF387" s="1207"/>
    </row>
    <row r="388" spans="1:84" ht="105" x14ac:dyDescent="0.25">
      <c r="A388" s="1355">
        <v>2022417</v>
      </c>
      <c r="B388" s="1172">
        <v>7658</v>
      </c>
      <c r="C388" s="1356" t="s">
        <v>679</v>
      </c>
      <c r="D388" s="1190" t="s">
        <v>692</v>
      </c>
      <c r="E388" s="1174">
        <v>80111600</v>
      </c>
      <c r="F388" s="1380" t="s">
        <v>1060</v>
      </c>
      <c r="G388" s="1381">
        <v>44562</v>
      </c>
      <c r="H388" s="1381">
        <v>44592</v>
      </c>
      <c r="I388" s="1176">
        <v>4</v>
      </c>
      <c r="J388" s="1176" t="s">
        <v>673</v>
      </c>
      <c r="K388" s="1177" t="s">
        <v>674</v>
      </c>
      <c r="L388" s="1178" t="s">
        <v>675</v>
      </c>
      <c r="M388" s="1179">
        <v>20600000</v>
      </c>
      <c r="N388" s="1382" t="s">
        <v>1035</v>
      </c>
      <c r="O388" s="1174" t="s">
        <v>1036</v>
      </c>
      <c r="P388" s="1207" t="s">
        <v>678</v>
      </c>
      <c r="Q388" s="1163"/>
      <c r="R388" s="1357">
        <v>20600000</v>
      </c>
      <c r="S388" s="1357">
        <v>20600000</v>
      </c>
      <c r="T388" s="1357">
        <f>+Tabla16[[#This Row],[CDPS A 31 JULIO 2022]]-Tabla16[[#This Row],[CDP]]</f>
        <v>0</v>
      </c>
      <c r="U388" s="1357">
        <v>20600000</v>
      </c>
      <c r="V388" s="1357">
        <v>17853333</v>
      </c>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84" ht="105" x14ac:dyDescent="0.25">
      <c r="A389" s="1400">
        <v>2022418</v>
      </c>
      <c r="B389" s="1401">
        <v>7658</v>
      </c>
      <c r="C389" s="1402" t="s">
        <v>679</v>
      </c>
      <c r="D389" s="1403" t="s">
        <v>692</v>
      </c>
      <c r="E389" s="1404">
        <v>80111600</v>
      </c>
      <c r="F389" s="1405" t="s">
        <v>1060</v>
      </c>
      <c r="G389" s="1406">
        <v>44562</v>
      </c>
      <c r="H389" s="1406">
        <v>44592</v>
      </c>
      <c r="I389" s="1407">
        <v>6</v>
      </c>
      <c r="J389" s="1407" t="s">
        <v>673</v>
      </c>
      <c r="K389" s="1408" t="s">
        <v>674</v>
      </c>
      <c r="L389" s="1409" t="s">
        <v>675</v>
      </c>
      <c r="M389" s="1410">
        <f>30900000-5150000</f>
        <v>25750000</v>
      </c>
      <c r="N389" s="1411" t="s">
        <v>1035</v>
      </c>
      <c r="O389" s="1404" t="s">
        <v>1036</v>
      </c>
      <c r="P389" s="1412" t="s">
        <v>678</v>
      </c>
      <c r="Q389" s="1163"/>
      <c r="R389" s="1357">
        <v>25750000</v>
      </c>
      <c r="S389" s="1357"/>
      <c r="T389" s="1357">
        <f>+Tabla16[[#This Row],[CDPS A 31 JULIO 2022]]-Tabla16[[#This Row],[CDP]]</f>
        <v>25750000</v>
      </c>
      <c r="U389" s="1357"/>
      <c r="V389" s="1357"/>
      <c r="W389" s="1357" t="s">
        <v>1061</v>
      </c>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84" ht="105" x14ac:dyDescent="0.25">
      <c r="A390" s="1355">
        <v>2022419</v>
      </c>
      <c r="B390" s="1172">
        <v>7658</v>
      </c>
      <c r="C390" s="1356" t="s">
        <v>679</v>
      </c>
      <c r="D390" s="1190" t="s">
        <v>692</v>
      </c>
      <c r="E390" s="1174">
        <v>80111600</v>
      </c>
      <c r="F390" s="1380" t="s">
        <v>1062</v>
      </c>
      <c r="G390" s="1381">
        <v>44562</v>
      </c>
      <c r="H390" s="1381">
        <v>44592</v>
      </c>
      <c r="I390" s="1176">
        <v>10</v>
      </c>
      <c r="J390" s="1176" t="s">
        <v>673</v>
      </c>
      <c r="K390" s="1177" t="s">
        <v>674</v>
      </c>
      <c r="L390" s="1178" t="s">
        <v>675</v>
      </c>
      <c r="M390" s="1179">
        <v>28000000</v>
      </c>
      <c r="N390" s="1382" t="s">
        <v>1035</v>
      </c>
      <c r="O390" s="1174" t="s">
        <v>1036</v>
      </c>
      <c r="P390" s="1207" t="s">
        <v>678</v>
      </c>
      <c r="Q390" s="1163"/>
      <c r="R390" s="1357">
        <v>28000000</v>
      </c>
      <c r="S390" s="1357">
        <v>28000000</v>
      </c>
      <c r="T390" s="1357">
        <f>+Tabla16[[#This Row],[CDPS A 31 JULIO 2022]]-Tabla16[[#This Row],[CDP]]</f>
        <v>0</v>
      </c>
      <c r="U390" s="1357">
        <v>28000000</v>
      </c>
      <c r="V390" s="1357">
        <v>11853333</v>
      </c>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84" ht="105" x14ac:dyDescent="0.25">
      <c r="A391" s="1355">
        <v>2022420</v>
      </c>
      <c r="B391" s="1172">
        <v>7658</v>
      </c>
      <c r="C391" s="1356" t="s">
        <v>679</v>
      </c>
      <c r="D391" s="1190" t="s">
        <v>692</v>
      </c>
      <c r="E391" s="1174">
        <v>80111600</v>
      </c>
      <c r="F391" s="1380" t="s">
        <v>1063</v>
      </c>
      <c r="G391" s="1381">
        <v>44562</v>
      </c>
      <c r="H391" s="1381">
        <v>44592</v>
      </c>
      <c r="I391" s="1176">
        <v>10</v>
      </c>
      <c r="J391" s="1176" t="s">
        <v>673</v>
      </c>
      <c r="K391" s="1177" t="s">
        <v>674</v>
      </c>
      <c r="L391" s="1178" t="s">
        <v>675</v>
      </c>
      <c r="M391" s="1179">
        <v>28500000</v>
      </c>
      <c r="N391" s="1382" t="s">
        <v>1035</v>
      </c>
      <c r="O391" s="1174" t="s">
        <v>1036</v>
      </c>
      <c r="P391" s="1207" t="s">
        <v>678</v>
      </c>
      <c r="Q391" s="1163"/>
      <c r="R391" s="1357">
        <v>28500000</v>
      </c>
      <c r="S391" s="1357">
        <v>28500000</v>
      </c>
      <c r="T391" s="1357">
        <f>+Tabla16[[#This Row],[CDPS A 31 JULIO 2022]]-Tabla16[[#This Row],[CDP]]</f>
        <v>0</v>
      </c>
      <c r="U391" s="1357">
        <v>28500000</v>
      </c>
      <c r="V391" s="1357">
        <v>12635000</v>
      </c>
      <c r="W391" s="135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84" ht="105" x14ac:dyDescent="0.25">
      <c r="A392" s="1355">
        <v>2022421</v>
      </c>
      <c r="B392" s="1172">
        <v>7658</v>
      </c>
      <c r="C392" s="1356" t="s">
        <v>679</v>
      </c>
      <c r="D392" s="1190" t="s">
        <v>692</v>
      </c>
      <c r="E392" s="1174">
        <v>80111600</v>
      </c>
      <c r="F392" s="1380" t="s">
        <v>1064</v>
      </c>
      <c r="G392" s="1381">
        <v>44562</v>
      </c>
      <c r="H392" s="1381">
        <v>44592</v>
      </c>
      <c r="I392" s="1176">
        <v>10</v>
      </c>
      <c r="J392" s="1176" t="s">
        <v>673</v>
      </c>
      <c r="K392" s="1177" t="s">
        <v>674</v>
      </c>
      <c r="L392" s="1178" t="s">
        <v>675</v>
      </c>
      <c r="M392" s="1179">
        <f>45000000-6500000</f>
        <v>38500000</v>
      </c>
      <c r="N392" s="1382" t="s">
        <v>1035</v>
      </c>
      <c r="O392" s="1174" t="s">
        <v>1036</v>
      </c>
      <c r="P392" s="1207" t="s">
        <v>678</v>
      </c>
      <c r="Q392" s="1163"/>
      <c r="R392" s="1357">
        <v>38500000</v>
      </c>
      <c r="S392" s="1357">
        <v>38500000</v>
      </c>
      <c r="T392" s="1357">
        <f>+Tabla16[[#This Row],[CDPS A 31 JULIO 2022]]-Tabla16[[#This Row],[CDP]]</f>
        <v>0</v>
      </c>
      <c r="U392" s="1357">
        <v>38500000</v>
      </c>
      <c r="V392" s="1357">
        <v>15913333</v>
      </c>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84" ht="105" x14ac:dyDescent="0.25">
      <c r="A393" s="1355">
        <v>2022422</v>
      </c>
      <c r="B393" s="1172">
        <v>7658</v>
      </c>
      <c r="C393" s="1356" t="s">
        <v>679</v>
      </c>
      <c r="D393" s="1190" t="s">
        <v>692</v>
      </c>
      <c r="E393" s="1174">
        <v>80111600</v>
      </c>
      <c r="F393" s="1380" t="s">
        <v>1065</v>
      </c>
      <c r="G393" s="1381">
        <v>44562</v>
      </c>
      <c r="H393" s="1381">
        <v>44592</v>
      </c>
      <c r="I393" s="1176">
        <v>10</v>
      </c>
      <c r="J393" s="1176" t="s">
        <v>673</v>
      </c>
      <c r="K393" s="1177" t="s">
        <v>674</v>
      </c>
      <c r="L393" s="1178" t="s">
        <v>675</v>
      </c>
      <c r="M393" s="1179">
        <f>33000000-18300000</f>
        <v>14700000</v>
      </c>
      <c r="N393" s="1382" t="s">
        <v>1035</v>
      </c>
      <c r="O393" s="1174" t="s">
        <v>1036</v>
      </c>
      <c r="P393" s="1207" t="s">
        <v>678</v>
      </c>
      <c r="Q393" s="1163"/>
      <c r="R393" s="1357">
        <v>33000000</v>
      </c>
      <c r="S393" s="1357">
        <v>33000000</v>
      </c>
      <c r="T393" s="1357">
        <f>+Tabla16[[#This Row],[CDPS A 31 JULIO 2022]]-Tabla16[[#This Row],[CDP]]</f>
        <v>0</v>
      </c>
      <c r="U393" s="1357">
        <v>33000000</v>
      </c>
      <c r="V393" s="1357">
        <v>14300000</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84" ht="105" x14ac:dyDescent="0.25">
      <c r="A394" s="1355">
        <v>2022423</v>
      </c>
      <c r="B394" s="1172">
        <v>7658</v>
      </c>
      <c r="C394" s="1356" t="s">
        <v>679</v>
      </c>
      <c r="D394" s="1190" t="s">
        <v>692</v>
      </c>
      <c r="E394" s="1174">
        <v>80111600</v>
      </c>
      <c r="F394" s="1380" t="s">
        <v>1065</v>
      </c>
      <c r="G394" s="1381">
        <v>44562</v>
      </c>
      <c r="H394" s="1381">
        <v>44592</v>
      </c>
      <c r="I394" s="1176">
        <v>10</v>
      </c>
      <c r="J394" s="1176" t="s">
        <v>673</v>
      </c>
      <c r="K394" s="1177" t="s">
        <v>674</v>
      </c>
      <c r="L394" s="1178" t="s">
        <v>675</v>
      </c>
      <c r="M394" s="1179">
        <v>24500000</v>
      </c>
      <c r="N394" s="1382" t="s">
        <v>1035</v>
      </c>
      <c r="O394" s="1174" t="s">
        <v>1036</v>
      </c>
      <c r="P394" s="1207" t="s">
        <v>678</v>
      </c>
      <c r="Q394" s="1163"/>
      <c r="R394" s="1357">
        <v>24500000</v>
      </c>
      <c r="S394" s="1357">
        <v>24500000</v>
      </c>
      <c r="T394" s="1357">
        <f>+Tabla16[[#This Row],[CDPS A 31 JULIO 2022]]-Tabla16[[#This Row],[CDP]]</f>
        <v>0</v>
      </c>
      <c r="U394" s="1357">
        <v>24500000</v>
      </c>
      <c r="V394" s="1357">
        <v>10208333</v>
      </c>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84" ht="105" x14ac:dyDescent="0.25">
      <c r="A395" s="1355">
        <v>2022424</v>
      </c>
      <c r="B395" s="1172">
        <v>7658</v>
      </c>
      <c r="C395" s="1356" t="s">
        <v>679</v>
      </c>
      <c r="D395" s="1190" t="s">
        <v>692</v>
      </c>
      <c r="E395" s="1174">
        <v>80111600</v>
      </c>
      <c r="F395" s="1380" t="s">
        <v>1065</v>
      </c>
      <c r="G395" s="1381">
        <v>44562</v>
      </c>
      <c r="H395" s="1381">
        <v>44592</v>
      </c>
      <c r="I395" s="1176">
        <v>10</v>
      </c>
      <c r="J395" s="1176" t="s">
        <v>673</v>
      </c>
      <c r="K395" s="1177" t="s">
        <v>674</v>
      </c>
      <c r="L395" s="1178" t="s">
        <v>675</v>
      </c>
      <c r="M395" s="1179">
        <v>33000000</v>
      </c>
      <c r="N395" s="1382" t="s">
        <v>1035</v>
      </c>
      <c r="O395" s="1174" t="s">
        <v>1036</v>
      </c>
      <c r="P395" s="1207" t="s">
        <v>678</v>
      </c>
      <c r="Q395" s="1163"/>
      <c r="R395" s="1357">
        <v>19800000</v>
      </c>
      <c r="S395" s="1357">
        <v>19800000</v>
      </c>
      <c r="T395" s="1357">
        <f>+Tabla16[[#This Row],[CDPS A 31 JULIO 2022]]-Tabla16[[#This Row],[CDP]]</f>
        <v>0</v>
      </c>
      <c r="U395" s="1357">
        <v>19800000</v>
      </c>
      <c r="V395" s="1357">
        <v>13200000</v>
      </c>
      <c r="W395" s="1357"/>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84" ht="105" x14ac:dyDescent="0.25">
      <c r="A396" s="1355">
        <v>2022425</v>
      </c>
      <c r="B396" s="1172">
        <v>7658</v>
      </c>
      <c r="C396" s="1356" t="s">
        <v>679</v>
      </c>
      <c r="D396" s="1190" t="s">
        <v>692</v>
      </c>
      <c r="E396" s="1174">
        <v>80111600</v>
      </c>
      <c r="F396" s="1380" t="s">
        <v>1065</v>
      </c>
      <c r="G396" s="1381">
        <v>44562</v>
      </c>
      <c r="H396" s="1381">
        <v>44592</v>
      </c>
      <c r="I396" s="1176">
        <v>10</v>
      </c>
      <c r="J396" s="1176" t="s">
        <v>673</v>
      </c>
      <c r="K396" s="1177" t="s">
        <v>674</v>
      </c>
      <c r="L396" s="1178" t="s">
        <v>675</v>
      </c>
      <c r="M396" s="1179">
        <f>27500000-1100000</f>
        <v>26400000</v>
      </c>
      <c r="N396" s="1382" t="s">
        <v>1035</v>
      </c>
      <c r="O396" s="1174" t="s">
        <v>1036</v>
      </c>
      <c r="P396" s="1207" t="s">
        <v>678</v>
      </c>
      <c r="Q396" s="1163"/>
      <c r="R396" s="1357">
        <v>26400000</v>
      </c>
      <c r="S396" s="1357">
        <v>26400000</v>
      </c>
      <c r="T396" s="1357">
        <f>+Tabla16[[#This Row],[CDPS A 31 JULIO 2022]]-Tabla16[[#This Row],[CDP]]</f>
        <v>0</v>
      </c>
      <c r="U396" s="1357">
        <v>26400000</v>
      </c>
      <c r="V396" s="1357">
        <v>13750000</v>
      </c>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84" ht="105" x14ac:dyDescent="0.25">
      <c r="A397" s="1355">
        <v>2022426</v>
      </c>
      <c r="B397" s="1172">
        <v>7658</v>
      </c>
      <c r="C397" s="1356" t="s">
        <v>679</v>
      </c>
      <c r="D397" s="1190" t="s">
        <v>692</v>
      </c>
      <c r="E397" s="1174">
        <v>80111600</v>
      </c>
      <c r="F397" s="1380" t="s">
        <v>1065</v>
      </c>
      <c r="G397" s="1381">
        <v>44562</v>
      </c>
      <c r="H397" s="1381">
        <v>44592</v>
      </c>
      <c r="I397" s="1176">
        <v>10</v>
      </c>
      <c r="J397" s="1176" t="s">
        <v>673</v>
      </c>
      <c r="K397" s="1177" t="s">
        <v>674</v>
      </c>
      <c r="L397" s="1178" t="s">
        <v>675</v>
      </c>
      <c r="M397" s="1179">
        <v>33000000</v>
      </c>
      <c r="N397" s="1382" t="s">
        <v>1035</v>
      </c>
      <c r="O397" s="1174" t="s">
        <v>1036</v>
      </c>
      <c r="P397" s="1207" t="s">
        <v>678</v>
      </c>
      <c r="Q397" s="1163"/>
      <c r="R397" s="1357">
        <v>14700000</v>
      </c>
      <c r="S397" s="1357">
        <v>14700000</v>
      </c>
      <c r="T397" s="1357">
        <f>+Tabla16[[#This Row],[CDPS A 31 JULIO 2022]]-Tabla16[[#This Row],[CDP]]</f>
        <v>0</v>
      </c>
      <c r="U397" s="1357">
        <v>14700000</v>
      </c>
      <c r="V397" s="1357">
        <v>9800000</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84" ht="105" x14ac:dyDescent="0.25">
      <c r="A398" s="1355">
        <v>2022427</v>
      </c>
      <c r="B398" s="1172">
        <v>7658</v>
      </c>
      <c r="C398" s="1356" t="s">
        <v>679</v>
      </c>
      <c r="D398" s="1190" t="s">
        <v>692</v>
      </c>
      <c r="E398" s="1174">
        <v>80111600</v>
      </c>
      <c r="F398" s="1380" t="s">
        <v>1065</v>
      </c>
      <c r="G398" s="1381">
        <v>44562</v>
      </c>
      <c r="H398" s="1381">
        <v>44592</v>
      </c>
      <c r="I398" s="1176">
        <v>10</v>
      </c>
      <c r="J398" s="1176" t="s">
        <v>673</v>
      </c>
      <c r="K398" s="1177" t="s">
        <v>674</v>
      </c>
      <c r="L398" s="1178" t="s">
        <v>675</v>
      </c>
      <c r="M398" s="1179">
        <f>33000000-13200000</f>
        <v>19800000</v>
      </c>
      <c r="N398" s="1382" t="s">
        <v>1035</v>
      </c>
      <c r="O398" s="1174" t="s">
        <v>1036</v>
      </c>
      <c r="P398" s="1207" t="s">
        <v>678</v>
      </c>
      <c r="Q398" s="1163"/>
      <c r="R398" s="1357">
        <v>33000000</v>
      </c>
      <c r="S398" s="1357">
        <v>33000000</v>
      </c>
      <c r="T398" s="1357">
        <f>+Tabla16[[#This Row],[CDPS A 31 JULIO 2022]]-Tabla16[[#This Row],[CDP]]</f>
        <v>0</v>
      </c>
      <c r="U398" s="1357">
        <v>33000000</v>
      </c>
      <c r="V398" s="1357">
        <v>13750000</v>
      </c>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84" ht="105" x14ac:dyDescent="0.25">
      <c r="A399" s="1355">
        <v>2022428</v>
      </c>
      <c r="B399" s="1172">
        <v>7658</v>
      </c>
      <c r="C399" s="1356" t="s">
        <v>679</v>
      </c>
      <c r="D399" s="1190" t="s">
        <v>692</v>
      </c>
      <c r="E399" s="1174">
        <v>80111600</v>
      </c>
      <c r="F399" s="1380" t="s">
        <v>1062</v>
      </c>
      <c r="G399" s="1381">
        <v>44562</v>
      </c>
      <c r="H399" s="1381">
        <v>44592</v>
      </c>
      <c r="I399" s="1176">
        <v>10</v>
      </c>
      <c r="J399" s="1176" t="s">
        <v>673</v>
      </c>
      <c r="K399" s="1177" t="s">
        <v>674</v>
      </c>
      <c r="L399" s="1178" t="s">
        <v>675</v>
      </c>
      <c r="M399" s="1179">
        <v>28000000</v>
      </c>
      <c r="N399" s="1382" t="s">
        <v>1035</v>
      </c>
      <c r="O399" s="1174" t="s">
        <v>1036</v>
      </c>
      <c r="P399" s="1207" t="s">
        <v>678</v>
      </c>
      <c r="Q399" s="1163"/>
      <c r="R399" s="1357">
        <v>28000000</v>
      </c>
      <c r="S399" s="1357">
        <v>28000000</v>
      </c>
      <c r="T399" s="1357">
        <f>+Tabla16[[#This Row],[CDPS A 31 JULIO 2022]]-Tabla16[[#This Row],[CDP]]</f>
        <v>0</v>
      </c>
      <c r="U399" s="1357">
        <v>28000000</v>
      </c>
      <c r="V399" s="1357">
        <v>12226667</v>
      </c>
      <c r="W399" s="1357"/>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84" ht="105" x14ac:dyDescent="0.25">
      <c r="A400" s="1355">
        <v>2022429</v>
      </c>
      <c r="B400" s="1172">
        <v>7658</v>
      </c>
      <c r="C400" s="1356" t="s">
        <v>679</v>
      </c>
      <c r="D400" s="1190" t="s">
        <v>692</v>
      </c>
      <c r="E400" s="1174">
        <v>80111600</v>
      </c>
      <c r="F400" s="1380" t="s">
        <v>1062</v>
      </c>
      <c r="G400" s="1381">
        <v>44562</v>
      </c>
      <c r="H400" s="1381">
        <v>44592</v>
      </c>
      <c r="I400" s="1176">
        <v>10</v>
      </c>
      <c r="J400" s="1176" t="s">
        <v>673</v>
      </c>
      <c r="K400" s="1177" t="s">
        <v>674</v>
      </c>
      <c r="L400" s="1178" t="s">
        <v>675</v>
      </c>
      <c r="M400" s="1179">
        <v>28000000</v>
      </c>
      <c r="N400" s="1382" t="s">
        <v>1035</v>
      </c>
      <c r="O400" s="1174" t="s">
        <v>1036</v>
      </c>
      <c r="P400" s="1207" t="s">
        <v>678</v>
      </c>
      <c r="Q400" s="1163"/>
      <c r="R400" s="1357">
        <v>28000000</v>
      </c>
      <c r="S400" s="1357">
        <v>28000000</v>
      </c>
      <c r="T400" s="1357">
        <f>+Tabla16[[#This Row],[CDPS A 31 JULIO 2022]]-Tabla16[[#This Row],[CDP]]</f>
        <v>0</v>
      </c>
      <c r="U400" s="1357">
        <v>28000000</v>
      </c>
      <c r="V400" s="1357">
        <v>11666667</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84" ht="105" x14ac:dyDescent="0.25">
      <c r="A401" s="1355">
        <v>2022430</v>
      </c>
      <c r="B401" s="1172">
        <v>7658</v>
      </c>
      <c r="C401" s="1356" t="s">
        <v>679</v>
      </c>
      <c r="D401" s="1190" t="s">
        <v>692</v>
      </c>
      <c r="E401" s="1174">
        <v>80111600</v>
      </c>
      <c r="F401" s="1380" t="s">
        <v>1066</v>
      </c>
      <c r="G401" s="1381">
        <v>44562</v>
      </c>
      <c r="H401" s="1381">
        <v>44592</v>
      </c>
      <c r="I401" s="1176">
        <v>10</v>
      </c>
      <c r="J401" s="1176" t="s">
        <v>673</v>
      </c>
      <c r="K401" s="1177" t="s">
        <v>674</v>
      </c>
      <c r="L401" s="1178" t="s">
        <v>675</v>
      </c>
      <c r="M401" s="1179">
        <v>45000000</v>
      </c>
      <c r="N401" s="1382" t="s">
        <v>1035</v>
      </c>
      <c r="O401" s="1174" t="s">
        <v>1036</v>
      </c>
      <c r="P401" s="1207" t="s">
        <v>678</v>
      </c>
      <c r="Q401" s="1163"/>
      <c r="R401" s="1357">
        <v>45000000</v>
      </c>
      <c r="S401" s="1357">
        <v>45000000</v>
      </c>
      <c r="T401" s="1357">
        <f>+Tabla16[[#This Row],[CDPS A 31 JULIO 2022]]-Tabla16[[#This Row],[CDP]]</f>
        <v>0</v>
      </c>
      <c r="U401" s="1357">
        <v>45000000</v>
      </c>
      <c r="V401" s="1357">
        <v>19500000</v>
      </c>
      <c r="W401" s="1357"/>
      <c r="X401" s="1207"/>
      <c r="Y401" s="1207"/>
      <c r="Z401" s="1207"/>
      <c r="AA401" s="1207"/>
      <c r="AB401" s="1207"/>
      <c r="AC401" s="1207"/>
      <c r="AD401" s="1207"/>
      <c r="AE401" s="1207"/>
      <c r="AF401" s="1207"/>
      <c r="AG401" s="1207"/>
      <c r="AH401" s="1207"/>
      <c r="AI401" s="1207"/>
      <c r="AJ401" s="1207"/>
      <c r="AK401" s="1207"/>
      <c r="AL401" s="1207"/>
      <c r="AM401" s="1207"/>
      <c r="AN401" s="1207"/>
      <c r="AO401" s="1207"/>
      <c r="AP401" s="1207"/>
      <c r="AQ401" s="1207"/>
      <c r="AR401" s="1207"/>
      <c r="AS401" s="1207"/>
      <c r="AT401" s="1207"/>
      <c r="AU401" s="1207"/>
      <c r="AV401" s="1207"/>
      <c r="AW401" s="1207"/>
      <c r="AX401" s="1207"/>
      <c r="AY401" s="1207"/>
      <c r="AZ401" s="1207"/>
      <c r="BA401" s="1207"/>
      <c r="BB401" s="1207"/>
      <c r="BC401" s="1207"/>
      <c r="BD401" s="1207"/>
      <c r="BE401" s="1207"/>
      <c r="BF401" s="1207"/>
      <c r="BG401" s="1207"/>
      <c r="BH401" s="1207"/>
      <c r="BI401" s="1207"/>
      <c r="BJ401" s="1207"/>
      <c r="BK401" s="1207"/>
      <c r="BL401" s="1207"/>
      <c r="BM401" s="1207"/>
      <c r="BN401" s="1207"/>
      <c r="BO401" s="1207"/>
      <c r="BP401" s="1207"/>
      <c r="BQ401" s="1207"/>
      <c r="BR401" s="1207"/>
      <c r="BS401" s="1207"/>
      <c r="BT401" s="1207"/>
      <c r="BU401" s="1207"/>
      <c r="BV401" s="1207"/>
      <c r="BW401" s="1207"/>
      <c r="BX401" s="1207"/>
      <c r="BY401" s="1207"/>
      <c r="BZ401" s="1207"/>
      <c r="CA401" s="1207"/>
      <c r="CB401" s="1207"/>
      <c r="CC401" s="1207"/>
      <c r="CD401" s="1207"/>
      <c r="CE401" s="1207"/>
      <c r="CF401" s="1207"/>
    </row>
    <row r="402" spans="1:84" ht="105" x14ac:dyDescent="0.25">
      <c r="A402" s="1355">
        <v>2022431</v>
      </c>
      <c r="B402" s="1172">
        <v>7658</v>
      </c>
      <c r="C402" s="1356" t="s">
        <v>679</v>
      </c>
      <c r="D402" s="1190" t="s">
        <v>692</v>
      </c>
      <c r="E402" s="1174">
        <v>80111600</v>
      </c>
      <c r="F402" s="1380" t="s">
        <v>1067</v>
      </c>
      <c r="G402" s="1381">
        <v>44562</v>
      </c>
      <c r="H402" s="1381">
        <v>44592</v>
      </c>
      <c r="I402" s="1176">
        <v>10</v>
      </c>
      <c r="J402" s="1176" t="s">
        <v>673</v>
      </c>
      <c r="K402" s="1177" t="s">
        <v>674</v>
      </c>
      <c r="L402" s="1178" t="s">
        <v>675</v>
      </c>
      <c r="M402" s="1179">
        <v>24500000</v>
      </c>
      <c r="N402" s="1382" t="s">
        <v>1035</v>
      </c>
      <c r="O402" s="1174" t="s">
        <v>1036</v>
      </c>
      <c r="P402" s="1207" t="s">
        <v>678</v>
      </c>
      <c r="Q402" s="1163"/>
      <c r="R402" s="1357">
        <v>24500000</v>
      </c>
      <c r="S402" s="1357">
        <v>24500000</v>
      </c>
      <c r="T402" s="1357">
        <f>+Tabla16[[#This Row],[CDPS A 31 JULIO 2022]]-Tabla16[[#This Row],[CDP]]</f>
        <v>0</v>
      </c>
      <c r="U402" s="1357">
        <v>24500000</v>
      </c>
      <c r="V402" s="1357">
        <v>10698333</v>
      </c>
      <c r="W402" s="1357"/>
      <c r="X402" s="1207"/>
      <c r="Y402" s="1207"/>
      <c r="Z402" s="1207"/>
      <c r="AA402" s="1207"/>
      <c r="AB402" s="1207"/>
      <c r="AC402" s="1207"/>
      <c r="AD402" s="1207"/>
      <c r="AE402" s="1207"/>
      <c r="AF402" s="1207"/>
      <c r="AG402" s="1207"/>
      <c r="AH402" s="1207"/>
      <c r="AI402" s="1207"/>
      <c r="AJ402" s="1207"/>
      <c r="AK402" s="1207"/>
      <c r="AL402" s="1207"/>
      <c r="AM402" s="1207"/>
      <c r="AN402" s="1207"/>
      <c r="AO402" s="1207"/>
      <c r="AP402" s="1207"/>
      <c r="AQ402" s="1207"/>
      <c r="AR402" s="1207"/>
      <c r="AS402" s="1207"/>
      <c r="AT402" s="1207"/>
      <c r="AU402" s="1207"/>
      <c r="AV402" s="1207"/>
      <c r="AW402" s="1207"/>
      <c r="AX402" s="1207"/>
      <c r="AY402" s="1207"/>
      <c r="AZ402" s="1207"/>
      <c r="BA402" s="1207"/>
      <c r="BB402" s="1207"/>
      <c r="BC402" s="1207"/>
      <c r="BD402" s="1207"/>
      <c r="BE402" s="1207"/>
      <c r="BF402" s="1207"/>
      <c r="BG402" s="1207"/>
      <c r="BH402" s="1207"/>
      <c r="BI402" s="1207"/>
      <c r="BJ402" s="1207"/>
      <c r="BK402" s="1207"/>
      <c r="BL402" s="1207"/>
      <c r="BM402" s="1207"/>
      <c r="BN402" s="1207"/>
      <c r="BO402" s="1207"/>
      <c r="BP402" s="1207"/>
      <c r="BQ402" s="1207"/>
      <c r="BR402" s="1207"/>
      <c r="BS402" s="1207"/>
      <c r="BT402" s="1207"/>
      <c r="BU402" s="1207"/>
      <c r="BV402" s="1207"/>
      <c r="BW402" s="1207"/>
      <c r="BX402" s="1207"/>
      <c r="BY402" s="1207"/>
      <c r="BZ402" s="1207"/>
      <c r="CA402" s="1207"/>
      <c r="CB402" s="1207"/>
      <c r="CC402" s="1207"/>
      <c r="CD402" s="1207"/>
      <c r="CE402" s="1207"/>
      <c r="CF402" s="1207"/>
    </row>
    <row r="403" spans="1:84" ht="105" x14ac:dyDescent="0.25">
      <c r="A403" s="1355">
        <v>2022432</v>
      </c>
      <c r="B403" s="1172">
        <v>7658</v>
      </c>
      <c r="C403" s="1356" t="s">
        <v>679</v>
      </c>
      <c r="D403" s="1190" t="s">
        <v>692</v>
      </c>
      <c r="E403" s="1174">
        <v>80111600</v>
      </c>
      <c r="F403" s="1380" t="s">
        <v>1067</v>
      </c>
      <c r="G403" s="1381">
        <v>44562</v>
      </c>
      <c r="H403" s="1381">
        <v>44592</v>
      </c>
      <c r="I403" s="1176">
        <v>10</v>
      </c>
      <c r="J403" s="1176" t="s">
        <v>673</v>
      </c>
      <c r="K403" s="1177" t="s">
        <v>674</v>
      </c>
      <c r="L403" s="1178" t="s">
        <v>675</v>
      </c>
      <c r="M403" s="1179">
        <v>33000000</v>
      </c>
      <c r="N403" s="1382" t="s">
        <v>1035</v>
      </c>
      <c r="O403" s="1174" t="s">
        <v>1036</v>
      </c>
      <c r="P403" s="1207" t="s">
        <v>678</v>
      </c>
      <c r="Q403" s="1163"/>
      <c r="R403" s="1357">
        <v>33000000</v>
      </c>
      <c r="S403" s="1357">
        <v>33000000</v>
      </c>
      <c r="T403" s="1357">
        <f>+Tabla16[[#This Row],[CDPS A 31 JULIO 2022]]-Tabla16[[#This Row],[CDP]]</f>
        <v>0</v>
      </c>
      <c r="U403" s="1357">
        <v>33000000</v>
      </c>
      <c r="V403" s="1357">
        <v>14630000</v>
      </c>
      <c r="W403" s="1357"/>
      <c r="X403" s="1207"/>
      <c r="Y403" s="1207"/>
      <c r="Z403" s="1207"/>
      <c r="AA403" s="1207"/>
      <c r="AB403" s="1207"/>
      <c r="AC403" s="1207"/>
      <c r="AD403" s="1207"/>
      <c r="AE403" s="1207"/>
      <c r="AF403" s="1207"/>
      <c r="AG403" s="1207"/>
      <c r="AH403" s="1207"/>
      <c r="AI403" s="1207"/>
      <c r="AJ403" s="1207"/>
      <c r="AK403" s="1207"/>
      <c r="AL403" s="1207"/>
      <c r="AM403" s="1207"/>
      <c r="AN403" s="1207"/>
      <c r="AO403" s="1207"/>
      <c r="AP403" s="1207"/>
      <c r="AQ403" s="1207"/>
      <c r="AR403" s="1207"/>
      <c r="AS403" s="1207"/>
      <c r="AT403" s="1207"/>
      <c r="AU403" s="1207"/>
      <c r="AV403" s="1207"/>
      <c r="AW403" s="1207"/>
      <c r="AX403" s="1207"/>
      <c r="AY403" s="1207"/>
      <c r="AZ403" s="1207"/>
      <c r="BA403" s="1207"/>
      <c r="BB403" s="1207"/>
      <c r="BC403" s="1207"/>
      <c r="BD403" s="1207"/>
      <c r="BE403" s="1207"/>
      <c r="BF403" s="1207"/>
      <c r="BG403" s="1207"/>
      <c r="BH403" s="1207"/>
      <c r="BI403" s="1207"/>
      <c r="BJ403" s="1207"/>
      <c r="BK403" s="1207"/>
      <c r="BL403" s="1207"/>
      <c r="BM403" s="1207"/>
      <c r="BN403" s="1207"/>
      <c r="BO403" s="1207"/>
      <c r="BP403" s="1207"/>
      <c r="BQ403" s="1207"/>
      <c r="BR403" s="1207"/>
      <c r="BS403" s="1207"/>
      <c r="BT403" s="1207"/>
      <c r="BU403" s="1207"/>
      <c r="BV403" s="1207"/>
      <c r="BW403" s="1207"/>
      <c r="BX403" s="1207"/>
      <c r="BY403" s="1207"/>
      <c r="BZ403" s="1207"/>
      <c r="CA403" s="1207"/>
      <c r="CB403" s="1207"/>
      <c r="CC403" s="1207"/>
      <c r="CD403" s="1207"/>
      <c r="CE403" s="1207"/>
      <c r="CF403" s="1207"/>
    </row>
    <row r="404" spans="1:84" ht="105" x14ac:dyDescent="0.25">
      <c r="A404" s="1355">
        <v>2022433</v>
      </c>
      <c r="B404" s="1172">
        <v>7658</v>
      </c>
      <c r="C404" s="1356" t="s">
        <v>679</v>
      </c>
      <c r="D404" s="1190" t="s">
        <v>692</v>
      </c>
      <c r="E404" s="1174">
        <v>80111600</v>
      </c>
      <c r="F404" s="1380" t="s">
        <v>1067</v>
      </c>
      <c r="G404" s="1381">
        <v>44562</v>
      </c>
      <c r="H404" s="1381">
        <v>44592</v>
      </c>
      <c r="I404" s="1176">
        <v>10</v>
      </c>
      <c r="J404" s="1176" t="s">
        <v>673</v>
      </c>
      <c r="K404" s="1177" t="s">
        <v>674</v>
      </c>
      <c r="L404" s="1178" t="s">
        <v>675</v>
      </c>
      <c r="M404" s="1179">
        <v>32000000</v>
      </c>
      <c r="N404" s="1382" t="s">
        <v>1035</v>
      </c>
      <c r="O404" s="1174" t="s">
        <v>1036</v>
      </c>
      <c r="P404" s="1207" t="s">
        <v>678</v>
      </c>
      <c r="Q404" s="1163"/>
      <c r="R404" s="1357">
        <v>32000000</v>
      </c>
      <c r="S404" s="1357">
        <v>32000000</v>
      </c>
      <c r="T404" s="1357">
        <f>+Tabla16[[#This Row],[CDPS A 31 JULIO 2022]]-Tabla16[[#This Row],[CDP]]</f>
        <v>0</v>
      </c>
      <c r="U404" s="1357">
        <v>32000000</v>
      </c>
      <c r="V404" s="1357">
        <v>14080000</v>
      </c>
      <c r="W404" s="1357"/>
      <c r="X404" s="1207"/>
      <c r="Y404" s="1207"/>
      <c r="Z404" s="1207"/>
      <c r="AA404" s="1207"/>
      <c r="AB404" s="1207"/>
      <c r="AC404" s="1207"/>
      <c r="AD404" s="1207"/>
      <c r="AE404" s="1207"/>
      <c r="AF404" s="1207"/>
      <c r="AG404" s="1207"/>
      <c r="AH404" s="1207"/>
      <c r="AI404" s="1207"/>
      <c r="AJ404" s="1207"/>
      <c r="AK404" s="1207"/>
      <c r="AL404" s="1207"/>
      <c r="AM404" s="1207"/>
      <c r="AN404" s="1207"/>
      <c r="AO404" s="1207"/>
      <c r="AP404" s="1207"/>
      <c r="AQ404" s="1207"/>
      <c r="AR404" s="1207"/>
      <c r="AS404" s="1207"/>
      <c r="AT404" s="1207"/>
      <c r="AU404" s="1207"/>
      <c r="AV404" s="1207"/>
      <c r="AW404" s="1207"/>
      <c r="AX404" s="1207"/>
      <c r="AY404" s="1207"/>
      <c r="AZ404" s="1207"/>
      <c r="BA404" s="1207"/>
      <c r="BB404" s="1207"/>
      <c r="BC404" s="1207"/>
      <c r="BD404" s="1207"/>
      <c r="BE404" s="1207"/>
      <c r="BF404" s="1207"/>
      <c r="BG404" s="1207"/>
      <c r="BH404" s="1207"/>
      <c r="BI404" s="1207"/>
      <c r="BJ404" s="1207"/>
      <c r="BK404" s="1207"/>
      <c r="BL404" s="1207"/>
      <c r="BM404" s="1207"/>
      <c r="BN404" s="1207"/>
      <c r="BO404" s="1207"/>
      <c r="BP404" s="1207"/>
      <c r="BQ404" s="1207"/>
      <c r="BR404" s="1207"/>
      <c r="BS404" s="1207"/>
      <c r="BT404" s="1207"/>
      <c r="BU404" s="1207"/>
      <c r="BV404" s="1207"/>
      <c r="BW404" s="1207"/>
      <c r="BX404" s="1207"/>
      <c r="BY404" s="1207"/>
      <c r="BZ404" s="1207"/>
      <c r="CA404" s="1207"/>
      <c r="CB404" s="1207"/>
      <c r="CC404" s="1207"/>
      <c r="CD404" s="1207"/>
      <c r="CE404" s="1207"/>
      <c r="CF404" s="1207"/>
    </row>
    <row r="405" spans="1:84" ht="105" x14ac:dyDescent="0.25">
      <c r="A405" s="1355">
        <v>2022434</v>
      </c>
      <c r="B405" s="1172">
        <v>7658</v>
      </c>
      <c r="C405" s="1356" t="s">
        <v>679</v>
      </c>
      <c r="D405" s="1190" t="s">
        <v>692</v>
      </c>
      <c r="E405" s="1174">
        <v>80111600</v>
      </c>
      <c r="F405" s="1380" t="s">
        <v>1067</v>
      </c>
      <c r="G405" s="1381">
        <v>44562</v>
      </c>
      <c r="H405" s="1381">
        <v>44592</v>
      </c>
      <c r="I405" s="1176">
        <v>10</v>
      </c>
      <c r="J405" s="1176" t="s">
        <v>673</v>
      </c>
      <c r="K405" s="1177" t="s">
        <v>674</v>
      </c>
      <c r="L405" s="1178" t="s">
        <v>675</v>
      </c>
      <c r="M405" s="1179">
        <v>24500000</v>
      </c>
      <c r="N405" s="1382" t="s">
        <v>1035</v>
      </c>
      <c r="O405" s="1174" t="s">
        <v>1036</v>
      </c>
      <c r="P405" s="1207" t="s">
        <v>678</v>
      </c>
      <c r="Q405" s="1163"/>
      <c r="R405" s="1357">
        <v>24500000</v>
      </c>
      <c r="S405" s="1357">
        <v>24500000</v>
      </c>
      <c r="T405" s="1357">
        <f>+Tabla16[[#This Row],[CDPS A 31 JULIO 2022]]-Tabla16[[#This Row],[CDP]]</f>
        <v>0</v>
      </c>
      <c r="U405" s="1357">
        <v>24500000</v>
      </c>
      <c r="V405" s="1357">
        <v>10290000</v>
      </c>
      <c r="W405" s="1357"/>
      <c r="X405" s="1207"/>
      <c r="Y405" s="1207"/>
      <c r="Z405" s="1207"/>
      <c r="AA405" s="1207"/>
      <c r="AB405" s="1207"/>
      <c r="AC405" s="1207"/>
      <c r="AD405" s="1207"/>
      <c r="AE405" s="1207"/>
      <c r="AF405" s="1207"/>
      <c r="AG405" s="1207"/>
      <c r="AH405" s="1207"/>
      <c r="AI405" s="1207"/>
      <c r="AJ405" s="1207"/>
      <c r="AK405" s="1207"/>
      <c r="AL405" s="1207"/>
      <c r="AM405" s="1207"/>
      <c r="AN405" s="1207"/>
      <c r="AO405" s="1207"/>
      <c r="AP405" s="1207"/>
      <c r="AQ405" s="1207"/>
      <c r="AR405" s="1207"/>
      <c r="AS405" s="1207"/>
      <c r="AT405" s="1207"/>
      <c r="AU405" s="1207"/>
      <c r="AV405" s="1207"/>
      <c r="AW405" s="1207"/>
      <c r="AX405" s="1207"/>
      <c r="AY405" s="1207"/>
      <c r="AZ405" s="1207"/>
      <c r="BA405" s="1207"/>
      <c r="BB405" s="1207"/>
      <c r="BC405" s="1207"/>
      <c r="BD405" s="1207"/>
      <c r="BE405" s="1207"/>
      <c r="BF405" s="1207"/>
      <c r="BG405" s="1207"/>
      <c r="BH405" s="1207"/>
      <c r="BI405" s="1207"/>
      <c r="BJ405" s="1207"/>
      <c r="BK405" s="1207"/>
      <c r="BL405" s="1207"/>
      <c r="BM405" s="1207"/>
      <c r="BN405" s="1207"/>
      <c r="BO405" s="1207"/>
      <c r="BP405" s="1207"/>
      <c r="BQ405" s="1207"/>
      <c r="BR405" s="1207"/>
      <c r="BS405" s="1207"/>
      <c r="BT405" s="1207"/>
      <c r="BU405" s="1207"/>
      <c r="BV405" s="1207"/>
      <c r="BW405" s="1207"/>
      <c r="BX405" s="1207"/>
      <c r="BY405" s="1207"/>
      <c r="BZ405" s="1207"/>
      <c r="CA405" s="1207"/>
      <c r="CB405" s="1207"/>
      <c r="CC405" s="1207"/>
      <c r="CD405" s="1207"/>
      <c r="CE405" s="1207"/>
      <c r="CF405" s="1207"/>
    </row>
    <row r="406" spans="1:84" ht="105" x14ac:dyDescent="0.25">
      <c r="A406" s="1355">
        <v>2022435</v>
      </c>
      <c r="B406" s="1172">
        <v>7658</v>
      </c>
      <c r="C406" s="1356" t="s">
        <v>679</v>
      </c>
      <c r="D406" s="1190" t="s">
        <v>692</v>
      </c>
      <c r="E406" s="1174">
        <v>80111600</v>
      </c>
      <c r="F406" s="1380" t="s">
        <v>1067</v>
      </c>
      <c r="G406" s="1381">
        <v>44562</v>
      </c>
      <c r="H406" s="1381">
        <v>44592</v>
      </c>
      <c r="I406" s="1176">
        <v>10</v>
      </c>
      <c r="J406" s="1176" t="s">
        <v>673</v>
      </c>
      <c r="K406" s="1177" t="s">
        <v>674</v>
      </c>
      <c r="L406" s="1178" t="s">
        <v>675</v>
      </c>
      <c r="M406" s="1179">
        <v>28500000</v>
      </c>
      <c r="N406" s="1382" t="s">
        <v>1035</v>
      </c>
      <c r="O406" s="1174" t="s">
        <v>1036</v>
      </c>
      <c r="P406" s="1207" t="s">
        <v>678</v>
      </c>
      <c r="Q406" s="1163"/>
      <c r="R406" s="1357">
        <v>28500000</v>
      </c>
      <c r="S406" s="1357">
        <v>28500000</v>
      </c>
      <c r="T406" s="1357">
        <f>+Tabla16[[#This Row],[CDPS A 31 JULIO 2022]]-Tabla16[[#This Row],[CDP]]</f>
        <v>0</v>
      </c>
      <c r="U406" s="1357">
        <v>28500000</v>
      </c>
      <c r="V406" s="1357">
        <v>11970000</v>
      </c>
      <c r="W406" s="1357"/>
      <c r="X406" s="1207"/>
      <c r="Y406" s="1207"/>
      <c r="Z406" s="1207"/>
      <c r="AA406" s="1207"/>
      <c r="AB406" s="1207"/>
      <c r="AC406" s="1207"/>
      <c r="AD406" s="1207"/>
      <c r="AE406" s="1207"/>
      <c r="AF406" s="1207"/>
      <c r="AG406" s="1207"/>
      <c r="AH406" s="1207"/>
      <c r="AI406" s="1207"/>
      <c r="AJ406" s="1207"/>
      <c r="AK406" s="1207"/>
      <c r="AL406" s="1207"/>
      <c r="AM406" s="1207"/>
      <c r="AN406" s="1207"/>
      <c r="AO406" s="1207"/>
      <c r="AP406" s="1207"/>
      <c r="AQ406" s="1207"/>
      <c r="AR406" s="1207"/>
      <c r="AS406" s="1207"/>
      <c r="AT406" s="1207"/>
      <c r="AU406" s="1207"/>
      <c r="AV406" s="1207"/>
      <c r="AW406" s="1207"/>
      <c r="AX406" s="1207"/>
      <c r="AY406" s="1207"/>
      <c r="AZ406" s="1207"/>
      <c r="BA406" s="1207"/>
      <c r="BB406" s="1207"/>
      <c r="BC406" s="1207"/>
      <c r="BD406" s="1207"/>
      <c r="BE406" s="1207"/>
      <c r="BF406" s="1207"/>
      <c r="BG406" s="1207"/>
      <c r="BH406" s="1207"/>
      <c r="BI406" s="1207"/>
      <c r="BJ406" s="1207"/>
      <c r="BK406" s="1207"/>
      <c r="BL406" s="1207"/>
      <c r="BM406" s="1207"/>
      <c r="BN406" s="1207"/>
      <c r="BO406" s="1207"/>
      <c r="BP406" s="1207"/>
      <c r="BQ406" s="1207"/>
      <c r="BR406" s="1207"/>
      <c r="BS406" s="1207"/>
      <c r="BT406" s="1207"/>
      <c r="BU406" s="1207"/>
      <c r="BV406" s="1207"/>
      <c r="BW406" s="1207"/>
      <c r="BX406" s="1207"/>
      <c r="BY406" s="1207"/>
      <c r="BZ406" s="1207"/>
      <c r="CA406" s="1207"/>
      <c r="CB406" s="1207"/>
      <c r="CC406" s="1207"/>
      <c r="CD406" s="1207"/>
      <c r="CE406" s="1207"/>
      <c r="CF406" s="1207"/>
    </row>
    <row r="407" spans="1:84" ht="105" x14ac:dyDescent="0.25">
      <c r="A407" s="1355">
        <v>2022436</v>
      </c>
      <c r="B407" s="1172">
        <v>7658</v>
      </c>
      <c r="C407" s="1356" t="s">
        <v>679</v>
      </c>
      <c r="D407" s="1190" t="s">
        <v>692</v>
      </c>
      <c r="E407" s="1174">
        <v>80111600</v>
      </c>
      <c r="F407" s="1380" t="s">
        <v>1067</v>
      </c>
      <c r="G407" s="1381">
        <v>44562</v>
      </c>
      <c r="H407" s="1381">
        <v>44592</v>
      </c>
      <c r="I407" s="1176">
        <v>10</v>
      </c>
      <c r="J407" s="1176" t="s">
        <v>673</v>
      </c>
      <c r="K407" s="1177" t="s">
        <v>674</v>
      </c>
      <c r="L407" s="1178" t="s">
        <v>675</v>
      </c>
      <c r="M407" s="1179">
        <f>28500000-15200000</f>
        <v>13300000</v>
      </c>
      <c r="N407" s="1382" t="s">
        <v>1035</v>
      </c>
      <c r="O407" s="1174" t="s">
        <v>1036</v>
      </c>
      <c r="P407" s="1207" t="s">
        <v>678</v>
      </c>
      <c r="Q407" s="1163"/>
      <c r="R407" s="1357">
        <v>28500000</v>
      </c>
      <c r="S407" s="1357">
        <v>28500000</v>
      </c>
      <c r="T407" s="1357">
        <f>+Tabla16[[#This Row],[CDPS A 31 JULIO 2022]]-Tabla16[[#This Row],[CDP]]</f>
        <v>0</v>
      </c>
      <c r="U407" s="1357">
        <v>28500000</v>
      </c>
      <c r="V407" s="1357">
        <v>12065000</v>
      </c>
      <c r="W407" s="1357"/>
      <c r="X407" s="1207"/>
      <c r="Y407" s="1207"/>
      <c r="Z407" s="1207"/>
      <c r="AA407" s="1207"/>
      <c r="AB407" s="1207"/>
      <c r="AC407" s="1207"/>
      <c r="AD407" s="1207"/>
      <c r="AE407" s="1207"/>
      <c r="AF407" s="1207"/>
      <c r="AG407" s="1207"/>
      <c r="AH407" s="1207"/>
      <c r="AI407" s="1207"/>
      <c r="AJ407" s="1207"/>
      <c r="AK407" s="1207"/>
      <c r="AL407" s="1207"/>
      <c r="AM407" s="1207"/>
      <c r="AN407" s="1207"/>
      <c r="AO407" s="1207"/>
      <c r="AP407" s="1207"/>
      <c r="AQ407" s="1207"/>
      <c r="AR407" s="1207"/>
      <c r="AS407" s="1207"/>
      <c r="AT407" s="1207"/>
      <c r="AU407" s="1207"/>
      <c r="AV407" s="1207"/>
      <c r="AW407" s="1207"/>
      <c r="AX407" s="1207"/>
      <c r="AY407" s="1207"/>
      <c r="AZ407" s="1207"/>
      <c r="BA407" s="1207"/>
      <c r="BB407" s="1207"/>
      <c r="BC407" s="1207"/>
      <c r="BD407" s="1207"/>
      <c r="BE407" s="1207"/>
      <c r="BF407" s="1207"/>
      <c r="BG407" s="1207"/>
      <c r="BH407" s="1207"/>
      <c r="BI407" s="1207"/>
      <c r="BJ407" s="1207"/>
      <c r="BK407" s="1207"/>
      <c r="BL407" s="1207"/>
      <c r="BM407" s="1207"/>
      <c r="BN407" s="1207"/>
      <c r="BO407" s="1207"/>
      <c r="BP407" s="1207"/>
      <c r="BQ407" s="1207"/>
      <c r="BR407" s="1207"/>
      <c r="BS407" s="1207"/>
      <c r="BT407" s="1207"/>
      <c r="BU407" s="1207"/>
      <c r="BV407" s="1207"/>
      <c r="BW407" s="1207"/>
      <c r="BX407" s="1207"/>
      <c r="BY407" s="1207"/>
      <c r="BZ407" s="1207"/>
      <c r="CA407" s="1207"/>
      <c r="CB407" s="1207"/>
      <c r="CC407" s="1207"/>
      <c r="CD407" s="1207"/>
      <c r="CE407" s="1207"/>
      <c r="CF407" s="1207"/>
    </row>
    <row r="408" spans="1:84" ht="105" x14ac:dyDescent="0.25">
      <c r="A408" s="1355">
        <v>2022437</v>
      </c>
      <c r="B408" s="1172">
        <v>7658</v>
      </c>
      <c r="C408" s="1356" t="s">
        <v>679</v>
      </c>
      <c r="D408" s="1190" t="s">
        <v>692</v>
      </c>
      <c r="E408" s="1174">
        <v>80111600</v>
      </c>
      <c r="F408" s="1380" t="s">
        <v>1067</v>
      </c>
      <c r="G408" s="1381">
        <v>44562</v>
      </c>
      <c r="H408" s="1381">
        <v>44592</v>
      </c>
      <c r="I408" s="1176">
        <v>10</v>
      </c>
      <c r="J408" s="1176" t="s">
        <v>673</v>
      </c>
      <c r="K408" s="1177" t="s">
        <v>674</v>
      </c>
      <c r="L408" s="1178" t="s">
        <v>675</v>
      </c>
      <c r="M408" s="1179">
        <v>24500000</v>
      </c>
      <c r="N408" s="1382" t="s">
        <v>1035</v>
      </c>
      <c r="O408" s="1174" t="s">
        <v>1036</v>
      </c>
      <c r="P408" s="1207" t="s">
        <v>678</v>
      </c>
      <c r="Q408" s="1163"/>
      <c r="R408" s="1357">
        <v>24500000</v>
      </c>
      <c r="S408" s="1357">
        <v>24500000</v>
      </c>
      <c r="T408" s="1357">
        <f>+Tabla16[[#This Row],[CDPS A 31 JULIO 2022]]-Tabla16[[#This Row],[CDP]]</f>
        <v>0</v>
      </c>
      <c r="U408" s="1357">
        <v>24500000</v>
      </c>
      <c r="V408" s="1357">
        <v>10861667</v>
      </c>
      <c r="W408" s="1357"/>
      <c r="X408" s="1207"/>
      <c r="Y408" s="1207"/>
      <c r="Z408" s="1207"/>
      <c r="AA408" s="1207"/>
      <c r="AB408" s="1207"/>
      <c r="AC408" s="1207"/>
      <c r="AD408" s="1207"/>
      <c r="AE408" s="1207"/>
      <c r="AF408" s="1207"/>
      <c r="AG408" s="1207"/>
      <c r="AH408" s="1207"/>
      <c r="AI408" s="1207"/>
      <c r="AJ408" s="1207"/>
      <c r="AK408" s="1207"/>
      <c r="AL408" s="1207"/>
      <c r="AM408" s="1207"/>
      <c r="AN408" s="1207"/>
      <c r="AO408" s="1207"/>
      <c r="AP408" s="1207"/>
      <c r="AQ408" s="1207"/>
      <c r="AR408" s="1207"/>
      <c r="AS408" s="1207"/>
      <c r="AT408" s="1207"/>
      <c r="AU408" s="1207"/>
      <c r="AV408" s="1207"/>
      <c r="AW408" s="1207"/>
      <c r="AX408" s="1207"/>
      <c r="AY408" s="1207"/>
      <c r="AZ408" s="1207"/>
      <c r="BA408" s="1207"/>
      <c r="BB408" s="1207"/>
      <c r="BC408" s="1207"/>
      <c r="BD408" s="1207"/>
      <c r="BE408" s="1207"/>
      <c r="BF408" s="1207"/>
      <c r="BG408" s="1207"/>
      <c r="BH408" s="1207"/>
      <c r="BI408" s="1207"/>
      <c r="BJ408" s="1207"/>
      <c r="BK408" s="1207"/>
      <c r="BL408" s="1207"/>
      <c r="BM408" s="1207"/>
      <c r="BN408" s="1207"/>
      <c r="BO408" s="1207"/>
      <c r="BP408" s="1207"/>
      <c r="BQ408" s="1207"/>
      <c r="BR408" s="1207"/>
      <c r="BS408" s="1207"/>
      <c r="BT408" s="1207"/>
      <c r="BU408" s="1207"/>
      <c r="BV408" s="1207"/>
      <c r="BW408" s="1207"/>
      <c r="BX408" s="1207"/>
      <c r="BY408" s="1207"/>
      <c r="BZ408" s="1207"/>
      <c r="CA408" s="1207"/>
      <c r="CB408" s="1207"/>
      <c r="CC408" s="1207"/>
      <c r="CD408" s="1207"/>
      <c r="CE408" s="1207"/>
      <c r="CF408" s="1207"/>
    </row>
    <row r="409" spans="1:84" ht="105" x14ac:dyDescent="0.25">
      <c r="A409" s="1355">
        <v>2022438</v>
      </c>
      <c r="B409" s="1172">
        <v>7658</v>
      </c>
      <c r="C409" s="1356" t="s">
        <v>679</v>
      </c>
      <c r="D409" s="1190" t="s">
        <v>692</v>
      </c>
      <c r="E409" s="1174">
        <v>80111600</v>
      </c>
      <c r="F409" s="1380" t="s">
        <v>1067</v>
      </c>
      <c r="G409" s="1381">
        <v>44562</v>
      </c>
      <c r="H409" s="1381">
        <v>44592</v>
      </c>
      <c r="I409" s="1176">
        <v>10</v>
      </c>
      <c r="J409" s="1176" t="s">
        <v>673</v>
      </c>
      <c r="K409" s="1177" t="s">
        <v>674</v>
      </c>
      <c r="L409" s="1178" t="s">
        <v>675</v>
      </c>
      <c r="M409" s="1179">
        <v>24500000</v>
      </c>
      <c r="N409" s="1382" t="s">
        <v>1035</v>
      </c>
      <c r="O409" s="1174" t="s">
        <v>1036</v>
      </c>
      <c r="P409" s="1207" t="s">
        <v>678</v>
      </c>
      <c r="Q409" s="1163"/>
      <c r="R409" s="1357">
        <v>24500000</v>
      </c>
      <c r="S409" s="1357">
        <v>24500000</v>
      </c>
      <c r="T409" s="1357">
        <f>+Tabla16[[#This Row],[CDPS A 31 JULIO 2022]]-Tabla16[[#This Row],[CDP]]</f>
        <v>0</v>
      </c>
      <c r="U409" s="1357">
        <v>24500000</v>
      </c>
      <c r="V409" s="1357">
        <v>10780000</v>
      </c>
      <c r="W409" s="1357"/>
      <c r="X409" s="1207"/>
      <c r="Y409" s="1207"/>
      <c r="Z409" s="1207"/>
      <c r="AA409" s="1207"/>
      <c r="AB409" s="1207"/>
      <c r="AC409" s="1207"/>
      <c r="AD409" s="1207"/>
      <c r="AE409" s="1207"/>
      <c r="AF409" s="1207"/>
      <c r="AG409" s="1207"/>
      <c r="AH409" s="1207"/>
      <c r="AI409" s="1207"/>
      <c r="AJ409" s="1207"/>
      <c r="AK409" s="1207"/>
      <c r="AL409" s="1207"/>
      <c r="AM409" s="1207"/>
      <c r="AN409" s="1207"/>
      <c r="AO409" s="1207"/>
      <c r="AP409" s="1207"/>
      <c r="AQ409" s="1207"/>
      <c r="AR409" s="1207"/>
      <c r="AS409" s="1207"/>
      <c r="AT409" s="1207"/>
      <c r="AU409" s="1207"/>
      <c r="AV409" s="1207"/>
      <c r="AW409" s="1207"/>
      <c r="AX409" s="1207"/>
      <c r="AY409" s="1207"/>
      <c r="AZ409" s="1207"/>
      <c r="BA409" s="1207"/>
      <c r="BB409" s="1207"/>
      <c r="BC409" s="1207"/>
      <c r="BD409" s="1207"/>
      <c r="BE409" s="1207"/>
      <c r="BF409" s="1207"/>
      <c r="BG409" s="1207"/>
      <c r="BH409" s="1207"/>
      <c r="BI409" s="1207"/>
      <c r="BJ409" s="1207"/>
      <c r="BK409" s="1207"/>
      <c r="BL409" s="1207"/>
      <c r="BM409" s="1207"/>
      <c r="BN409" s="1207"/>
      <c r="BO409" s="1207"/>
      <c r="BP409" s="1207"/>
      <c r="BQ409" s="1207"/>
      <c r="BR409" s="1207"/>
      <c r="BS409" s="1207"/>
      <c r="BT409" s="1207"/>
      <c r="BU409" s="1207"/>
      <c r="BV409" s="1207"/>
      <c r="BW409" s="1207"/>
      <c r="BX409" s="1207"/>
      <c r="BY409" s="1207"/>
      <c r="BZ409" s="1207"/>
      <c r="CA409" s="1207"/>
      <c r="CB409" s="1207"/>
      <c r="CC409" s="1207"/>
      <c r="CD409" s="1207"/>
      <c r="CE409" s="1207"/>
      <c r="CF409" s="1207"/>
    </row>
    <row r="410" spans="1:84" ht="105" x14ac:dyDescent="0.25">
      <c r="A410" s="1355">
        <v>2022439</v>
      </c>
      <c r="B410" s="1172">
        <v>7658</v>
      </c>
      <c r="C410" s="1356" t="s">
        <v>679</v>
      </c>
      <c r="D410" s="1190" t="s">
        <v>692</v>
      </c>
      <c r="E410" s="1174">
        <v>80111600</v>
      </c>
      <c r="F410" s="1380" t="s">
        <v>1067</v>
      </c>
      <c r="G410" s="1381">
        <v>44562</v>
      </c>
      <c r="H410" s="1381">
        <v>44592</v>
      </c>
      <c r="I410" s="1176">
        <v>10</v>
      </c>
      <c r="J410" s="1176" t="s">
        <v>673</v>
      </c>
      <c r="K410" s="1177" t="s">
        <v>674</v>
      </c>
      <c r="L410" s="1178" t="s">
        <v>675</v>
      </c>
      <c r="M410" s="1179">
        <v>18000000</v>
      </c>
      <c r="N410" s="1382" t="s">
        <v>1035</v>
      </c>
      <c r="O410" s="1174" t="s">
        <v>1036</v>
      </c>
      <c r="P410" s="1207" t="s">
        <v>678</v>
      </c>
      <c r="Q410" s="1163"/>
      <c r="R410" s="1357">
        <v>18000000</v>
      </c>
      <c r="S410" s="1357">
        <v>18000000</v>
      </c>
      <c r="T410" s="1357">
        <f>+Tabla16[[#This Row],[CDPS A 31 JULIO 2022]]-Tabla16[[#This Row],[CDP]]</f>
        <v>0</v>
      </c>
      <c r="U410" s="1357">
        <v>18000000</v>
      </c>
      <c r="V410" s="1357">
        <v>7500000</v>
      </c>
      <c r="W410" s="1357"/>
      <c r="X410" s="1207"/>
      <c r="Y410" s="1207"/>
      <c r="Z410" s="1207"/>
      <c r="AA410" s="1207"/>
      <c r="AB410" s="1207"/>
      <c r="AC410" s="1207"/>
      <c r="AD410" s="1207"/>
      <c r="AE410" s="1207"/>
      <c r="AF410" s="1207"/>
      <c r="AG410" s="1207"/>
      <c r="AH410" s="1207"/>
      <c r="AI410" s="1207"/>
      <c r="AJ410" s="1207"/>
      <c r="AK410" s="1207"/>
      <c r="AL410" s="1207"/>
      <c r="AM410" s="1207"/>
      <c r="AN410" s="1207"/>
      <c r="AO410" s="1207"/>
      <c r="AP410" s="1207"/>
      <c r="AQ410" s="1207"/>
      <c r="AR410" s="1207"/>
      <c r="AS410" s="1207"/>
      <c r="AT410" s="1207"/>
      <c r="AU410" s="1207"/>
      <c r="AV410" s="1207"/>
      <c r="AW410" s="1207"/>
      <c r="AX410" s="1207"/>
      <c r="AY410" s="1207"/>
      <c r="AZ410" s="1207"/>
      <c r="BA410" s="1207"/>
      <c r="BB410" s="1207"/>
      <c r="BC410" s="1207"/>
      <c r="BD410" s="1207"/>
      <c r="BE410" s="1207"/>
      <c r="BF410" s="1207"/>
      <c r="BG410" s="1207"/>
      <c r="BH410" s="1207"/>
      <c r="BI410" s="1207"/>
      <c r="BJ410" s="1207"/>
      <c r="BK410" s="1207"/>
      <c r="BL410" s="1207"/>
      <c r="BM410" s="1207"/>
      <c r="BN410" s="1207"/>
      <c r="BO410" s="1207"/>
      <c r="BP410" s="1207"/>
      <c r="BQ410" s="1207"/>
      <c r="BR410" s="1207"/>
      <c r="BS410" s="1207"/>
      <c r="BT410" s="1207"/>
      <c r="BU410" s="1207"/>
      <c r="BV410" s="1207"/>
      <c r="BW410" s="1207"/>
      <c r="BX410" s="1207"/>
      <c r="BY410" s="1207"/>
      <c r="BZ410" s="1207"/>
      <c r="CA410" s="1207"/>
      <c r="CB410" s="1207"/>
      <c r="CC410" s="1207"/>
      <c r="CD410" s="1207"/>
      <c r="CE410" s="1207"/>
      <c r="CF410" s="1207"/>
    </row>
    <row r="411" spans="1:84" ht="105" x14ac:dyDescent="0.25">
      <c r="A411" s="1355">
        <v>2022440</v>
      </c>
      <c r="B411" s="1172">
        <v>7658</v>
      </c>
      <c r="C411" s="1356" t="s">
        <v>679</v>
      </c>
      <c r="D411" s="1190" t="s">
        <v>692</v>
      </c>
      <c r="E411" s="1174">
        <v>80111600</v>
      </c>
      <c r="F411" s="1380" t="s">
        <v>1067</v>
      </c>
      <c r="G411" s="1381">
        <v>44562</v>
      </c>
      <c r="H411" s="1381">
        <v>44592</v>
      </c>
      <c r="I411" s="1176">
        <v>10</v>
      </c>
      <c r="J411" s="1176" t="s">
        <v>673</v>
      </c>
      <c r="K411" s="1177" t="s">
        <v>674</v>
      </c>
      <c r="L411" s="1178" t="s">
        <v>675</v>
      </c>
      <c r="M411" s="1179">
        <v>24500000</v>
      </c>
      <c r="N411" s="1382" t="s">
        <v>1035</v>
      </c>
      <c r="O411" s="1174" t="s">
        <v>1036</v>
      </c>
      <c r="P411" s="1207" t="s">
        <v>678</v>
      </c>
      <c r="Q411" s="1163"/>
      <c r="R411" s="1357">
        <v>24500000</v>
      </c>
      <c r="S411" s="1357">
        <v>24500000</v>
      </c>
      <c r="T411" s="1357">
        <f>+Tabla16[[#This Row],[CDPS A 31 JULIO 2022]]-Tabla16[[#This Row],[CDP]]</f>
        <v>0</v>
      </c>
      <c r="U411" s="1357">
        <v>24500000</v>
      </c>
      <c r="V411" s="1357">
        <v>10698333</v>
      </c>
      <c r="W411" s="1357"/>
      <c r="X411" s="1207"/>
      <c r="Y411" s="1207"/>
      <c r="Z411" s="1207"/>
      <c r="AA411" s="1207"/>
      <c r="AB411" s="1207"/>
      <c r="AC411" s="1207"/>
      <c r="AD411" s="1207"/>
      <c r="AE411" s="1207"/>
      <c r="AF411" s="1207"/>
      <c r="AG411" s="1207"/>
      <c r="AH411" s="1207"/>
      <c r="AI411" s="1207"/>
      <c r="AJ411" s="1207"/>
      <c r="AK411" s="1207"/>
      <c r="AL411" s="1207"/>
      <c r="AM411" s="1207"/>
      <c r="AN411" s="1207"/>
      <c r="AO411" s="1207"/>
      <c r="AP411" s="1207"/>
      <c r="AQ411" s="1207"/>
      <c r="AR411" s="1207"/>
      <c r="AS411" s="1207"/>
      <c r="AT411" s="1207"/>
      <c r="AU411" s="1207"/>
      <c r="AV411" s="1207"/>
      <c r="AW411" s="1207"/>
      <c r="AX411" s="1207"/>
      <c r="AY411" s="1207"/>
      <c r="AZ411" s="1207"/>
      <c r="BA411" s="1207"/>
      <c r="BB411" s="1207"/>
      <c r="BC411" s="1207"/>
      <c r="BD411" s="1207"/>
      <c r="BE411" s="1207"/>
      <c r="BF411" s="1207"/>
      <c r="BG411" s="1207"/>
      <c r="BH411" s="1207"/>
      <c r="BI411" s="1207"/>
      <c r="BJ411" s="1207"/>
      <c r="BK411" s="1207"/>
      <c r="BL411" s="1207"/>
      <c r="BM411" s="1207"/>
      <c r="BN411" s="1207"/>
      <c r="BO411" s="1207"/>
      <c r="BP411" s="1207"/>
      <c r="BQ411" s="1207"/>
      <c r="BR411" s="1207"/>
      <c r="BS411" s="1207"/>
      <c r="BT411" s="1207"/>
      <c r="BU411" s="1207"/>
      <c r="BV411" s="1207"/>
      <c r="BW411" s="1207"/>
      <c r="BX411" s="1207"/>
      <c r="BY411" s="1207"/>
      <c r="BZ411" s="1207"/>
      <c r="CA411" s="1207"/>
      <c r="CB411" s="1207"/>
      <c r="CC411" s="1207"/>
      <c r="CD411" s="1207"/>
      <c r="CE411" s="1207"/>
      <c r="CF411" s="1207"/>
    </row>
    <row r="412" spans="1:84" ht="105" x14ac:dyDescent="0.25">
      <c r="A412" s="1355">
        <v>2022441</v>
      </c>
      <c r="B412" s="1172">
        <v>7658</v>
      </c>
      <c r="C412" s="1356" t="s">
        <v>679</v>
      </c>
      <c r="D412" s="1190" t="s">
        <v>692</v>
      </c>
      <c r="E412" s="1174">
        <v>80111600</v>
      </c>
      <c r="F412" s="1380" t="s">
        <v>1067</v>
      </c>
      <c r="G412" s="1381">
        <v>44562</v>
      </c>
      <c r="H412" s="1381">
        <v>44592</v>
      </c>
      <c r="I412" s="1176">
        <v>10</v>
      </c>
      <c r="J412" s="1176" t="s">
        <v>673</v>
      </c>
      <c r="K412" s="1177" t="s">
        <v>674</v>
      </c>
      <c r="L412" s="1178" t="s">
        <v>675</v>
      </c>
      <c r="M412" s="1179">
        <v>28500000</v>
      </c>
      <c r="N412" s="1382" t="s">
        <v>1035</v>
      </c>
      <c r="O412" s="1174" t="s">
        <v>1036</v>
      </c>
      <c r="P412" s="1207" t="s">
        <v>678</v>
      </c>
      <c r="Q412" s="1163"/>
      <c r="R412" s="1357">
        <v>13300000</v>
      </c>
      <c r="S412" s="1357">
        <v>28500000</v>
      </c>
      <c r="T412" s="1357">
        <f>+Tabla16[[#This Row],[CDPS A 31 JULIO 2022]]-Tabla16[[#This Row],[CDP]]</f>
        <v>-15200000</v>
      </c>
      <c r="U412" s="1357">
        <v>28500000</v>
      </c>
      <c r="V412" s="1357">
        <v>12065000</v>
      </c>
      <c r="W412" s="1357"/>
      <c r="X412" s="1207"/>
      <c r="Y412" s="1207"/>
      <c r="Z412" s="1207"/>
      <c r="AA412" s="1207"/>
      <c r="AB412" s="1207"/>
      <c r="AC412" s="1207"/>
      <c r="AD412" s="1207"/>
      <c r="AE412" s="1207"/>
      <c r="AF412" s="1207"/>
      <c r="AG412" s="1207"/>
      <c r="AH412" s="1207"/>
      <c r="AI412" s="1207"/>
      <c r="AJ412" s="1207"/>
      <c r="AK412" s="1207"/>
      <c r="AL412" s="1207"/>
      <c r="AM412" s="1207"/>
      <c r="AN412" s="1207"/>
      <c r="AO412" s="1207"/>
      <c r="AP412" s="1207"/>
      <c r="AQ412" s="1207"/>
      <c r="AR412" s="1207"/>
      <c r="AS412" s="1207"/>
      <c r="AT412" s="1207"/>
      <c r="AU412" s="1207"/>
      <c r="AV412" s="1207"/>
      <c r="AW412" s="1207"/>
      <c r="AX412" s="1207"/>
      <c r="AY412" s="1207"/>
      <c r="AZ412" s="1207"/>
      <c r="BA412" s="1207"/>
      <c r="BB412" s="1207"/>
      <c r="BC412" s="1207"/>
      <c r="BD412" s="1207"/>
      <c r="BE412" s="1207"/>
      <c r="BF412" s="1207"/>
      <c r="BG412" s="1207"/>
      <c r="BH412" s="1207"/>
      <c r="BI412" s="1207"/>
      <c r="BJ412" s="1207"/>
      <c r="BK412" s="1207"/>
      <c r="BL412" s="1207"/>
      <c r="BM412" s="1207"/>
      <c r="BN412" s="1207"/>
      <c r="BO412" s="1207"/>
      <c r="BP412" s="1207"/>
      <c r="BQ412" s="1207"/>
      <c r="BR412" s="1207"/>
      <c r="BS412" s="1207"/>
      <c r="BT412" s="1207"/>
      <c r="BU412" s="1207"/>
      <c r="BV412" s="1207"/>
      <c r="BW412" s="1207"/>
      <c r="BX412" s="1207"/>
      <c r="BY412" s="1207"/>
      <c r="BZ412" s="1207"/>
      <c r="CA412" s="1207"/>
      <c r="CB412" s="1207"/>
      <c r="CC412" s="1207"/>
      <c r="CD412" s="1207"/>
      <c r="CE412" s="1207"/>
      <c r="CF412" s="1207"/>
    </row>
    <row r="413" spans="1:84" ht="105" x14ac:dyDescent="0.25">
      <c r="A413" s="1355">
        <v>2022442</v>
      </c>
      <c r="B413" s="1172">
        <v>7658</v>
      </c>
      <c r="C413" s="1356" t="s">
        <v>679</v>
      </c>
      <c r="D413" s="1190" t="s">
        <v>692</v>
      </c>
      <c r="E413" s="1174">
        <v>80111600</v>
      </c>
      <c r="F413" s="1380" t="s">
        <v>1068</v>
      </c>
      <c r="G413" s="1381">
        <v>44562</v>
      </c>
      <c r="H413" s="1381">
        <v>44592</v>
      </c>
      <c r="I413" s="1176">
        <v>10</v>
      </c>
      <c r="J413" s="1176" t="s">
        <v>673</v>
      </c>
      <c r="K413" s="1177" t="s">
        <v>674</v>
      </c>
      <c r="L413" s="1178" t="s">
        <v>675</v>
      </c>
      <c r="M413" s="1179">
        <f>56650000-32668167</f>
        <v>23981833</v>
      </c>
      <c r="N413" s="1382" t="s">
        <v>1035</v>
      </c>
      <c r="O413" s="1174" t="s">
        <v>1036</v>
      </c>
      <c r="P413" s="1207" t="s">
        <v>678</v>
      </c>
      <c r="Q413" s="1163"/>
      <c r="R413" s="1357">
        <v>56650000</v>
      </c>
      <c r="S413" s="1357">
        <v>56650000</v>
      </c>
      <c r="T413" s="1357">
        <f>+Tabla16[[#This Row],[CDPS A 31 JULIO 2022]]-Tabla16[[#This Row],[CDP]]</f>
        <v>0</v>
      </c>
      <c r="U413" s="1357">
        <v>56650000</v>
      </c>
      <c r="V413" s="1357">
        <v>23981833</v>
      </c>
      <c r="W413" s="1357"/>
      <c r="X413" s="1207"/>
      <c r="Y413" s="1207"/>
      <c r="Z413" s="1207"/>
      <c r="AA413" s="1207"/>
      <c r="AB413" s="1207"/>
      <c r="AC413" s="1207"/>
      <c r="AD413" s="1207"/>
      <c r="AE413" s="1207"/>
      <c r="AF413" s="1207"/>
      <c r="AG413" s="1207"/>
      <c r="AH413" s="1207"/>
      <c r="AI413" s="1207"/>
      <c r="AJ413" s="1207"/>
      <c r="AK413" s="1207"/>
      <c r="AL413" s="1207"/>
      <c r="AM413" s="1207"/>
      <c r="AN413" s="1207"/>
      <c r="AO413" s="1207"/>
      <c r="AP413" s="1207"/>
      <c r="AQ413" s="1207"/>
      <c r="AR413" s="1207"/>
      <c r="AS413" s="1207"/>
      <c r="AT413" s="1207"/>
      <c r="AU413" s="1207"/>
      <c r="AV413" s="1207"/>
      <c r="AW413" s="1207"/>
      <c r="AX413" s="1207"/>
      <c r="AY413" s="1207"/>
      <c r="AZ413" s="1207"/>
      <c r="BA413" s="1207"/>
      <c r="BB413" s="1207"/>
      <c r="BC413" s="1207"/>
      <c r="BD413" s="1207"/>
      <c r="BE413" s="1207"/>
      <c r="BF413" s="1207"/>
      <c r="BG413" s="1207"/>
      <c r="BH413" s="1207"/>
      <c r="BI413" s="1207"/>
      <c r="BJ413" s="1207"/>
      <c r="BK413" s="1207"/>
      <c r="BL413" s="1207"/>
      <c r="BM413" s="1207"/>
      <c r="BN413" s="1207"/>
      <c r="BO413" s="1207"/>
      <c r="BP413" s="1207"/>
      <c r="BQ413" s="1207"/>
      <c r="BR413" s="1207"/>
      <c r="BS413" s="1207"/>
      <c r="BT413" s="1207"/>
      <c r="BU413" s="1207"/>
      <c r="BV413" s="1207"/>
      <c r="BW413" s="1207"/>
      <c r="BX413" s="1207"/>
      <c r="BY413" s="1207"/>
      <c r="BZ413" s="1207"/>
      <c r="CA413" s="1207"/>
      <c r="CB413" s="1207"/>
      <c r="CC413" s="1207"/>
      <c r="CD413" s="1207"/>
      <c r="CE413" s="1207"/>
      <c r="CF413" s="1207"/>
    </row>
    <row r="414" spans="1:84" ht="105" x14ac:dyDescent="0.25">
      <c r="A414" s="1355">
        <v>2022443</v>
      </c>
      <c r="B414" s="1172">
        <v>7658</v>
      </c>
      <c r="C414" s="1356" t="s">
        <v>679</v>
      </c>
      <c r="D414" s="1190" t="s">
        <v>692</v>
      </c>
      <c r="E414" s="1174">
        <v>80111600</v>
      </c>
      <c r="F414" s="1380" t="s">
        <v>1069</v>
      </c>
      <c r="G414" s="1381">
        <v>44562</v>
      </c>
      <c r="H414" s="1381">
        <v>44592</v>
      </c>
      <c r="I414" s="1176">
        <v>10</v>
      </c>
      <c r="J414" s="1176" t="s">
        <v>673</v>
      </c>
      <c r="K414" s="1177" t="s">
        <v>674</v>
      </c>
      <c r="L414" s="1178" t="s">
        <v>675</v>
      </c>
      <c r="M414" s="1179">
        <v>46350000</v>
      </c>
      <c r="N414" s="1382" t="s">
        <v>1035</v>
      </c>
      <c r="O414" s="1174" t="s">
        <v>1036</v>
      </c>
      <c r="P414" s="1207" t="s">
        <v>678</v>
      </c>
      <c r="Q414" s="1163"/>
      <c r="R414" s="1357">
        <v>46350000</v>
      </c>
      <c r="S414" s="1357">
        <v>46350000</v>
      </c>
      <c r="T414" s="1357">
        <f>+Tabla16[[#This Row],[CDPS A 31 JULIO 2022]]-Tabla16[[#This Row],[CDP]]</f>
        <v>0</v>
      </c>
      <c r="U414" s="1357">
        <v>46350000</v>
      </c>
      <c r="V414" s="1357">
        <v>19467000</v>
      </c>
      <c r="W414" s="1357"/>
      <c r="X414" s="1207"/>
      <c r="Y414" s="1207"/>
      <c r="Z414" s="1207"/>
      <c r="AA414" s="1207"/>
      <c r="AB414" s="1207"/>
      <c r="AC414" s="1207"/>
      <c r="AD414" s="1207"/>
      <c r="AE414" s="1207"/>
      <c r="AF414" s="1207"/>
      <c r="AG414" s="1207"/>
      <c r="AH414" s="1207"/>
      <c r="AI414" s="1207"/>
      <c r="AJ414" s="1207"/>
      <c r="AK414" s="1207"/>
      <c r="AL414" s="1207"/>
      <c r="AM414" s="1207"/>
      <c r="AN414" s="1207"/>
      <c r="AO414" s="1207"/>
      <c r="AP414" s="1207"/>
      <c r="AQ414" s="1207"/>
      <c r="AR414" s="1207"/>
      <c r="AS414" s="1207"/>
      <c r="AT414" s="1207"/>
      <c r="AU414" s="1207"/>
      <c r="AV414" s="1207"/>
      <c r="AW414" s="1207"/>
      <c r="AX414" s="1207"/>
      <c r="AY414" s="1207"/>
      <c r="AZ414" s="1207"/>
      <c r="BA414" s="1207"/>
      <c r="BB414" s="1207"/>
      <c r="BC414" s="1207"/>
      <c r="BD414" s="1207"/>
      <c r="BE414" s="1207"/>
      <c r="BF414" s="1207"/>
      <c r="BG414" s="1207"/>
      <c r="BH414" s="1207"/>
      <c r="BI414" s="1207"/>
      <c r="BJ414" s="1207"/>
      <c r="BK414" s="1207"/>
      <c r="BL414" s="1207"/>
      <c r="BM414" s="1207"/>
      <c r="BN414" s="1207"/>
      <c r="BO414" s="1207"/>
      <c r="BP414" s="1207"/>
      <c r="BQ414" s="1207"/>
      <c r="BR414" s="1207"/>
      <c r="BS414" s="1207"/>
      <c r="BT414" s="1207"/>
      <c r="BU414" s="1207"/>
      <c r="BV414" s="1207"/>
      <c r="BW414" s="1207"/>
      <c r="BX414" s="1207"/>
      <c r="BY414" s="1207"/>
      <c r="BZ414" s="1207"/>
      <c r="CA414" s="1207"/>
      <c r="CB414" s="1207"/>
      <c r="CC414" s="1207"/>
      <c r="CD414" s="1207"/>
      <c r="CE414" s="1207"/>
      <c r="CF414" s="1207"/>
    </row>
    <row r="415" spans="1:84" ht="105" x14ac:dyDescent="0.25">
      <c r="A415" s="1355">
        <v>2022444</v>
      </c>
      <c r="B415" s="1172">
        <v>7658</v>
      </c>
      <c r="C415" s="1356" t="s">
        <v>679</v>
      </c>
      <c r="D415" s="1190" t="s">
        <v>692</v>
      </c>
      <c r="E415" s="1174">
        <v>80111600</v>
      </c>
      <c r="F415" s="1380" t="s">
        <v>1069</v>
      </c>
      <c r="G415" s="1381">
        <v>44562</v>
      </c>
      <c r="H415" s="1381">
        <v>44592</v>
      </c>
      <c r="I415" s="1176">
        <v>10</v>
      </c>
      <c r="J415" s="1176" t="s">
        <v>673</v>
      </c>
      <c r="K415" s="1177" t="s">
        <v>674</v>
      </c>
      <c r="L415" s="1178" t="s">
        <v>675</v>
      </c>
      <c r="M415" s="1179">
        <v>45000000</v>
      </c>
      <c r="N415" s="1382" t="s">
        <v>1035</v>
      </c>
      <c r="O415" s="1174" t="s">
        <v>1036</v>
      </c>
      <c r="P415" s="1207" t="s">
        <v>678</v>
      </c>
      <c r="Q415" s="1163"/>
      <c r="R415" s="1357">
        <v>45000000</v>
      </c>
      <c r="S415" s="1357">
        <v>45000000</v>
      </c>
      <c r="T415" s="1357">
        <f>+Tabla16[[#This Row],[CDPS A 31 JULIO 2022]]-Tabla16[[#This Row],[CDP]]</f>
        <v>0</v>
      </c>
      <c r="U415" s="1357">
        <v>45000000</v>
      </c>
      <c r="V415" s="1357">
        <v>19050000</v>
      </c>
      <c r="W415" s="1357"/>
      <c r="X415" s="1207"/>
      <c r="Y415" s="1207"/>
      <c r="Z415" s="1207"/>
      <c r="AA415" s="1207"/>
      <c r="AB415" s="1207"/>
      <c r="AC415" s="1207"/>
      <c r="AD415" s="1207"/>
      <c r="AE415" s="1207"/>
      <c r="AF415" s="1207"/>
      <c r="AG415" s="1207"/>
      <c r="AH415" s="1207"/>
      <c r="AI415" s="1207"/>
      <c r="AJ415" s="1207"/>
      <c r="AK415" s="1207"/>
      <c r="AL415" s="1207"/>
      <c r="AM415" s="1207"/>
      <c r="AN415" s="1207"/>
      <c r="AO415" s="1207"/>
      <c r="AP415" s="1207"/>
      <c r="AQ415" s="1207"/>
      <c r="AR415" s="1207"/>
      <c r="AS415" s="1207"/>
      <c r="AT415" s="1207"/>
      <c r="AU415" s="1207"/>
      <c r="AV415" s="1207"/>
      <c r="AW415" s="1207"/>
      <c r="AX415" s="1207"/>
      <c r="AY415" s="1207"/>
      <c r="AZ415" s="1207"/>
      <c r="BA415" s="1207"/>
      <c r="BB415" s="1207"/>
      <c r="BC415" s="1207"/>
      <c r="BD415" s="1207"/>
      <c r="BE415" s="1207"/>
      <c r="BF415" s="1207"/>
      <c r="BG415" s="1207"/>
      <c r="BH415" s="1207"/>
      <c r="BI415" s="1207"/>
      <c r="BJ415" s="1207"/>
      <c r="BK415" s="1207"/>
      <c r="BL415" s="1207"/>
      <c r="BM415" s="1207"/>
      <c r="BN415" s="1207"/>
      <c r="BO415" s="1207"/>
      <c r="BP415" s="1207"/>
      <c r="BQ415" s="1207"/>
      <c r="BR415" s="1207"/>
      <c r="BS415" s="1207"/>
      <c r="BT415" s="1207"/>
      <c r="BU415" s="1207"/>
      <c r="BV415" s="1207"/>
      <c r="BW415" s="1207"/>
      <c r="BX415" s="1207"/>
      <c r="BY415" s="1207"/>
      <c r="BZ415" s="1207"/>
      <c r="CA415" s="1207"/>
      <c r="CB415" s="1207"/>
      <c r="CC415" s="1207"/>
      <c r="CD415" s="1207"/>
      <c r="CE415" s="1207"/>
      <c r="CF415" s="1207"/>
    </row>
    <row r="416" spans="1:84" ht="105" x14ac:dyDescent="0.25">
      <c r="A416" s="1355">
        <v>2022445</v>
      </c>
      <c r="B416" s="1172">
        <v>7658</v>
      </c>
      <c r="C416" s="1356" t="s">
        <v>679</v>
      </c>
      <c r="D416" s="1190" t="s">
        <v>692</v>
      </c>
      <c r="E416" s="1174">
        <v>80111600</v>
      </c>
      <c r="F416" s="1380" t="s">
        <v>1070</v>
      </c>
      <c r="G416" s="1381">
        <v>44562</v>
      </c>
      <c r="H416" s="1381">
        <v>44592</v>
      </c>
      <c r="I416" s="1176">
        <v>6</v>
      </c>
      <c r="J416" s="1176" t="s">
        <v>673</v>
      </c>
      <c r="K416" s="1177" t="s">
        <v>674</v>
      </c>
      <c r="L416" s="1178" t="s">
        <v>675</v>
      </c>
      <c r="M416" s="1179">
        <v>27810000</v>
      </c>
      <c r="N416" s="1382" t="s">
        <v>1035</v>
      </c>
      <c r="O416" s="1174" t="s">
        <v>1036</v>
      </c>
      <c r="P416" s="1207" t="s">
        <v>678</v>
      </c>
      <c r="Q416" s="1163"/>
      <c r="R416" s="1357">
        <v>27810000</v>
      </c>
      <c r="S416" s="1357">
        <v>27810000</v>
      </c>
      <c r="T416" s="1357">
        <f>+Tabla16[[#This Row],[CDPS A 31 JULIO 2022]]-Tabla16[[#This Row],[CDP]]</f>
        <v>0</v>
      </c>
      <c r="U416" s="1357">
        <v>27810000</v>
      </c>
      <c r="V416" s="1357">
        <v>19003500</v>
      </c>
      <c r="W416" s="1357"/>
      <c r="X416" s="1207"/>
      <c r="Y416" s="1207"/>
      <c r="Z416" s="1207"/>
      <c r="AA416" s="1207"/>
      <c r="AB416" s="1207"/>
      <c r="AC416" s="1207"/>
      <c r="AD416" s="1207"/>
      <c r="AE416" s="1207"/>
      <c r="AF416" s="1207"/>
      <c r="AG416" s="1207"/>
      <c r="AH416" s="1207"/>
      <c r="AI416" s="1207"/>
      <c r="AJ416" s="1207"/>
      <c r="AK416" s="1207"/>
      <c r="AL416" s="1207"/>
      <c r="AM416" s="1207"/>
      <c r="AN416" s="1207"/>
      <c r="AO416" s="1207"/>
      <c r="AP416" s="1207"/>
      <c r="AQ416" s="1207"/>
      <c r="AR416" s="1207"/>
      <c r="AS416" s="1207"/>
      <c r="AT416" s="1207"/>
      <c r="AU416" s="1207"/>
      <c r="AV416" s="1207"/>
      <c r="AW416" s="1207"/>
      <c r="AX416" s="1207"/>
      <c r="AY416" s="1207"/>
      <c r="AZ416" s="1207"/>
      <c r="BA416" s="1207"/>
      <c r="BB416" s="1207"/>
      <c r="BC416" s="1207"/>
      <c r="BD416" s="1207"/>
      <c r="BE416" s="1207"/>
      <c r="BF416" s="1207"/>
      <c r="BG416" s="1207"/>
      <c r="BH416" s="1207"/>
      <c r="BI416" s="1207"/>
      <c r="BJ416" s="1207"/>
      <c r="BK416" s="1207"/>
      <c r="BL416" s="1207"/>
      <c r="BM416" s="1207"/>
      <c r="BN416" s="1207"/>
      <c r="BO416" s="1207"/>
      <c r="BP416" s="1207"/>
      <c r="BQ416" s="1207"/>
      <c r="BR416" s="1207"/>
      <c r="BS416" s="1207"/>
      <c r="BT416" s="1207"/>
      <c r="BU416" s="1207"/>
      <c r="BV416" s="1207"/>
      <c r="BW416" s="1207"/>
      <c r="BX416" s="1207"/>
      <c r="BY416" s="1207"/>
      <c r="BZ416" s="1207"/>
      <c r="CA416" s="1207"/>
      <c r="CB416" s="1207"/>
      <c r="CC416" s="1207"/>
      <c r="CD416" s="1207"/>
      <c r="CE416" s="1207"/>
      <c r="CF416" s="1207"/>
    </row>
    <row r="417" spans="1:84" ht="105" x14ac:dyDescent="0.25">
      <c r="A417" s="1355">
        <v>2022446</v>
      </c>
      <c r="B417" s="1172">
        <v>7658</v>
      </c>
      <c r="C417" s="1356" t="s">
        <v>679</v>
      </c>
      <c r="D417" s="1190" t="s">
        <v>692</v>
      </c>
      <c r="E417" s="1174">
        <v>80111600</v>
      </c>
      <c r="F417" s="1380" t="s">
        <v>1070</v>
      </c>
      <c r="G417" s="1381">
        <v>44562</v>
      </c>
      <c r="H417" s="1381">
        <v>44592</v>
      </c>
      <c r="I417" s="1176">
        <v>4</v>
      </c>
      <c r="J417" s="1176" t="s">
        <v>673</v>
      </c>
      <c r="K417" s="1177" t="s">
        <v>674</v>
      </c>
      <c r="L417" s="1178" t="s">
        <v>675</v>
      </c>
      <c r="M417" s="1179">
        <v>18540000</v>
      </c>
      <c r="N417" s="1382" t="s">
        <v>1035</v>
      </c>
      <c r="O417" s="1174" t="s">
        <v>1036</v>
      </c>
      <c r="P417" s="1207" t="s">
        <v>678</v>
      </c>
      <c r="Q417" s="1163"/>
      <c r="R417" s="1357">
        <v>18540000</v>
      </c>
      <c r="S417" s="1357"/>
      <c r="T417" s="1357">
        <f>+Tabla16[[#This Row],[CDPS A 31 JULIO 2022]]-Tabla16[[#This Row],[CDP]]</f>
        <v>18540000</v>
      </c>
      <c r="U417" s="1357"/>
      <c r="V417" s="1357"/>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105" x14ac:dyDescent="0.25">
      <c r="A418" s="1355">
        <v>2022447</v>
      </c>
      <c r="B418" s="1172">
        <v>7658</v>
      </c>
      <c r="C418" s="1356" t="s">
        <v>679</v>
      </c>
      <c r="D418" s="1190" t="s">
        <v>692</v>
      </c>
      <c r="E418" s="1174">
        <v>80111600</v>
      </c>
      <c r="F418" s="1380" t="s">
        <v>1071</v>
      </c>
      <c r="G418" s="1381">
        <v>44562</v>
      </c>
      <c r="H418" s="1381">
        <v>44592</v>
      </c>
      <c r="I418" s="1176">
        <v>10</v>
      </c>
      <c r="J418" s="1176" t="s">
        <v>673</v>
      </c>
      <c r="K418" s="1177" t="s">
        <v>674</v>
      </c>
      <c r="L418" s="1178" t="s">
        <v>675</v>
      </c>
      <c r="M418" s="1179">
        <v>57000000</v>
      </c>
      <c r="N418" s="1382" t="s">
        <v>1035</v>
      </c>
      <c r="O418" s="1174" t="s">
        <v>1036</v>
      </c>
      <c r="P418" s="1207" t="s">
        <v>678</v>
      </c>
      <c r="Q418" s="1163"/>
      <c r="R418" s="1357">
        <v>57000000</v>
      </c>
      <c r="S418" s="1357">
        <v>57000000</v>
      </c>
      <c r="T418" s="1357">
        <f>+Tabla16[[#This Row],[CDPS A 31 JULIO 2022]]-Tabla16[[#This Row],[CDP]]</f>
        <v>0</v>
      </c>
      <c r="U418" s="1357">
        <v>57000000</v>
      </c>
      <c r="V418" s="1357">
        <v>24130000</v>
      </c>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105" x14ac:dyDescent="0.25">
      <c r="A419" s="1355">
        <v>2022448</v>
      </c>
      <c r="B419" s="1172">
        <v>7658</v>
      </c>
      <c r="C419" s="1356" t="s">
        <v>679</v>
      </c>
      <c r="D419" s="1190" t="s">
        <v>692</v>
      </c>
      <c r="E419" s="1174">
        <v>80111600</v>
      </c>
      <c r="F419" s="1380" t="s">
        <v>1071</v>
      </c>
      <c r="G419" s="1381">
        <v>44562</v>
      </c>
      <c r="H419" s="1381">
        <v>44592</v>
      </c>
      <c r="I419" s="1176">
        <v>10</v>
      </c>
      <c r="J419" s="1176" t="s">
        <v>673</v>
      </c>
      <c r="K419" s="1177" t="s">
        <v>674</v>
      </c>
      <c r="L419" s="1178" t="s">
        <v>675</v>
      </c>
      <c r="M419" s="1179">
        <v>48500000</v>
      </c>
      <c r="N419" s="1382" t="s">
        <v>1035</v>
      </c>
      <c r="O419" s="1174" t="s">
        <v>1036</v>
      </c>
      <c r="P419" s="1207" t="s">
        <v>678</v>
      </c>
      <c r="Q419" s="1163"/>
      <c r="R419" s="1357">
        <v>48500000</v>
      </c>
      <c r="S419" s="1357">
        <v>48500000</v>
      </c>
      <c r="T419" s="1357">
        <f>+Tabla16[[#This Row],[CDPS A 31 JULIO 2022]]-Tabla16[[#This Row],[CDP]]</f>
        <v>0</v>
      </c>
      <c r="U419" s="1357">
        <v>48500000</v>
      </c>
      <c r="V419" s="1357">
        <v>21016667</v>
      </c>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105" x14ac:dyDescent="0.25">
      <c r="A420" s="1355">
        <v>2022449</v>
      </c>
      <c r="B420" s="1172">
        <v>7658</v>
      </c>
      <c r="C420" s="1356" t="s">
        <v>679</v>
      </c>
      <c r="D420" s="1190" t="s">
        <v>692</v>
      </c>
      <c r="E420" s="1174">
        <v>80111600</v>
      </c>
      <c r="F420" s="1380" t="s">
        <v>1071</v>
      </c>
      <c r="G420" s="1381">
        <v>44562</v>
      </c>
      <c r="H420" s="1381">
        <v>44592</v>
      </c>
      <c r="I420" s="1176">
        <v>10</v>
      </c>
      <c r="J420" s="1176" t="s">
        <v>673</v>
      </c>
      <c r="K420" s="1177" t="s">
        <v>674</v>
      </c>
      <c r="L420" s="1178" t="s">
        <v>675</v>
      </c>
      <c r="M420" s="1179">
        <v>48500000</v>
      </c>
      <c r="N420" s="1382" t="s">
        <v>1035</v>
      </c>
      <c r="O420" s="1174" t="s">
        <v>1036</v>
      </c>
      <c r="P420" s="1207" t="s">
        <v>678</v>
      </c>
      <c r="Q420" s="1163"/>
      <c r="R420" s="1357">
        <v>48500000</v>
      </c>
      <c r="S420" s="1357">
        <v>48500000</v>
      </c>
      <c r="T420" s="1357">
        <f>+Tabla16[[#This Row],[CDPS A 31 JULIO 2022]]-Tabla16[[#This Row],[CDP]]</f>
        <v>0</v>
      </c>
      <c r="U420" s="1357">
        <v>48500000</v>
      </c>
      <c r="V420" s="1357">
        <v>20531667</v>
      </c>
      <c r="W420" s="135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105" x14ac:dyDescent="0.25">
      <c r="A421" s="1355">
        <v>2022450</v>
      </c>
      <c r="B421" s="1172">
        <v>7658</v>
      </c>
      <c r="C421" s="1356" t="s">
        <v>679</v>
      </c>
      <c r="D421" s="1190" t="s">
        <v>692</v>
      </c>
      <c r="E421" s="1174">
        <v>80111600</v>
      </c>
      <c r="F421" s="1380" t="s">
        <v>1072</v>
      </c>
      <c r="G421" s="1381">
        <v>44562</v>
      </c>
      <c r="H421" s="1381">
        <v>44592</v>
      </c>
      <c r="I421" s="1176">
        <v>10</v>
      </c>
      <c r="J421" s="1176" t="s">
        <v>673</v>
      </c>
      <c r="K421" s="1177" t="s">
        <v>674</v>
      </c>
      <c r="L421" s="1178" t="s">
        <v>675</v>
      </c>
      <c r="M421" s="1179">
        <f>48500000-19400000</f>
        <v>29100000</v>
      </c>
      <c r="N421" s="1382" t="s">
        <v>1035</v>
      </c>
      <c r="O421" s="1174" t="s">
        <v>1036</v>
      </c>
      <c r="P421" s="1207" t="s">
        <v>678</v>
      </c>
      <c r="Q421" s="1163"/>
      <c r="R421" s="1357">
        <v>29100000</v>
      </c>
      <c r="S421" s="1357">
        <v>29100000</v>
      </c>
      <c r="T421" s="1357">
        <f>+Tabla16[[#This Row],[CDPS A 31 JULIO 2022]]-Tabla16[[#This Row],[CDP]]</f>
        <v>0</v>
      </c>
      <c r="U421" s="1357">
        <v>29100000</v>
      </c>
      <c r="V421" s="1357">
        <v>19400000</v>
      </c>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105" x14ac:dyDescent="0.25">
      <c r="A422" s="1355">
        <v>2022451</v>
      </c>
      <c r="B422" s="1172">
        <v>7658</v>
      </c>
      <c r="C422" s="1356" t="s">
        <v>679</v>
      </c>
      <c r="D422" s="1190" t="s">
        <v>692</v>
      </c>
      <c r="E422" s="1174">
        <v>80111600</v>
      </c>
      <c r="F422" s="1380" t="s">
        <v>1072</v>
      </c>
      <c r="G422" s="1381">
        <v>44562</v>
      </c>
      <c r="H422" s="1381">
        <v>44592</v>
      </c>
      <c r="I422" s="1176">
        <v>10</v>
      </c>
      <c r="J422" s="1176" t="s">
        <v>673</v>
      </c>
      <c r="K422" s="1177" t="s">
        <v>674</v>
      </c>
      <c r="L422" s="1178" t="s">
        <v>675</v>
      </c>
      <c r="M422" s="1179">
        <f>35000000-14000000</f>
        <v>21000000</v>
      </c>
      <c r="N422" s="1382" t="s">
        <v>1035</v>
      </c>
      <c r="O422" s="1174" t="s">
        <v>1036</v>
      </c>
      <c r="P422" s="1207" t="s">
        <v>678</v>
      </c>
      <c r="Q422" s="1163"/>
      <c r="R422" s="1357">
        <v>21000000</v>
      </c>
      <c r="S422" s="1357">
        <v>21000000</v>
      </c>
      <c r="T422" s="1357">
        <f>+Tabla16[[#This Row],[CDPS A 31 JULIO 2022]]-Tabla16[[#This Row],[CDP]]</f>
        <v>0</v>
      </c>
      <c r="U422" s="1357">
        <v>21000000</v>
      </c>
      <c r="V422" s="1357">
        <v>14466667</v>
      </c>
      <c r="W422" s="1357"/>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105" x14ac:dyDescent="0.25">
      <c r="A423" s="1355">
        <v>2022452</v>
      </c>
      <c r="B423" s="1172">
        <v>7658</v>
      </c>
      <c r="C423" s="1356" t="s">
        <v>679</v>
      </c>
      <c r="D423" s="1190" t="s">
        <v>692</v>
      </c>
      <c r="E423" s="1174">
        <v>80111600</v>
      </c>
      <c r="F423" s="1380" t="s">
        <v>1071</v>
      </c>
      <c r="G423" s="1381">
        <v>44562</v>
      </c>
      <c r="H423" s="1381">
        <v>44592</v>
      </c>
      <c r="I423" s="1176">
        <v>6</v>
      </c>
      <c r="J423" s="1176" t="s">
        <v>673</v>
      </c>
      <c r="K423" s="1177" t="s">
        <v>674</v>
      </c>
      <c r="L423" s="1178" t="s">
        <v>675</v>
      </c>
      <c r="M423" s="1179">
        <v>29100000</v>
      </c>
      <c r="N423" s="1382" t="s">
        <v>1035</v>
      </c>
      <c r="O423" s="1174" t="s">
        <v>1036</v>
      </c>
      <c r="P423" s="1207" t="s">
        <v>678</v>
      </c>
      <c r="Q423" s="1163"/>
      <c r="R423" s="1357">
        <v>29100000</v>
      </c>
      <c r="S423" s="1357">
        <v>29100000</v>
      </c>
      <c r="T423" s="1357">
        <f>+Tabla16[[#This Row],[CDPS A 31 JULIO 2022]]-Tabla16[[#This Row],[CDP]]</f>
        <v>0</v>
      </c>
      <c r="U423" s="1357">
        <v>29100000</v>
      </c>
      <c r="V423" s="1357">
        <v>20370000</v>
      </c>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105" x14ac:dyDescent="0.25">
      <c r="A424" s="1355">
        <v>2022453</v>
      </c>
      <c r="B424" s="1172">
        <v>7658</v>
      </c>
      <c r="C424" s="1356" t="s">
        <v>679</v>
      </c>
      <c r="D424" s="1190" t="s">
        <v>692</v>
      </c>
      <c r="E424" s="1174">
        <v>80111600</v>
      </c>
      <c r="F424" s="1380" t="s">
        <v>1071</v>
      </c>
      <c r="G424" s="1381">
        <v>44562</v>
      </c>
      <c r="H424" s="1381">
        <v>44592</v>
      </c>
      <c r="I424" s="1176">
        <v>4</v>
      </c>
      <c r="J424" s="1176" t="s">
        <v>673</v>
      </c>
      <c r="K424" s="1177" t="s">
        <v>674</v>
      </c>
      <c r="L424" s="1178" t="s">
        <v>675</v>
      </c>
      <c r="M424" s="1179">
        <v>19400000</v>
      </c>
      <c r="N424" s="1382" t="s">
        <v>1035</v>
      </c>
      <c r="O424" s="1174" t="s">
        <v>1036</v>
      </c>
      <c r="P424" s="1207" t="s">
        <v>678</v>
      </c>
      <c r="Q424" s="1163"/>
      <c r="R424" s="1357">
        <v>19400000</v>
      </c>
      <c r="S424" s="1357"/>
      <c r="T424" s="1357">
        <f>+Tabla16[[#This Row],[CDPS A 31 JULIO 2022]]-Tabla16[[#This Row],[CDP]]</f>
        <v>19400000</v>
      </c>
      <c r="U424" s="1357"/>
      <c r="V424" s="1357"/>
      <c r="W424" s="1357" t="s">
        <v>1053</v>
      </c>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105" x14ac:dyDescent="0.25">
      <c r="A425" s="1355">
        <v>2022454</v>
      </c>
      <c r="B425" s="1172">
        <v>7658</v>
      </c>
      <c r="C425" s="1356" t="s">
        <v>679</v>
      </c>
      <c r="D425" s="1190" t="s">
        <v>692</v>
      </c>
      <c r="E425" s="1174">
        <v>80111600</v>
      </c>
      <c r="F425" s="1380" t="s">
        <v>1073</v>
      </c>
      <c r="G425" s="1381">
        <v>44562</v>
      </c>
      <c r="H425" s="1381">
        <v>44592</v>
      </c>
      <c r="I425" s="1176">
        <v>10</v>
      </c>
      <c r="J425" s="1176" t="s">
        <v>673</v>
      </c>
      <c r="K425" s="1177" t="s">
        <v>674</v>
      </c>
      <c r="L425" s="1178" t="s">
        <v>675</v>
      </c>
      <c r="M425" s="1179">
        <v>55000000</v>
      </c>
      <c r="N425" s="1382" t="s">
        <v>1035</v>
      </c>
      <c r="O425" s="1174" t="s">
        <v>1036</v>
      </c>
      <c r="P425" s="1207" t="s">
        <v>678</v>
      </c>
      <c r="Q425" s="1163"/>
      <c r="R425" s="1357">
        <v>55000000</v>
      </c>
      <c r="S425" s="1357">
        <v>55000000</v>
      </c>
      <c r="T425" s="1357">
        <f>+Tabla16[[#This Row],[CDPS A 31 JULIO 2022]]-Tabla16[[#This Row],[CDP]]</f>
        <v>0</v>
      </c>
      <c r="U425" s="1357">
        <v>55000000</v>
      </c>
      <c r="V425" s="1357">
        <v>23100000</v>
      </c>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105" x14ac:dyDescent="0.25">
      <c r="A426" s="1355">
        <v>2022455</v>
      </c>
      <c r="B426" s="1172">
        <v>7658</v>
      </c>
      <c r="C426" s="1356" t="s">
        <v>679</v>
      </c>
      <c r="D426" s="1190" t="s">
        <v>692</v>
      </c>
      <c r="E426" s="1174">
        <v>80111600</v>
      </c>
      <c r="F426" s="1380" t="s">
        <v>1073</v>
      </c>
      <c r="G426" s="1381">
        <v>44562</v>
      </c>
      <c r="H426" s="1381">
        <v>44592</v>
      </c>
      <c r="I426" s="1176">
        <v>10</v>
      </c>
      <c r="J426" s="1176" t="s">
        <v>673</v>
      </c>
      <c r="K426" s="1177" t="s">
        <v>674</v>
      </c>
      <c r="L426" s="1178" t="s">
        <v>675</v>
      </c>
      <c r="M426" s="1179">
        <v>55000000</v>
      </c>
      <c r="N426" s="1382" t="s">
        <v>1035</v>
      </c>
      <c r="O426" s="1174" t="s">
        <v>1036</v>
      </c>
      <c r="P426" s="1207" t="s">
        <v>678</v>
      </c>
      <c r="Q426" s="1163"/>
      <c r="R426" s="1357">
        <v>55000000</v>
      </c>
      <c r="S426" s="1357">
        <v>55000000</v>
      </c>
      <c r="T426" s="1357">
        <f>+Tabla16[[#This Row],[CDPS A 31 JULIO 2022]]-Tabla16[[#This Row],[CDP]]</f>
        <v>0</v>
      </c>
      <c r="U426" s="1357">
        <v>55000000</v>
      </c>
      <c r="V426" s="1357">
        <v>23100000</v>
      </c>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105" x14ac:dyDescent="0.25">
      <c r="A427" s="1355">
        <v>2022456</v>
      </c>
      <c r="B427" s="1172">
        <v>7658</v>
      </c>
      <c r="C427" s="1356" t="s">
        <v>679</v>
      </c>
      <c r="D427" s="1190" t="s">
        <v>692</v>
      </c>
      <c r="E427" s="1174">
        <v>80111600</v>
      </c>
      <c r="F427" s="1380" t="s">
        <v>1073</v>
      </c>
      <c r="G427" s="1381">
        <v>44562</v>
      </c>
      <c r="H427" s="1381">
        <v>44592</v>
      </c>
      <c r="I427" s="1176">
        <v>6</v>
      </c>
      <c r="J427" s="1176" t="s">
        <v>673</v>
      </c>
      <c r="K427" s="1177" t="s">
        <v>674</v>
      </c>
      <c r="L427" s="1178" t="s">
        <v>675</v>
      </c>
      <c r="M427" s="1179">
        <v>29100000</v>
      </c>
      <c r="N427" s="1382" t="s">
        <v>1035</v>
      </c>
      <c r="O427" s="1174" t="s">
        <v>1036</v>
      </c>
      <c r="P427" s="1207" t="s">
        <v>678</v>
      </c>
      <c r="Q427" s="1163"/>
      <c r="R427" s="1357">
        <v>29100000</v>
      </c>
      <c r="S427" s="1357">
        <v>29100000</v>
      </c>
      <c r="T427" s="1357">
        <f>+Tabla16[[#This Row],[CDPS A 31 JULIO 2022]]-Tabla16[[#This Row],[CDP]]</f>
        <v>0</v>
      </c>
      <c r="U427" s="1357">
        <v>29100000</v>
      </c>
      <c r="V427" s="1357">
        <v>20046667</v>
      </c>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105" x14ac:dyDescent="0.25">
      <c r="A428" s="1355">
        <v>2022457</v>
      </c>
      <c r="B428" s="1172">
        <v>7658</v>
      </c>
      <c r="C428" s="1356" t="s">
        <v>679</v>
      </c>
      <c r="D428" s="1190" t="s">
        <v>692</v>
      </c>
      <c r="E428" s="1174">
        <v>80111600</v>
      </c>
      <c r="F428" s="1380" t="s">
        <v>1073</v>
      </c>
      <c r="G428" s="1381">
        <v>44562</v>
      </c>
      <c r="H428" s="1381">
        <v>44592</v>
      </c>
      <c r="I428" s="1176">
        <v>4</v>
      </c>
      <c r="J428" s="1176" t="s">
        <v>673</v>
      </c>
      <c r="K428" s="1177" t="s">
        <v>674</v>
      </c>
      <c r="L428" s="1178" t="s">
        <v>675</v>
      </c>
      <c r="M428" s="1179">
        <f>19400000+600000</f>
        <v>20000000</v>
      </c>
      <c r="N428" s="1382" t="s">
        <v>1035</v>
      </c>
      <c r="O428" s="1174" t="s">
        <v>1036</v>
      </c>
      <c r="P428" s="1207" t="s">
        <v>678</v>
      </c>
      <c r="Q428" s="1163"/>
      <c r="R428" s="1357">
        <v>19400000</v>
      </c>
      <c r="S428" s="1357"/>
      <c r="T428" s="1357">
        <f>+Tabla16[[#This Row],[CDPS A 31 JULIO 2022]]-Tabla16[[#This Row],[CDP]]</f>
        <v>19400000</v>
      </c>
      <c r="U428" s="1357"/>
      <c r="V428" s="1357"/>
      <c r="W428" s="1357"/>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105" x14ac:dyDescent="0.25">
      <c r="A429" s="1355">
        <v>2022458</v>
      </c>
      <c r="B429" s="1172">
        <v>7658</v>
      </c>
      <c r="C429" s="1356" t="s">
        <v>679</v>
      </c>
      <c r="D429" s="1190" t="s">
        <v>692</v>
      </c>
      <c r="E429" s="1174">
        <v>80111600</v>
      </c>
      <c r="F429" s="1380" t="s">
        <v>1073</v>
      </c>
      <c r="G429" s="1381">
        <v>44562</v>
      </c>
      <c r="H429" s="1381">
        <v>44592</v>
      </c>
      <c r="I429" s="1176">
        <v>10</v>
      </c>
      <c r="J429" s="1176" t="s">
        <v>673</v>
      </c>
      <c r="K429" s="1177" t="s">
        <v>674</v>
      </c>
      <c r="L429" s="1178" t="s">
        <v>675</v>
      </c>
      <c r="M429" s="1179">
        <v>48500000</v>
      </c>
      <c r="N429" s="1382" t="s">
        <v>1035</v>
      </c>
      <c r="O429" s="1174" t="s">
        <v>1036</v>
      </c>
      <c r="P429" s="1207" t="s">
        <v>678</v>
      </c>
      <c r="Q429" s="1163"/>
      <c r="R429" s="1357">
        <v>48500000</v>
      </c>
      <c r="S429" s="1357">
        <v>48500000</v>
      </c>
      <c r="T429" s="1357">
        <f>+Tabla16[[#This Row],[CDPS A 31 JULIO 2022]]-Tabla16[[#This Row],[CDP]]</f>
        <v>0</v>
      </c>
      <c r="U429" s="1357">
        <v>48500000</v>
      </c>
      <c r="V429" s="1357">
        <v>20208333</v>
      </c>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105" x14ac:dyDescent="0.25">
      <c r="A430" s="1355">
        <v>2022459</v>
      </c>
      <c r="B430" s="1172">
        <v>7658</v>
      </c>
      <c r="C430" s="1356" t="s">
        <v>679</v>
      </c>
      <c r="D430" s="1190" t="s">
        <v>692</v>
      </c>
      <c r="E430" s="1174">
        <v>80111600</v>
      </c>
      <c r="F430" s="1380" t="s">
        <v>1073</v>
      </c>
      <c r="G430" s="1381">
        <v>44562</v>
      </c>
      <c r="H430" s="1381">
        <v>44592</v>
      </c>
      <c r="I430" s="1176">
        <v>6</v>
      </c>
      <c r="J430" s="1176" t="s">
        <v>673</v>
      </c>
      <c r="K430" s="1177" t="s">
        <v>674</v>
      </c>
      <c r="L430" s="1178" t="s">
        <v>675</v>
      </c>
      <c r="M430" s="1179">
        <v>29100000</v>
      </c>
      <c r="N430" s="1382" t="s">
        <v>1035</v>
      </c>
      <c r="O430" s="1174" t="s">
        <v>1036</v>
      </c>
      <c r="P430" s="1207" t="s">
        <v>678</v>
      </c>
      <c r="Q430" s="1163"/>
      <c r="R430" s="1357">
        <v>29100000</v>
      </c>
      <c r="S430" s="1357">
        <v>29100000</v>
      </c>
      <c r="T430" s="1357">
        <f>+Tabla16[[#This Row],[CDPS A 31 JULIO 2022]]-Tabla16[[#This Row],[CDP]]</f>
        <v>0</v>
      </c>
      <c r="U430" s="1357">
        <v>29100000</v>
      </c>
      <c r="V430" s="1357">
        <v>19400000</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105" x14ac:dyDescent="0.25">
      <c r="A431" s="1355">
        <v>2022460</v>
      </c>
      <c r="B431" s="1172">
        <v>7658</v>
      </c>
      <c r="C431" s="1356" t="s">
        <v>679</v>
      </c>
      <c r="D431" s="1190" t="s">
        <v>692</v>
      </c>
      <c r="E431" s="1174">
        <v>80111600</v>
      </c>
      <c r="F431" s="1380" t="s">
        <v>1073</v>
      </c>
      <c r="G431" s="1381">
        <v>44562</v>
      </c>
      <c r="H431" s="1381">
        <v>44592</v>
      </c>
      <c r="I431" s="1176">
        <v>4</v>
      </c>
      <c r="J431" s="1176" t="s">
        <v>673</v>
      </c>
      <c r="K431" s="1177" t="s">
        <v>674</v>
      </c>
      <c r="L431" s="1178" t="s">
        <v>675</v>
      </c>
      <c r="M431" s="1179">
        <v>19400000</v>
      </c>
      <c r="N431" s="1382" t="s">
        <v>1035</v>
      </c>
      <c r="O431" s="1174" t="s">
        <v>1036</v>
      </c>
      <c r="P431" s="1207" t="s">
        <v>678</v>
      </c>
      <c r="Q431" s="1163"/>
      <c r="R431" s="1269">
        <v>0</v>
      </c>
      <c r="S431" s="1357"/>
      <c r="T431" s="1357">
        <f>+Tabla16[[#This Row],[CDPS A 31 JULIO 2022]]-Tabla16[[#This Row],[CDP]]</f>
        <v>0</v>
      </c>
      <c r="U431" s="1357"/>
      <c r="V431" s="1357"/>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105" x14ac:dyDescent="0.25">
      <c r="A432" s="1355">
        <v>2022461</v>
      </c>
      <c r="B432" s="1172">
        <v>7658</v>
      </c>
      <c r="C432" s="1356" t="s">
        <v>679</v>
      </c>
      <c r="D432" s="1190" t="s">
        <v>692</v>
      </c>
      <c r="E432" s="1174">
        <v>80111600</v>
      </c>
      <c r="F432" s="1380" t="s">
        <v>1073</v>
      </c>
      <c r="G432" s="1381">
        <v>44562</v>
      </c>
      <c r="H432" s="1381">
        <v>44592</v>
      </c>
      <c r="I432" s="1176">
        <v>10</v>
      </c>
      <c r="J432" s="1176" t="s">
        <v>673</v>
      </c>
      <c r="K432" s="1177" t="s">
        <v>674</v>
      </c>
      <c r="L432" s="1178" t="s">
        <v>675</v>
      </c>
      <c r="M432" s="1179">
        <v>45000000</v>
      </c>
      <c r="N432" s="1382" t="s">
        <v>1035</v>
      </c>
      <c r="O432" s="1174" t="s">
        <v>1036</v>
      </c>
      <c r="P432" s="1207" t="s">
        <v>678</v>
      </c>
      <c r="Q432" s="1163"/>
      <c r="R432" s="1357">
        <v>45000000</v>
      </c>
      <c r="S432" s="1357">
        <v>45000000</v>
      </c>
      <c r="T432" s="1357">
        <f>+Tabla16[[#This Row],[CDPS A 31 JULIO 2022]]-Tabla16[[#This Row],[CDP]]</f>
        <v>0</v>
      </c>
      <c r="U432" s="1357">
        <v>45000000</v>
      </c>
      <c r="V432" s="1357">
        <v>18000000</v>
      </c>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105" x14ac:dyDescent="0.25">
      <c r="A433" s="1355">
        <v>2022462</v>
      </c>
      <c r="B433" s="1172">
        <v>7658</v>
      </c>
      <c r="C433" s="1356" t="s">
        <v>679</v>
      </c>
      <c r="D433" s="1190" t="s">
        <v>692</v>
      </c>
      <c r="E433" s="1174">
        <v>80111600</v>
      </c>
      <c r="F433" s="1380" t="s">
        <v>1074</v>
      </c>
      <c r="G433" s="1381">
        <v>44562</v>
      </c>
      <c r="H433" s="1381">
        <v>44592</v>
      </c>
      <c r="I433" s="1176">
        <v>6</v>
      </c>
      <c r="J433" s="1176" t="s">
        <v>673</v>
      </c>
      <c r="K433" s="1177" t="s">
        <v>674</v>
      </c>
      <c r="L433" s="1178" t="s">
        <v>675</v>
      </c>
      <c r="M433" s="1179">
        <f>16500000-1800000</f>
        <v>14700000</v>
      </c>
      <c r="N433" s="1382" t="s">
        <v>1035</v>
      </c>
      <c r="O433" s="1174" t="s">
        <v>1036</v>
      </c>
      <c r="P433" s="1207" t="s">
        <v>678</v>
      </c>
      <c r="Q433" s="1163"/>
      <c r="R433" s="1357">
        <v>14700000</v>
      </c>
      <c r="S433" s="1357">
        <v>14700000</v>
      </c>
      <c r="T433" s="1357">
        <f>+Tabla16[[#This Row],[CDPS A 31 JULIO 2022]]-Tabla16[[#This Row],[CDP]]</f>
        <v>0</v>
      </c>
      <c r="U433" s="1357">
        <v>14700000</v>
      </c>
      <c r="V433" s="1357">
        <v>9800000</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105" x14ac:dyDescent="0.25">
      <c r="A434" s="1355">
        <v>2022463</v>
      </c>
      <c r="B434" s="1172">
        <v>7658</v>
      </c>
      <c r="C434" s="1356" t="s">
        <v>679</v>
      </c>
      <c r="D434" s="1190" t="s">
        <v>692</v>
      </c>
      <c r="E434" s="1174">
        <v>80111600</v>
      </c>
      <c r="F434" s="1380" t="s">
        <v>1074</v>
      </c>
      <c r="G434" s="1381">
        <v>44562</v>
      </c>
      <c r="H434" s="1381">
        <v>44592</v>
      </c>
      <c r="I434" s="1176">
        <v>4</v>
      </c>
      <c r="J434" s="1176" t="s">
        <v>673</v>
      </c>
      <c r="K434" s="1177" t="s">
        <v>674</v>
      </c>
      <c r="L434" s="1178" t="s">
        <v>675</v>
      </c>
      <c r="M434" s="1179">
        <f>11000000-1200000</f>
        <v>9800000</v>
      </c>
      <c r="N434" s="1382" t="s">
        <v>1035</v>
      </c>
      <c r="O434" s="1174" t="s">
        <v>1036</v>
      </c>
      <c r="P434" s="1207" t="s">
        <v>678</v>
      </c>
      <c r="Q434" s="1163"/>
      <c r="R434" s="1357">
        <v>11000000</v>
      </c>
      <c r="S434" s="1357"/>
      <c r="T434" s="1357">
        <f>+Tabla16[[#This Row],[CDPS A 31 JULIO 2022]]-Tabla16[[#This Row],[CDP]]</f>
        <v>11000000</v>
      </c>
      <c r="U434" s="1357"/>
      <c r="V434" s="1357"/>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105" x14ac:dyDescent="0.25">
      <c r="A435" s="1355">
        <v>2022464</v>
      </c>
      <c r="B435" s="1172">
        <v>7658</v>
      </c>
      <c r="C435" s="1356" t="s">
        <v>679</v>
      </c>
      <c r="D435" s="1190" t="s">
        <v>692</v>
      </c>
      <c r="E435" s="1174">
        <v>80111600</v>
      </c>
      <c r="F435" s="1380" t="s">
        <v>1075</v>
      </c>
      <c r="G435" s="1381">
        <v>44562</v>
      </c>
      <c r="H435" s="1381">
        <v>44592</v>
      </c>
      <c r="I435" s="1176">
        <v>10</v>
      </c>
      <c r="J435" s="1176" t="s">
        <v>673</v>
      </c>
      <c r="K435" s="1177" t="s">
        <v>674</v>
      </c>
      <c r="L435" s="1178" t="s">
        <v>675</v>
      </c>
      <c r="M435" s="1179">
        <f>50000000-20000000</f>
        <v>30000000</v>
      </c>
      <c r="N435" s="1382" t="s">
        <v>1035</v>
      </c>
      <c r="O435" s="1174" t="s">
        <v>1036</v>
      </c>
      <c r="P435" s="1207" t="s">
        <v>678</v>
      </c>
      <c r="Q435" s="1163"/>
      <c r="R435" s="1357">
        <v>30000000</v>
      </c>
      <c r="S435" s="1357">
        <v>30000000</v>
      </c>
      <c r="T435" s="1357">
        <f>+Tabla16[[#This Row],[CDPS A 31 JULIO 2022]]-Tabla16[[#This Row],[CDP]]</f>
        <v>0</v>
      </c>
      <c r="U435" s="1357">
        <v>30000000</v>
      </c>
      <c r="V435" s="1357">
        <v>25666667</v>
      </c>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105" x14ac:dyDescent="0.25">
      <c r="A436" s="1355">
        <v>2022465</v>
      </c>
      <c r="B436" s="1172">
        <v>7658</v>
      </c>
      <c r="C436" s="1356" t="s">
        <v>679</v>
      </c>
      <c r="D436" s="1190" t="s">
        <v>692</v>
      </c>
      <c r="E436" s="1174">
        <v>80111600</v>
      </c>
      <c r="F436" s="1380" t="s">
        <v>1076</v>
      </c>
      <c r="G436" s="1381">
        <v>44562</v>
      </c>
      <c r="H436" s="1381">
        <v>44592</v>
      </c>
      <c r="I436" s="1176">
        <v>10</v>
      </c>
      <c r="J436" s="1176" t="s">
        <v>673</v>
      </c>
      <c r="K436" s="1177" t="s">
        <v>674</v>
      </c>
      <c r="L436" s="1178" t="s">
        <v>675</v>
      </c>
      <c r="M436" s="1179">
        <v>48500000</v>
      </c>
      <c r="N436" s="1382" t="s">
        <v>1035</v>
      </c>
      <c r="O436" s="1174" t="s">
        <v>1036</v>
      </c>
      <c r="P436" s="1207" t="s">
        <v>678</v>
      </c>
      <c r="Q436" s="1163"/>
      <c r="R436" s="1357">
        <v>48500000</v>
      </c>
      <c r="S436" s="1357">
        <v>48500000</v>
      </c>
      <c r="T436" s="1357">
        <f>+Tabla16[[#This Row],[CDPS A 31 JULIO 2022]]-Tabla16[[#This Row],[CDP]]</f>
        <v>0</v>
      </c>
      <c r="U436" s="1357">
        <v>48500000</v>
      </c>
      <c r="V436" s="1357">
        <v>21340000</v>
      </c>
      <c r="W436" s="1357"/>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105" x14ac:dyDescent="0.25">
      <c r="A437" s="1355">
        <v>2022466</v>
      </c>
      <c r="B437" s="1172">
        <v>7658</v>
      </c>
      <c r="C437" s="1356" t="s">
        <v>679</v>
      </c>
      <c r="D437" s="1190" t="s">
        <v>692</v>
      </c>
      <c r="E437" s="1174">
        <v>80111600</v>
      </c>
      <c r="F437" s="1380" t="s">
        <v>1077</v>
      </c>
      <c r="G437" s="1381">
        <v>44562</v>
      </c>
      <c r="H437" s="1381">
        <v>44592</v>
      </c>
      <c r="I437" s="1176">
        <v>10</v>
      </c>
      <c r="J437" s="1176" t="s">
        <v>673</v>
      </c>
      <c r="K437" s="1177" t="s">
        <v>674</v>
      </c>
      <c r="L437" s="1178" t="s">
        <v>675</v>
      </c>
      <c r="M437" s="1179">
        <v>33500000</v>
      </c>
      <c r="N437" s="1382" t="s">
        <v>1035</v>
      </c>
      <c r="O437" s="1174" t="s">
        <v>1036</v>
      </c>
      <c r="P437" s="1207" t="s">
        <v>678</v>
      </c>
      <c r="Q437" s="1163"/>
      <c r="R437" s="1357">
        <v>33500000</v>
      </c>
      <c r="S437" s="1357">
        <v>33500000</v>
      </c>
      <c r="T437" s="1357">
        <f>+Tabla16[[#This Row],[CDPS A 31 JULIO 2022]]-Tabla16[[#This Row],[CDP]]</f>
        <v>0</v>
      </c>
      <c r="U437" s="1357">
        <v>33500000</v>
      </c>
      <c r="V437" s="1357">
        <v>14628333</v>
      </c>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105" x14ac:dyDescent="0.25">
      <c r="A438" s="1355">
        <v>2022467</v>
      </c>
      <c r="B438" s="1172">
        <v>7658</v>
      </c>
      <c r="C438" s="1356" t="s">
        <v>679</v>
      </c>
      <c r="D438" s="1190" t="s">
        <v>692</v>
      </c>
      <c r="E438" s="1174">
        <v>80111600</v>
      </c>
      <c r="F438" s="1380" t="s">
        <v>1078</v>
      </c>
      <c r="G438" s="1381">
        <v>44562</v>
      </c>
      <c r="H438" s="1381">
        <v>44592</v>
      </c>
      <c r="I438" s="1176">
        <v>10</v>
      </c>
      <c r="J438" s="1176" t="s">
        <v>673</v>
      </c>
      <c r="K438" s="1177" t="s">
        <v>674</v>
      </c>
      <c r="L438" s="1178" t="s">
        <v>675</v>
      </c>
      <c r="M438" s="1179">
        <f>48500000-29100000</f>
        <v>19400000</v>
      </c>
      <c r="N438" s="1382" t="s">
        <v>1035</v>
      </c>
      <c r="O438" s="1174" t="s">
        <v>1036</v>
      </c>
      <c r="P438" s="1207" t="s">
        <v>678</v>
      </c>
      <c r="Q438" s="1163"/>
      <c r="R438" s="1357">
        <v>19400000</v>
      </c>
      <c r="S438" s="1357">
        <v>19400000</v>
      </c>
      <c r="T438" s="1357">
        <f>+Tabla16[[#This Row],[CDPS A 31 JULIO 2022]]-Tabla16[[#This Row],[CDP]]</f>
        <v>0</v>
      </c>
      <c r="U438" s="1357">
        <v>19400000</v>
      </c>
      <c r="V438" s="1357">
        <v>19400000</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105" x14ac:dyDescent="0.25">
      <c r="A439" s="1355">
        <v>2022468</v>
      </c>
      <c r="B439" s="1172">
        <v>7658</v>
      </c>
      <c r="C439" s="1356" t="s">
        <v>679</v>
      </c>
      <c r="D439" s="1190" t="s">
        <v>692</v>
      </c>
      <c r="E439" s="1174">
        <v>80111600</v>
      </c>
      <c r="F439" s="1380" t="s">
        <v>1079</v>
      </c>
      <c r="G439" s="1381">
        <v>44562</v>
      </c>
      <c r="H439" s="1381">
        <v>44592</v>
      </c>
      <c r="I439" s="1176">
        <v>4</v>
      </c>
      <c r="J439" s="1176" t="s">
        <v>673</v>
      </c>
      <c r="K439" s="1177" t="s">
        <v>674</v>
      </c>
      <c r="L439" s="1178" t="s">
        <v>675</v>
      </c>
      <c r="M439" s="1179">
        <f>19400000-150000</f>
        <v>19250000</v>
      </c>
      <c r="N439" s="1382" t="s">
        <v>1035</v>
      </c>
      <c r="O439" s="1174" t="s">
        <v>1036</v>
      </c>
      <c r="P439" s="1207" t="s">
        <v>678</v>
      </c>
      <c r="Q439" s="1163"/>
      <c r="R439" s="1269">
        <v>0</v>
      </c>
      <c r="S439" s="1357"/>
      <c r="T439" s="1357">
        <f>+Tabla16[[#This Row],[CDPS A 31 JULIO 2022]]-Tabla16[[#This Row],[CDP]]</f>
        <v>0</v>
      </c>
      <c r="U439" s="1357"/>
      <c r="V439" s="1357"/>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105" x14ac:dyDescent="0.25">
      <c r="A440" s="1355">
        <v>2022469</v>
      </c>
      <c r="B440" s="1172">
        <v>7658</v>
      </c>
      <c r="C440" s="1356" t="s">
        <v>679</v>
      </c>
      <c r="D440" s="1190" t="s">
        <v>692</v>
      </c>
      <c r="E440" s="1174">
        <v>80111600</v>
      </c>
      <c r="F440" s="1380" t="s">
        <v>1079</v>
      </c>
      <c r="G440" s="1381">
        <v>44562</v>
      </c>
      <c r="H440" s="1381">
        <v>44592</v>
      </c>
      <c r="I440" s="1176">
        <v>6</v>
      </c>
      <c r="J440" s="1176" t="s">
        <v>673</v>
      </c>
      <c r="K440" s="1177" t="s">
        <v>674</v>
      </c>
      <c r="L440" s="1178" t="s">
        <v>675</v>
      </c>
      <c r="M440" s="1179">
        <v>29100000</v>
      </c>
      <c r="N440" s="1382" t="s">
        <v>1035</v>
      </c>
      <c r="O440" s="1174" t="s">
        <v>1036</v>
      </c>
      <c r="P440" s="1207" t="s">
        <v>678</v>
      </c>
      <c r="Q440" s="1163"/>
      <c r="R440" s="1357">
        <v>29100000</v>
      </c>
      <c r="S440" s="1357">
        <v>29100000</v>
      </c>
      <c r="T440" s="1357">
        <f>+Tabla16[[#This Row],[CDPS A 31 JULIO 2022]]-Tabla16[[#This Row],[CDP]]</f>
        <v>0</v>
      </c>
      <c r="U440" s="1357">
        <v>29100000</v>
      </c>
      <c r="V440" s="1357">
        <v>19400000</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105" x14ac:dyDescent="0.25">
      <c r="A441" s="1355">
        <v>2022470</v>
      </c>
      <c r="B441" s="1172">
        <v>7658</v>
      </c>
      <c r="C441" s="1356" t="s">
        <v>679</v>
      </c>
      <c r="D441" s="1190" t="s">
        <v>692</v>
      </c>
      <c r="E441" s="1174">
        <v>80111600</v>
      </c>
      <c r="F441" s="1380" t="s">
        <v>1079</v>
      </c>
      <c r="G441" s="1381">
        <v>44562</v>
      </c>
      <c r="H441" s="1381">
        <v>44592</v>
      </c>
      <c r="I441" s="1176">
        <v>4</v>
      </c>
      <c r="J441" s="1176" t="s">
        <v>673</v>
      </c>
      <c r="K441" s="1177" t="s">
        <v>674</v>
      </c>
      <c r="L441" s="1178" t="s">
        <v>675</v>
      </c>
      <c r="M441" s="1179">
        <v>16000000</v>
      </c>
      <c r="N441" s="1382" t="s">
        <v>1035</v>
      </c>
      <c r="O441" s="1174" t="s">
        <v>1036</v>
      </c>
      <c r="P441" s="1207" t="s">
        <v>678</v>
      </c>
      <c r="Q441" s="1163"/>
      <c r="R441" s="1269">
        <v>0</v>
      </c>
      <c r="S441" s="1357"/>
      <c r="T441" s="1357">
        <f>+Tabla16[[#This Row],[CDPS A 31 JULIO 2022]]-Tabla16[[#This Row],[CDP]]</f>
        <v>0</v>
      </c>
      <c r="U441" s="1357"/>
      <c r="V441" s="1357"/>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105" x14ac:dyDescent="0.25">
      <c r="A442" s="1355">
        <v>2022471</v>
      </c>
      <c r="B442" s="1172">
        <v>7658</v>
      </c>
      <c r="C442" s="1356" t="s">
        <v>679</v>
      </c>
      <c r="D442" s="1190" t="s">
        <v>692</v>
      </c>
      <c r="E442" s="1174">
        <v>80111600</v>
      </c>
      <c r="F442" s="1380" t="s">
        <v>1079</v>
      </c>
      <c r="G442" s="1381">
        <v>44562</v>
      </c>
      <c r="H442" s="1381">
        <v>44592</v>
      </c>
      <c r="I442" s="1176">
        <v>6</v>
      </c>
      <c r="J442" s="1176" t="s">
        <v>673</v>
      </c>
      <c r="K442" s="1177" t="s">
        <v>674</v>
      </c>
      <c r="L442" s="1178" t="s">
        <v>675</v>
      </c>
      <c r="M442" s="1179">
        <v>24000000</v>
      </c>
      <c r="N442" s="1382" t="s">
        <v>1035</v>
      </c>
      <c r="O442" s="1174" t="s">
        <v>1036</v>
      </c>
      <c r="P442" s="1207" t="s">
        <v>678</v>
      </c>
      <c r="Q442" s="1163"/>
      <c r="R442" s="1357">
        <v>24000000</v>
      </c>
      <c r="S442" s="1357">
        <v>24000000</v>
      </c>
      <c r="T442" s="1357">
        <f>+Tabla16[[#This Row],[CDPS A 31 JULIO 2022]]-Tabla16[[#This Row],[CDP]]</f>
        <v>0</v>
      </c>
      <c r="U442" s="1357">
        <v>24000000</v>
      </c>
      <c r="V442" s="1357">
        <v>16000000</v>
      </c>
      <c r="W442" s="135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105" x14ac:dyDescent="0.25">
      <c r="A443" s="1355">
        <v>2022472</v>
      </c>
      <c r="B443" s="1172">
        <v>7658</v>
      </c>
      <c r="C443" s="1356" t="s">
        <v>679</v>
      </c>
      <c r="D443" s="1190" t="s">
        <v>692</v>
      </c>
      <c r="E443" s="1174">
        <v>80111600</v>
      </c>
      <c r="F443" s="1380" t="s">
        <v>1079</v>
      </c>
      <c r="G443" s="1381">
        <v>44562</v>
      </c>
      <c r="H443" s="1381">
        <v>44592</v>
      </c>
      <c r="I443" s="1176">
        <v>4</v>
      </c>
      <c r="J443" s="1176" t="s">
        <v>673</v>
      </c>
      <c r="K443" s="1177" t="s">
        <v>674</v>
      </c>
      <c r="L443" s="1178" t="s">
        <v>675</v>
      </c>
      <c r="M443" s="1179">
        <f>15400000-1900000</f>
        <v>13500000</v>
      </c>
      <c r="N443" s="1382" t="s">
        <v>1035</v>
      </c>
      <c r="O443" s="1174" t="s">
        <v>1036</v>
      </c>
      <c r="P443" s="1207" t="s">
        <v>678</v>
      </c>
      <c r="Q443" s="1163"/>
      <c r="R443" s="1269">
        <v>0</v>
      </c>
      <c r="S443" s="1357"/>
      <c r="T443" s="1357">
        <f>+Tabla16[[#This Row],[CDPS A 31 JULIO 2022]]-Tabla16[[#This Row],[CDP]]</f>
        <v>0</v>
      </c>
      <c r="U443" s="1357"/>
      <c r="V443" s="1357"/>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105" x14ac:dyDescent="0.25">
      <c r="A444" s="1355">
        <v>2022473</v>
      </c>
      <c r="B444" s="1172">
        <v>7658</v>
      </c>
      <c r="C444" s="1356" t="s">
        <v>679</v>
      </c>
      <c r="D444" s="1190" t="s">
        <v>692</v>
      </c>
      <c r="E444" s="1174">
        <v>80111600</v>
      </c>
      <c r="F444" s="1380" t="s">
        <v>1079</v>
      </c>
      <c r="G444" s="1381">
        <v>44562</v>
      </c>
      <c r="H444" s="1381">
        <v>44592</v>
      </c>
      <c r="I444" s="1176">
        <v>6</v>
      </c>
      <c r="J444" s="1176" t="s">
        <v>673</v>
      </c>
      <c r="K444" s="1177" t="s">
        <v>674</v>
      </c>
      <c r="L444" s="1178" t="s">
        <v>675</v>
      </c>
      <c r="M444" s="1179">
        <v>23100000</v>
      </c>
      <c r="N444" s="1382" t="s">
        <v>1035</v>
      </c>
      <c r="O444" s="1174" t="s">
        <v>1036</v>
      </c>
      <c r="P444" s="1207" t="s">
        <v>678</v>
      </c>
      <c r="Q444" s="1163"/>
      <c r="R444" s="1357">
        <v>23100000</v>
      </c>
      <c r="S444" s="1357">
        <v>23100000</v>
      </c>
      <c r="T444" s="1357">
        <f>+Tabla16[[#This Row],[CDPS A 31 JULIO 2022]]-Tabla16[[#This Row],[CDP]]</f>
        <v>0</v>
      </c>
      <c r="U444" s="1357">
        <v>23100000</v>
      </c>
      <c r="V444" s="1357">
        <v>15400000</v>
      </c>
      <c r="W444" s="1357"/>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105" x14ac:dyDescent="0.25">
      <c r="A445" s="1400">
        <v>2022474</v>
      </c>
      <c r="B445" s="1401">
        <v>7658</v>
      </c>
      <c r="C445" s="1402" t="s">
        <v>679</v>
      </c>
      <c r="D445" s="1403" t="s">
        <v>692</v>
      </c>
      <c r="E445" s="1404">
        <v>80111600</v>
      </c>
      <c r="F445" s="1405" t="s">
        <v>1079</v>
      </c>
      <c r="G445" s="1406">
        <v>44562</v>
      </c>
      <c r="H445" s="1406">
        <v>44592</v>
      </c>
      <c r="I445" s="1407">
        <v>4</v>
      </c>
      <c r="J445" s="1407" t="s">
        <v>673</v>
      </c>
      <c r="K445" s="1408" t="s">
        <v>674</v>
      </c>
      <c r="L445" s="1409" t="s">
        <v>675</v>
      </c>
      <c r="M445" s="1410">
        <f>15400000-400000</f>
        <v>15000000</v>
      </c>
      <c r="N445" s="1411" t="s">
        <v>1035</v>
      </c>
      <c r="O445" s="1404" t="s">
        <v>1036</v>
      </c>
      <c r="P445" s="1412" t="s">
        <v>678</v>
      </c>
      <c r="Q445" s="1163"/>
      <c r="R445" s="1269">
        <v>0</v>
      </c>
      <c r="S445" s="1357"/>
      <c r="T445" s="1357">
        <f>+Tabla16[[#This Row],[CDPS A 31 JULIO 2022]]-Tabla16[[#This Row],[CDP]]</f>
        <v>0</v>
      </c>
      <c r="U445" s="1357"/>
      <c r="V445" s="1357"/>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105" x14ac:dyDescent="0.25">
      <c r="A446" s="1355">
        <v>2022475</v>
      </c>
      <c r="B446" s="1172">
        <v>7658</v>
      </c>
      <c r="C446" s="1356" t="s">
        <v>679</v>
      </c>
      <c r="D446" s="1190" t="s">
        <v>692</v>
      </c>
      <c r="E446" s="1174">
        <v>80111600</v>
      </c>
      <c r="F446" s="1380" t="s">
        <v>1079</v>
      </c>
      <c r="G446" s="1381">
        <v>44562</v>
      </c>
      <c r="H446" s="1381">
        <v>44592</v>
      </c>
      <c r="I446" s="1176">
        <v>6</v>
      </c>
      <c r="J446" s="1176" t="s">
        <v>673</v>
      </c>
      <c r="K446" s="1177" t="s">
        <v>674</v>
      </c>
      <c r="L446" s="1178" t="s">
        <v>675</v>
      </c>
      <c r="M446" s="1179">
        <v>23100000</v>
      </c>
      <c r="N446" s="1382" t="s">
        <v>1035</v>
      </c>
      <c r="O446" s="1174" t="s">
        <v>1036</v>
      </c>
      <c r="P446" s="1207" t="s">
        <v>678</v>
      </c>
      <c r="Q446" s="1163"/>
      <c r="R446" s="1357">
        <v>23100000</v>
      </c>
      <c r="S446" s="1357">
        <v>23100000</v>
      </c>
      <c r="T446" s="1357">
        <f>+Tabla16[[#This Row],[CDPS A 31 JULIO 2022]]-Tabla16[[#This Row],[CDP]]</f>
        <v>0</v>
      </c>
      <c r="U446" s="1357">
        <v>23100000</v>
      </c>
      <c r="V446" s="1357">
        <v>15400000</v>
      </c>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105" x14ac:dyDescent="0.25">
      <c r="A447" s="1355">
        <v>2022476</v>
      </c>
      <c r="B447" s="1172">
        <v>7658</v>
      </c>
      <c r="C447" s="1356" t="s">
        <v>679</v>
      </c>
      <c r="D447" s="1190" t="s">
        <v>692</v>
      </c>
      <c r="E447" s="1174">
        <v>80111600</v>
      </c>
      <c r="F447" s="1380" t="s">
        <v>1079</v>
      </c>
      <c r="G447" s="1381">
        <v>44562</v>
      </c>
      <c r="H447" s="1381">
        <v>44592</v>
      </c>
      <c r="I447" s="1176">
        <v>4</v>
      </c>
      <c r="J447" s="1176" t="s">
        <v>673</v>
      </c>
      <c r="K447" s="1177" t="s">
        <v>674</v>
      </c>
      <c r="L447" s="1178" t="s">
        <v>675</v>
      </c>
      <c r="M447" s="1179">
        <f>15400000+2600000</f>
        <v>18000000</v>
      </c>
      <c r="N447" s="1382" t="s">
        <v>1035</v>
      </c>
      <c r="O447" s="1174" t="s">
        <v>1036</v>
      </c>
      <c r="P447" s="1207" t="s">
        <v>678</v>
      </c>
      <c r="Q447" s="1163"/>
      <c r="R447" s="1269">
        <v>0</v>
      </c>
      <c r="S447" s="1357"/>
      <c r="T447" s="1357">
        <f>+Tabla16[[#This Row],[CDPS A 31 JULIO 2022]]-Tabla16[[#This Row],[CDP]]</f>
        <v>0</v>
      </c>
      <c r="U447" s="1357"/>
      <c r="V447" s="1357"/>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105" x14ac:dyDescent="0.25">
      <c r="A448" s="1355">
        <v>2022477</v>
      </c>
      <c r="B448" s="1172">
        <v>7658</v>
      </c>
      <c r="C448" s="1356" t="s">
        <v>679</v>
      </c>
      <c r="D448" s="1190" t="s">
        <v>692</v>
      </c>
      <c r="E448" s="1174">
        <v>80111600</v>
      </c>
      <c r="F448" s="1380" t="s">
        <v>1079</v>
      </c>
      <c r="G448" s="1381">
        <v>44562</v>
      </c>
      <c r="H448" s="1381">
        <v>44592</v>
      </c>
      <c r="I448" s="1176">
        <v>6</v>
      </c>
      <c r="J448" s="1176" t="s">
        <v>673</v>
      </c>
      <c r="K448" s="1177" t="s">
        <v>674</v>
      </c>
      <c r="L448" s="1178" t="s">
        <v>675</v>
      </c>
      <c r="M448" s="1179">
        <v>23100000</v>
      </c>
      <c r="N448" s="1382" t="s">
        <v>1035</v>
      </c>
      <c r="O448" s="1174" t="s">
        <v>1036</v>
      </c>
      <c r="P448" s="1207" t="s">
        <v>678</v>
      </c>
      <c r="Q448" s="1163"/>
      <c r="R448" s="1357">
        <v>23100000</v>
      </c>
      <c r="S448" s="1357">
        <v>23100000</v>
      </c>
      <c r="T448" s="1357">
        <f>+Tabla16[[#This Row],[CDPS A 31 JULIO 2022]]-Tabla16[[#This Row],[CDP]]</f>
        <v>0</v>
      </c>
      <c r="U448" s="1357">
        <v>23100000</v>
      </c>
      <c r="V448" s="1357">
        <v>15400000</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105" x14ac:dyDescent="0.25">
      <c r="A449" s="1355">
        <v>2022478</v>
      </c>
      <c r="B449" s="1172">
        <v>7658</v>
      </c>
      <c r="C449" s="1356" t="s">
        <v>679</v>
      </c>
      <c r="D449" s="1190" t="s">
        <v>692</v>
      </c>
      <c r="E449" s="1174">
        <v>80111600</v>
      </c>
      <c r="F449" s="1380" t="s">
        <v>1080</v>
      </c>
      <c r="G449" s="1381">
        <v>44562</v>
      </c>
      <c r="H449" s="1381">
        <v>44592</v>
      </c>
      <c r="I449" s="1176">
        <v>10</v>
      </c>
      <c r="J449" s="1176" t="s">
        <v>673</v>
      </c>
      <c r="K449" s="1177" t="s">
        <v>674</v>
      </c>
      <c r="L449" s="1178" t="s">
        <v>675</v>
      </c>
      <c r="M449" s="1179">
        <v>72100000</v>
      </c>
      <c r="N449" s="1382" t="s">
        <v>1035</v>
      </c>
      <c r="O449" s="1174" t="s">
        <v>1036</v>
      </c>
      <c r="P449" s="1207" t="s">
        <v>678</v>
      </c>
      <c r="Q449" s="1163"/>
      <c r="R449" s="1357">
        <v>72100000</v>
      </c>
      <c r="S449" s="1357">
        <v>72100000</v>
      </c>
      <c r="T449" s="1357">
        <f>+Tabla16[[#This Row],[CDPS A 31 JULIO 2022]]-Tabla16[[#This Row],[CDP]]</f>
        <v>0</v>
      </c>
      <c r="U449" s="1357">
        <v>72100000</v>
      </c>
      <c r="V449" s="1357">
        <v>31483667</v>
      </c>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105" x14ac:dyDescent="0.25">
      <c r="A450" s="1355">
        <v>2022479</v>
      </c>
      <c r="B450" s="1172">
        <v>7658</v>
      </c>
      <c r="C450" s="1356" t="s">
        <v>679</v>
      </c>
      <c r="D450" s="1190" t="s">
        <v>692</v>
      </c>
      <c r="E450" s="1174">
        <v>80111600</v>
      </c>
      <c r="F450" s="1380" t="s">
        <v>1080</v>
      </c>
      <c r="G450" s="1381">
        <v>44562</v>
      </c>
      <c r="H450" s="1381">
        <v>44592</v>
      </c>
      <c r="I450" s="1176">
        <v>10</v>
      </c>
      <c r="J450" s="1176" t="s">
        <v>673</v>
      </c>
      <c r="K450" s="1177" t="s">
        <v>674</v>
      </c>
      <c r="L450" s="1178" t="s">
        <v>675</v>
      </c>
      <c r="M450" s="1179">
        <v>48500000</v>
      </c>
      <c r="N450" s="1382" t="s">
        <v>1035</v>
      </c>
      <c r="O450" s="1174" t="s">
        <v>1036</v>
      </c>
      <c r="P450" s="1207" t="s">
        <v>678</v>
      </c>
      <c r="Q450" s="1163"/>
      <c r="R450" s="1357">
        <v>48500000</v>
      </c>
      <c r="S450" s="1357">
        <v>48500000</v>
      </c>
      <c r="T450" s="1357">
        <f>+Tabla16[[#This Row],[CDPS A 31 JULIO 2022]]-Tabla16[[#This Row],[CDP]]</f>
        <v>0</v>
      </c>
      <c r="U450" s="1357">
        <v>48500000</v>
      </c>
      <c r="V450" s="1357">
        <v>21178333</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ht="105" x14ac:dyDescent="0.25">
      <c r="A451" s="1355">
        <v>2022480</v>
      </c>
      <c r="B451" s="1172">
        <v>7658</v>
      </c>
      <c r="C451" s="1356" t="s">
        <v>679</v>
      </c>
      <c r="D451" s="1190" t="s">
        <v>692</v>
      </c>
      <c r="E451" s="1174">
        <v>80111600</v>
      </c>
      <c r="F451" s="1380" t="s">
        <v>1080</v>
      </c>
      <c r="G451" s="1381">
        <v>44562</v>
      </c>
      <c r="H451" s="1381">
        <v>44592</v>
      </c>
      <c r="I451" s="1176">
        <v>10</v>
      </c>
      <c r="J451" s="1176" t="s">
        <v>673</v>
      </c>
      <c r="K451" s="1177" t="s">
        <v>674</v>
      </c>
      <c r="L451" s="1178" t="s">
        <v>675</v>
      </c>
      <c r="M451" s="1179">
        <v>38500000</v>
      </c>
      <c r="N451" s="1382" t="s">
        <v>1035</v>
      </c>
      <c r="O451" s="1174" t="s">
        <v>1036</v>
      </c>
      <c r="P451" s="1207" t="s">
        <v>678</v>
      </c>
      <c r="Q451" s="1163"/>
      <c r="R451" s="1357">
        <v>38500000</v>
      </c>
      <c r="S451" s="1357">
        <v>38500000</v>
      </c>
      <c r="T451" s="1357">
        <f>+Tabla16[[#This Row],[CDPS A 31 JULIO 2022]]-Tabla16[[#This Row],[CDP]]</f>
        <v>0</v>
      </c>
      <c r="U451" s="1357">
        <v>38500000</v>
      </c>
      <c r="V451" s="1357">
        <v>17068333</v>
      </c>
      <c r="W451" s="1357"/>
      <c r="X451" s="1207"/>
      <c r="Y451" s="1207"/>
      <c r="Z451" s="1207"/>
      <c r="AA451" s="1207"/>
      <c r="AB451" s="1207"/>
      <c r="AC451" s="1207"/>
      <c r="AD451" s="1207"/>
      <c r="AE451" s="1207"/>
      <c r="AF451" s="1207"/>
      <c r="AG451" s="1207"/>
      <c r="AH451" s="1207"/>
      <c r="AI451" s="1207"/>
      <c r="AJ451" s="1207"/>
      <c r="AK451" s="1207"/>
      <c r="AL451" s="1207"/>
      <c r="AM451" s="1207"/>
      <c r="AN451" s="1207"/>
      <c r="AO451" s="1207"/>
      <c r="AP451" s="1207"/>
      <c r="AQ451" s="1207"/>
      <c r="AR451" s="1207"/>
      <c r="AS451" s="1207"/>
      <c r="AT451" s="1207"/>
      <c r="AU451" s="1207"/>
      <c r="AV451" s="1207"/>
      <c r="AW451" s="1207"/>
      <c r="AX451" s="1207"/>
      <c r="AY451" s="1207"/>
      <c r="AZ451" s="1207"/>
      <c r="BA451" s="1207"/>
      <c r="BB451" s="1207"/>
      <c r="BC451" s="1207"/>
      <c r="BD451" s="1207"/>
      <c r="BE451" s="1207"/>
      <c r="BF451" s="1207"/>
      <c r="BG451" s="1207"/>
      <c r="BH451" s="1207"/>
      <c r="BI451" s="1207"/>
      <c r="BJ451" s="1207"/>
      <c r="BK451" s="1207"/>
      <c r="BL451" s="1207"/>
      <c r="BM451" s="1207"/>
      <c r="BN451" s="1207"/>
      <c r="BO451" s="1207"/>
      <c r="BP451" s="1207"/>
      <c r="BQ451" s="1207"/>
      <c r="BR451" s="1207"/>
      <c r="BS451" s="1207"/>
      <c r="BT451" s="1207"/>
      <c r="BU451" s="1207"/>
      <c r="BV451" s="1207"/>
      <c r="BW451" s="1207"/>
      <c r="BX451" s="1207"/>
      <c r="BY451" s="1207"/>
      <c r="BZ451" s="1207"/>
      <c r="CA451" s="1207"/>
      <c r="CB451" s="1207"/>
      <c r="CC451" s="1207"/>
      <c r="CD451" s="1207"/>
      <c r="CE451" s="1207"/>
      <c r="CF451" s="1207"/>
    </row>
    <row r="452" spans="1:84" ht="105" x14ac:dyDescent="0.25">
      <c r="A452" s="1355">
        <v>2022481</v>
      </c>
      <c r="B452" s="1172">
        <v>7658</v>
      </c>
      <c r="C452" s="1356" t="s">
        <v>679</v>
      </c>
      <c r="D452" s="1190" t="s">
        <v>692</v>
      </c>
      <c r="E452" s="1174">
        <v>80111600</v>
      </c>
      <c r="F452" s="1380" t="s">
        <v>1081</v>
      </c>
      <c r="G452" s="1381">
        <v>44562</v>
      </c>
      <c r="H452" s="1381">
        <v>44592</v>
      </c>
      <c r="I452" s="1176">
        <v>6</v>
      </c>
      <c r="J452" s="1176" t="s">
        <v>673</v>
      </c>
      <c r="K452" s="1177" t="s">
        <v>674</v>
      </c>
      <c r="L452" s="1178" t="s">
        <v>675</v>
      </c>
      <c r="M452" s="1179">
        <v>48000000</v>
      </c>
      <c r="N452" s="1382" t="s">
        <v>1035</v>
      </c>
      <c r="O452" s="1174" t="s">
        <v>1036</v>
      </c>
      <c r="P452" s="1207" t="s">
        <v>678</v>
      </c>
      <c r="Q452" s="1163"/>
      <c r="R452" s="1357">
        <v>48000000</v>
      </c>
      <c r="S452" s="1357">
        <v>48000000</v>
      </c>
      <c r="T452" s="1357">
        <f>+Tabla16[[#This Row],[CDPS A 31 JULIO 2022]]-Tabla16[[#This Row],[CDP]]</f>
        <v>0</v>
      </c>
      <c r="U452" s="1357">
        <v>48000000</v>
      </c>
      <c r="V452" s="1357">
        <v>34933333</v>
      </c>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ht="105" x14ac:dyDescent="0.25">
      <c r="A453" s="1355">
        <v>2022482</v>
      </c>
      <c r="B453" s="1172">
        <v>7658</v>
      </c>
      <c r="C453" s="1356" t="s">
        <v>679</v>
      </c>
      <c r="D453" s="1190" t="s">
        <v>692</v>
      </c>
      <c r="E453" s="1174">
        <v>80111600</v>
      </c>
      <c r="F453" s="1380" t="s">
        <v>1082</v>
      </c>
      <c r="G453" s="1381">
        <v>44562</v>
      </c>
      <c r="H453" s="1381">
        <v>44592</v>
      </c>
      <c r="I453" s="1176">
        <v>6</v>
      </c>
      <c r="J453" s="1176" t="s">
        <v>673</v>
      </c>
      <c r="K453" s="1177" t="s">
        <v>674</v>
      </c>
      <c r="L453" s="1178" t="s">
        <v>675</v>
      </c>
      <c r="M453" s="1179">
        <v>28200000</v>
      </c>
      <c r="N453" s="1382" t="s">
        <v>1035</v>
      </c>
      <c r="O453" s="1174" t="s">
        <v>1036</v>
      </c>
      <c r="P453" s="1207" t="s">
        <v>678</v>
      </c>
      <c r="Q453" s="1163"/>
      <c r="R453" s="1357">
        <v>28200000</v>
      </c>
      <c r="S453" s="1357">
        <v>28200000</v>
      </c>
      <c r="T453" s="1357">
        <f>+Tabla16[[#This Row],[CDPS A 31 JULIO 2022]]-Tabla16[[#This Row],[CDP]]</f>
        <v>0</v>
      </c>
      <c r="U453" s="1357">
        <v>28200000</v>
      </c>
      <c r="V453" s="1357">
        <v>20836667</v>
      </c>
      <c r="W453" s="135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7"/>
      <c r="AT453" s="1207"/>
      <c r="AU453" s="1207"/>
      <c r="AV453" s="1207"/>
      <c r="AW453" s="1207"/>
      <c r="AX453" s="1207"/>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row>
    <row r="454" spans="1:84" ht="135" x14ac:dyDescent="0.25">
      <c r="A454" s="1355">
        <v>2022483</v>
      </c>
      <c r="B454" s="1172">
        <v>7658</v>
      </c>
      <c r="C454" s="1356" t="s">
        <v>679</v>
      </c>
      <c r="D454" s="1190" t="s">
        <v>698</v>
      </c>
      <c r="E454" s="1174" t="s">
        <v>1083</v>
      </c>
      <c r="F454" s="1380" t="s">
        <v>1084</v>
      </c>
      <c r="G454" s="1381">
        <v>44562</v>
      </c>
      <c r="H454" s="1381">
        <v>44620</v>
      </c>
      <c r="I454" s="1176">
        <v>10.5</v>
      </c>
      <c r="J454" s="1176" t="s">
        <v>699</v>
      </c>
      <c r="K454" s="1177" t="s">
        <v>674</v>
      </c>
      <c r="L454" s="1178" t="s">
        <v>1085</v>
      </c>
      <c r="M454" s="1179">
        <f>30000000+10000000+5000000-10000000</f>
        <v>35000000</v>
      </c>
      <c r="N454" s="1382" t="s">
        <v>772</v>
      </c>
      <c r="O454" s="1174" t="s">
        <v>915</v>
      </c>
      <c r="P454" s="1163" t="s">
        <v>678</v>
      </c>
      <c r="Q454" s="1163"/>
      <c r="R454" s="1357">
        <v>35000000</v>
      </c>
      <c r="S454" s="1357">
        <v>35000000</v>
      </c>
      <c r="T454" s="1357">
        <f>+Tabla16[[#This Row],[CDPS A 31 JULIO 2022]]-Tabla16[[#This Row],[CDP]]</f>
        <v>0</v>
      </c>
      <c r="U454" s="1357">
        <v>35000000</v>
      </c>
      <c r="V454" s="1357">
        <v>11762300</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s="1379" customFormat="1" ht="135" x14ac:dyDescent="0.25">
      <c r="A455" s="1355">
        <v>2022484</v>
      </c>
      <c r="B455" s="1172">
        <v>7658</v>
      </c>
      <c r="C455" s="1356" t="s">
        <v>679</v>
      </c>
      <c r="D455" s="1190" t="s">
        <v>698</v>
      </c>
      <c r="E455" s="1174" t="s">
        <v>1086</v>
      </c>
      <c r="F455" s="1380" t="s">
        <v>1087</v>
      </c>
      <c r="G455" s="1381">
        <v>44576</v>
      </c>
      <c r="H455" s="1381">
        <v>44593</v>
      </c>
      <c r="I455" s="1176">
        <v>9.5</v>
      </c>
      <c r="J455" s="1176" t="s">
        <v>696</v>
      </c>
      <c r="K455" s="1177" t="s">
        <v>674</v>
      </c>
      <c r="L455" s="1178" t="s">
        <v>1088</v>
      </c>
      <c r="M455" s="1179">
        <f>100000000-29000000</f>
        <v>71000000</v>
      </c>
      <c r="N455" s="1382" t="s">
        <v>772</v>
      </c>
      <c r="O455" s="1174" t="s">
        <v>915</v>
      </c>
      <c r="P455" s="1163" t="s">
        <v>678</v>
      </c>
      <c r="Q455" s="1163"/>
      <c r="R455" s="1357">
        <v>100000000</v>
      </c>
      <c r="S455" s="1357">
        <v>100000000</v>
      </c>
      <c r="T455" s="1357">
        <f>+Tabla16[[#This Row],[CDPS A 31 JULIO 2022]]-Tabla16[[#This Row],[CDP]]</f>
        <v>0</v>
      </c>
      <c r="U455" s="1357">
        <v>71000000</v>
      </c>
      <c r="V455" s="1357"/>
      <c r="W455" s="1357"/>
    </row>
    <row r="456" spans="1:84" ht="135" x14ac:dyDescent="0.25">
      <c r="A456" s="1355">
        <v>2022485</v>
      </c>
      <c r="B456" s="1172">
        <v>7658</v>
      </c>
      <c r="C456" s="1356" t="s">
        <v>679</v>
      </c>
      <c r="D456" s="1190" t="s">
        <v>698</v>
      </c>
      <c r="E456" s="1174" t="s">
        <v>1089</v>
      </c>
      <c r="F456" s="1380" t="s">
        <v>1090</v>
      </c>
      <c r="G456" s="1381">
        <v>44576</v>
      </c>
      <c r="H456" s="1381">
        <v>44593</v>
      </c>
      <c r="I456" s="1176">
        <v>11</v>
      </c>
      <c r="J456" s="1176" t="s">
        <v>696</v>
      </c>
      <c r="K456" s="1177" t="s">
        <v>674</v>
      </c>
      <c r="L456" s="1178" t="s">
        <v>1091</v>
      </c>
      <c r="M456" s="1179">
        <f>260900000-10900000-10000000</f>
        <v>240000000</v>
      </c>
      <c r="N456" s="1382" t="s">
        <v>772</v>
      </c>
      <c r="O456" s="1174" t="s">
        <v>915</v>
      </c>
      <c r="P456" s="1163" t="s">
        <v>678</v>
      </c>
      <c r="Q456" s="1163"/>
      <c r="R456" s="1357">
        <v>240000000</v>
      </c>
      <c r="S456" s="1357">
        <v>240000000</v>
      </c>
      <c r="T456" s="1357">
        <f>+Tabla16[[#This Row],[CDPS A 31 JULIO 2022]]-Tabla16[[#This Row],[CDP]]</f>
        <v>0</v>
      </c>
      <c r="U456" s="1357">
        <v>240000000</v>
      </c>
      <c r="V456" s="1357">
        <v>26192580</v>
      </c>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ht="135" x14ac:dyDescent="0.25">
      <c r="A457" s="1358">
        <v>2022486</v>
      </c>
      <c r="B457" s="1359">
        <v>7658</v>
      </c>
      <c r="C457" s="1360" t="s">
        <v>679</v>
      </c>
      <c r="D457" s="1386" t="s">
        <v>698</v>
      </c>
      <c r="E457" s="1387" t="s">
        <v>1092</v>
      </c>
      <c r="F457" s="1388" t="s">
        <v>1093</v>
      </c>
      <c r="G457" s="1389">
        <v>44683</v>
      </c>
      <c r="H457" s="1389">
        <v>44728</v>
      </c>
      <c r="I457" s="1268">
        <v>9</v>
      </c>
      <c r="J457" s="1176" t="s">
        <v>696</v>
      </c>
      <c r="K457" s="1177" t="s">
        <v>674</v>
      </c>
      <c r="L457" s="1178" t="s">
        <v>994</v>
      </c>
      <c r="M457" s="1249">
        <v>200000000</v>
      </c>
      <c r="N457" s="1382" t="s">
        <v>772</v>
      </c>
      <c r="O457" s="1387" t="s">
        <v>915</v>
      </c>
      <c r="P457" s="1163" t="s">
        <v>678</v>
      </c>
      <c r="Q457" s="1163"/>
      <c r="R457" s="1368">
        <v>200000000</v>
      </c>
      <c r="S457" s="1368">
        <v>200000000</v>
      </c>
      <c r="T457" s="1357">
        <f>+Tabla16[[#This Row],[CDPS A 31 JULIO 2022]]-Tabla16[[#This Row],[CDP]]</f>
        <v>0</v>
      </c>
      <c r="U457" s="1361"/>
      <c r="V457" s="1361"/>
      <c r="W457" s="1357"/>
      <c r="X457" s="1207"/>
      <c r="Y457" s="1207"/>
      <c r="Z457" s="1207"/>
      <c r="AA457" s="1207"/>
      <c r="AB457" s="1207"/>
      <c r="AC457" s="1207"/>
      <c r="AD457" s="1207"/>
      <c r="AE457" s="1207"/>
      <c r="AF457" s="1207"/>
      <c r="AG457" s="1207"/>
      <c r="AH457" s="1207"/>
      <c r="AI457" s="1207"/>
      <c r="AJ457" s="1207"/>
      <c r="AK457" s="1207"/>
      <c r="AL457" s="1207"/>
      <c r="AM457" s="1207"/>
      <c r="AN457" s="1207"/>
      <c r="AO457" s="1207"/>
      <c r="AP457" s="1207"/>
      <c r="AQ457" s="1207"/>
      <c r="AR457" s="1207"/>
      <c r="AS457" s="1207"/>
      <c r="AT457" s="1207"/>
      <c r="AU457" s="1207"/>
      <c r="AV457" s="1207"/>
      <c r="AW457" s="1207"/>
      <c r="AX457" s="1207"/>
      <c r="AY457" s="1207"/>
      <c r="AZ457" s="1207"/>
      <c r="BA457" s="1207"/>
      <c r="BB457" s="1207"/>
      <c r="BC457" s="1207"/>
      <c r="BD457" s="1207"/>
      <c r="BE457" s="1207"/>
      <c r="BF457" s="1207"/>
      <c r="BG457" s="1207"/>
      <c r="BH457" s="1207"/>
      <c r="BI457" s="1207"/>
      <c r="BJ457" s="1207"/>
      <c r="BK457" s="1207"/>
      <c r="BL457" s="1207"/>
      <c r="BM457" s="1207"/>
      <c r="BN457" s="1207"/>
      <c r="BO457" s="1207"/>
      <c r="BP457" s="1207"/>
      <c r="BQ457" s="1207"/>
      <c r="BR457" s="1207"/>
      <c r="BS457" s="1207"/>
      <c r="BT457" s="1207"/>
      <c r="BU457" s="1207"/>
      <c r="BV457" s="1207"/>
      <c r="BW457" s="1207"/>
      <c r="BX457" s="1207"/>
      <c r="BY457" s="1207"/>
      <c r="BZ457" s="1207"/>
      <c r="CA457" s="1207"/>
      <c r="CB457" s="1207"/>
      <c r="CC457" s="1207"/>
      <c r="CD457" s="1207"/>
      <c r="CE457" s="1207"/>
      <c r="CF457" s="1207"/>
    </row>
    <row r="458" spans="1:84" ht="135" x14ac:dyDescent="0.25">
      <c r="A458" s="1358">
        <v>2022487</v>
      </c>
      <c r="B458" s="1359">
        <v>7658</v>
      </c>
      <c r="C458" s="1360" t="s">
        <v>679</v>
      </c>
      <c r="D458" s="1386" t="s">
        <v>698</v>
      </c>
      <c r="E458" s="1387" t="s">
        <v>1086</v>
      </c>
      <c r="F458" s="1388" t="s">
        <v>1094</v>
      </c>
      <c r="G458" s="1389">
        <v>44683</v>
      </c>
      <c r="H458" s="1389">
        <v>44728</v>
      </c>
      <c r="I458" s="1268">
        <v>1</v>
      </c>
      <c r="J458" s="1268" t="s">
        <v>720</v>
      </c>
      <c r="K458" s="1177" t="s">
        <v>674</v>
      </c>
      <c r="L458" s="1213" t="s">
        <v>1088</v>
      </c>
      <c r="M458" s="1249">
        <f>34000000-10000000-5000000-19000000</f>
        <v>0</v>
      </c>
      <c r="N458" s="1382" t="s">
        <v>772</v>
      </c>
      <c r="O458" s="1387" t="s">
        <v>915</v>
      </c>
      <c r="P458" s="1163" t="s">
        <v>678</v>
      </c>
      <c r="Q458" s="1163"/>
      <c r="R458" s="1269">
        <v>0</v>
      </c>
      <c r="S458" s="1357"/>
      <c r="T458" s="1357">
        <f>+Tabla16[[#This Row],[CDPS A 31 JULIO 2022]]-Tabla16[[#This Row],[CDP]]</f>
        <v>0</v>
      </c>
      <c r="U458" s="1357"/>
      <c r="V458" s="1357"/>
      <c r="W458" s="1357"/>
      <c r="X458" s="1207"/>
      <c r="Y458" s="1207"/>
      <c r="Z458" s="1207"/>
      <c r="AA458" s="1207"/>
      <c r="AB458" s="1207"/>
      <c r="AC458" s="1207"/>
      <c r="AD458" s="1207"/>
      <c r="AE458" s="1207"/>
      <c r="AF458" s="1207"/>
      <c r="AG458" s="1207"/>
      <c r="AH458" s="1207"/>
      <c r="AI458" s="1207"/>
      <c r="AJ458" s="1207"/>
      <c r="AK458" s="1207"/>
      <c r="AL458" s="1207"/>
      <c r="AM458" s="1207"/>
      <c r="AN458" s="1207"/>
      <c r="AO458" s="1207"/>
      <c r="AP458" s="1207"/>
      <c r="AQ458" s="1207"/>
      <c r="AR458" s="1207"/>
      <c r="AS458" s="1207"/>
      <c r="AT458" s="1207"/>
      <c r="AU458" s="1207"/>
      <c r="AV458" s="1207"/>
      <c r="AW458" s="1207"/>
      <c r="AX458" s="1207"/>
      <c r="AY458" s="1207"/>
      <c r="AZ458" s="1207"/>
      <c r="BA458" s="1207"/>
      <c r="BB458" s="1207"/>
      <c r="BC458" s="1207"/>
      <c r="BD458" s="1207"/>
      <c r="BE458" s="1207"/>
      <c r="BF458" s="1207"/>
      <c r="BG458" s="1207"/>
      <c r="BH458" s="1207"/>
      <c r="BI458" s="1207"/>
      <c r="BJ458" s="1207"/>
      <c r="BK458" s="1207"/>
      <c r="BL458" s="1207"/>
      <c r="BM458" s="1207"/>
      <c r="BN458" s="1207"/>
      <c r="BO458" s="1207"/>
      <c r="BP458" s="1207"/>
      <c r="BQ458" s="1207"/>
      <c r="BR458" s="1207"/>
      <c r="BS458" s="1207"/>
      <c r="BT458" s="1207"/>
      <c r="BU458" s="1207"/>
      <c r="BV458" s="1207"/>
      <c r="BW458" s="1207"/>
      <c r="BX458" s="1207"/>
      <c r="BY458" s="1207"/>
      <c r="BZ458" s="1207"/>
      <c r="CA458" s="1207"/>
      <c r="CB458" s="1207"/>
      <c r="CC458" s="1207"/>
      <c r="CD458" s="1207"/>
      <c r="CE458" s="1207"/>
      <c r="CF458" s="1207"/>
    </row>
    <row r="459" spans="1:84" ht="135" x14ac:dyDescent="0.25">
      <c r="A459" s="1355">
        <v>2022488</v>
      </c>
      <c r="B459" s="1172">
        <v>7658</v>
      </c>
      <c r="C459" s="1356" t="s">
        <v>679</v>
      </c>
      <c r="D459" s="1190" t="s">
        <v>698</v>
      </c>
      <c r="E459" s="1174">
        <v>78181500</v>
      </c>
      <c r="F459" s="1380" t="s">
        <v>1095</v>
      </c>
      <c r="G459" s="1381">
        <v>44562</v>
      </c>
      <c r="H459" s="1381">
        <v>44620</v>
      </c>
      <c r="I459" s="1176">
        <v>12</v>
      </c>
      <c r="J459" s="1176" t="s">
        <v>645</v>
      </c>
      <c r="K459" s="1177" t="s">
        <v>674</v>
      </c>
      <c r="L459" s="1178" t="s">
        <v>1096</v>
      </c>
      <c r="M459" s="1179">
        <v>2500000000</v>
      </c>
      <c r="N459" s="1382" t="s">
        <v>775</v>
      </c>
      <c r="O459" s="1174" t="s">
        <v>915</v>
      </c>
      <c r="P459" s="1163" t="s">
        <v>678</v>
      </c>
      <c r="Q459" s="1163"/>
      <c r="R459" s="1357">
        <v>2500000000</v>
      </c>
      <c r="S459" s="1357">
        <v>2500000000</v>
      </c>
      <c r="T459" s="1357">
        <f>+Tabla16[[#This Row],[CDPS A 31 JULIO 2022]]-Tabla16[[#This Row],[CDP]]</f>
        <v>0</v>
      </c>
      <c r="U459" s="1357">
        <v>2500000000</v>
      </c>
      <c r="V459" s="1357"/>
      <c r="W459" s="1357"/>
      <c r="X459" s="1207"/>
      <c r="Y459" s="1207"/>
      <c r="Z459" s="1207"/>
      <c r="AA459" s="1207"/>
      <c r="AB459" s="1207"/>
      <c r="AC459" s="1207"/>
      <c r="AD459" s="1207"/>
      <c r="AE459" s="1207"/>
      <c r="AF459" s="1207"/>
      <c r="AG459" s="1207"/>
      <c r="AH459" s="1207"/>
      <c r="AI459" s="1207"/>
      <c r="AJ459" s="1207"/>
      <c r="AK459" s="1207"/>
      <c r="AL459" s="1207"/>
      <c r="AM459" s="1207"/>
      <c r="AN459" s="1207"/>
      <c r="AO459" s="1207"/>
      <c r="AP459" s="1207"/>
      <c r="AQ459" s="1207"/>
      <c r="AR459" s="1207"/>
      <c r="AS459" s="1207"/>
      <c r="AT459" s="1207"/>
      <c r="AU459" s="1207"/>
      <c r="AV459" s="1207"/>
      <c r="AW459" s="1207"/>
      <c r="AX459" s="1207"/>
      <c r="AY459" s="1207"/>
      <c r="AZ459" s="1207"/>
      <c r="BA459" s="1207"/>
      <c r="BB459" s="1207"/>
      <c r="BC459" s="1207"/>
      <c r="BD459" s="1207"/>
      <c r="BE459" s="1207"/>
      <c r="BF459" s="1207"/>
      <c r="BG459" s="1207"/>
      <c r="BH459" s="1207"/>
      <c r="BI459" s="1207"/>
      <c r="BJ459" s="1207"/>
      <c r="BK459" s="1207"/>
      <c r="BL459" s="1207"/>
      <c r="BM459" s="1207"/>
      <c r="BN459" s="1207"/>
      <c r="BO459" s="1207"/>
      <c r="BP459" s="1207"/>
      <c r="BQ459" s="1207"/>
      <c r="BR459" s="1207"/>
      <c r="BS459" s="1207"/>
      <c r="BT459" s="1207"/>
      <c r="BU459" s="1207"/>
      <c r="BV459" s="1207"/>
      <c r="BW459" s="1207"/>
      <c r="BX459" s="1207"/>
      <c r="BY459" s="1207"/>
      <c r="BZ459" s="1207"/>
      <c r="CA459" s="1207"/>
      <c r="CB459" s="1207"/>
      <c r="CC459" s="1207"/>
      <c r="CD459" s="1207"/>
      <c r="CE459" s="1207"/>
      <c r="CF459" s="1207"/>
    </row>
    <row r="460" spans="1:84" ht="135" x14ac:dyDescent="0.25">
      <c r="A460" s="1355">
        <v>2022489</v>
      </c>
      <c r="B460" s="1172">
        <v>7658</v>
      </c>
      <c r="C460" s="1356" t="s">
        <v>679</v>
      </c>
      <c r="D460" s="1190" t="s">
        <v>698</v>
      </c>
      <c r="E460" s="1174">
        <v>78181500</v>
      </c>
      <c r="F460" s="1380" t="s">
        <v>1097</v>
      </c>
      <c r="G460" s="1381">
        <v>44562</v>
      </c>
      <c r="H460" s="1381">
        <v>44592</v>
      </c>
      <c r="I460" s="1176">
        <v>3</v>
      </c>
      <c r="J460" s="1176" t="s">
        <v>645</v>
      </c>
      <c r="K460" s="1177" t="s">
        <v>674</v>
      </c>
      <c r="L460" s="1178" t="s">
        <v>1096</v>
      </c>
      <c r="M460" s="1179">
        <v>750000000</v>
      </c>
      <c r="N460" s="1382" t="s">
        <v>775</v>
      </c>
      <c r="O460" s="1174" t="s">
        <v>915</v>
      </c>
      <c r="P460" s="1163" t="s">
        <v>748</v>
      </c>
      <c r="Q460" s="1163"/>
      <c r="R460" s="1357">
        <v>750000000</v>
      </c>
      <c r="S460" s="1357">
        <v>750000000</v>
      </c>
      <c r="T460" s="1357">
        <f>+Tabla16[[#This Row],[CDPS A 31 JULIO 2022]]-Tabla16[[#This Row],[CDP]]</f>
        <v>0</v>
      </c>
      <c r="U460" s="1357">
        <v>750000000</v>
      </c>
      <c r="V460" s="1357">
        <v>749963672</v>
      </c>
      <c r="W460" s="1357"/>
      <c r="X460" s="1207"/>
      <c r="Y460" s="1207"/>
      <c r="Z460" s="1207"/>
      <c r="AA460" s="1207"/>
      <c r="AB460" s="1207"/>
      <c r="AC460" s="1207"/>
      <c r="AD460" s="1207"/>
      <c r="AE460" s="1207"/>
      <c r="AF460" s="1207"/>
      <c r="AG460" s="1207"/>
      <c r="AH460" s="1207"/>
      <c r="AI460" s="1207"/>
      <c r="AJ460" s="1207"/>
      <c r="AK460" s="1207"/>
      <c r="AL460" s="1207"/>
      <c r="AM460" s="1207"/>
      <c r="AN460" s="1207"/>
      <c r="AO460" s="1207"/>
      <c r="AP460" s="1207"/>
      <c r="AQ460" s="1207"/>
      <c r="AR460" s="1207"/>
      <c r="AS460" s="1207"/>
      <c r="AT460" s="1207"/>
      <c r="AU460" s="1207"/>
      <c r="AV460" s="1207"/>
      <c r="AW460" s="1207"/>
      <c r="AX460" s="1207"/>
      <c r="AY460" s="1207"/>
      <c r="AZ460" s="1207"/>
      <c r="BA460" s="1207"/>
      <c r="BB460" s="1207"/>
      <c r="BC460" s="1207"/>
      <c r="BD460" s="1207"/>
      <c r="BE460" s="1207"/>
      <c r="BF460" s="1207"/>
      <c r="BG460" s="1207"/>
      <c r="BH460" s="1207"/>
      <c r="BI460" s="1207"/>
      <c r="BJ460" s="1207"/>
      <c r="BK460" s="1207"/>
      <c r="BL460" s="1207"/>
      <c r="BM460" s="1207"/>
      <c r="BN460" s="1207"/>
      <c r="BO460" s="1207"/>
      <c r="BP460" s="1207"/>
      <c r="BQ460" s="1207"/>
      <c r="BR460" s="1207"/>
      <c r="BS460" s="1207"/>
      <c r="BT460" s="1207"/>
      <c r="BU460" s="1207"/>
      <c r="BV460" s="1207"/>
      <c r="BW460" s="1207"/>
      <c r="BX460" s="1207"/>
      <c r="BY460" s="1207"/>
      <c r="BZ460" s="1207"/>
      <c r="CA460" s="1207"/>
      <c r="CB460" s="1207"/>
      <c r="CC460" s="1207"/>
      <c r="CD460" s="1207"/>
      <c r="CE460" s="1207"/>
      <c r="CF460" s="1207"/>
    </row>
    <row r="461" spans="1:84" ht="135" x14ac:dyDescent="0.25">
      <c r="A461" s="1355">
        <v>2022490</v>
      </c>
      <c r="B461" s="1172">
        <v>7658</v>
      </c>
      <c r="C461" s="1356" t="s">
        <v>679</v>
      </c>
      <c r="D461" s="1190" t="s">
        <v>698</v>
      </c>
      <c r="E461" s="1174">
        <v>78181500</v>
      </c>
      <c r="F461" s="1380" t="s">
        <v>1098</v>
      </c>
      <c r="G461" s="1381">
        <v>44562</v>
      </c>
      <c r="H461" s="1381">
        <v>44592</v>
      </c>
      <c r="I461" s="1176">
        <v>2</v>
      </c>
      <c r="J461" s="1176" t="s">
        <v>645</v>
      </c>
      <c r="K461" s="1177" t="s">
        <v>674</v>
      </c>
      <c r="L461" s="1178" t="s">
        <v>1096</v>
      </c>
      <c r="M461" s="1179">
        <v>100000000</v>
      </c>
      <c r="N461" s="1382" t="s">
        <v>775</v>
      </c>
      <c r="O461" s="1174" t="s">
        <v>915</v>
      </c>
      <c r="P461" s="1163" t="s">
        <v>748</v>
      </c>
      <c r="Q461" s="1163"/>
      <c r="R461" s="1357">
        <v>100000000</v>
      </c>
      <c r="S461" s="1357">
        <v>100000000</v>
      </c>
      <c r="T461" s="1357">
        <f>+Tabla16[[#This Row],[CDPS A 31 JULIO 2022]]-Tabla16[[#This Row],[CDP]]</f>
        <v>0</v>
      </c>
      <c r="U461" s="1357">
        <v>100000000</v>
      </c>
      <c r="V461" s="1357">
        <v>99999999</v>
      </c>
      <c r="W461" s="1357"/>
      <c r="X461" s="1207"/>
      <c r="Y461" s="1207"/>
      <c r="Z461" s="1207"/>
      <c r="AA461" s="1207"/>
      <c r="AB461" s="1207"/>
      <c r="AC461" s="1207"/>
      <c r="AD461" s="1207"/>
      <c r="AE461" s="1207"/>
      <c r="AF461" s="1207"/>
      <c r="AG461" s="1207"/>
      <c r="AH461" s="1207"/>
      <c r="AI461" s="1207"/>
      <c r="AJ461" s="1207"/>
      <c r="AK461" s="1207"/>
      <c r="AL461" s="1207"/>
      <c r="AM461" s="1207"/>
      <c r="AN461" s="1207"/>
      <c r="AO461" s="1207"/>
      <c r="AP461" s="1207"/>
      <c r="AQ461" s="1207"/>
      <c r="AR461" s="1207"/>
      <c r="AS461" s="1207"/>
      <c r="AT461" s="1207"/>
      <c r="AU461" s="1207"/>
      <c r="AV461" s="1207"/>
      <c r="AW461" s="1207"/>
      <c r="AX461" s="1207"/>
      <c r="AY461" s="1207"/>
      <c r="AZ461" s="1207"/>
      <c r="BA461" s="1207"/>
      <c r="BB461" s="1207"/>
      <c r="BC461" s="1207"/>
      <c r="BD461" s="1207"/>
      <c r="BE461" s="1207"/>
      <c r="BF461" s="1207"/>
      <c r="BG461" s="1207"/>
      <c r="BH461" s="1207"/>
      <c r="BI461" s="1207"/>
      <c r="BJ461" s="1207"/>
      <c r="BK461" s="1207"/>
      <c r="BL461" s="1207"/>
      <c r="BM461" s="1207"/>
      <c r="BN461" s="1207"/>
      <c r="BO461" s="1207"/>
      <c r="BP461" s="1207"/>
      <c r="BQ461" s="1207"/>
      <c r="BR461" s="1207"/>
      <c r="BS461" s="1207"/>
      <c r="BT461" s="1207"/>
      <c r="BU461" s="1207"/>
      <c r="BV461" s="1207"/>
      <c r="BW461" s="1207"/>
      <c r="BX461" s="1207"/>
      <c r="BY461" s="1207"/>
      <c r="BZ461" s="1207"/>
      <c r="CA461" s="1207"/>
      <c r="CB461" s="1207"/>
      <c r="CC461" s="1207"/>
      <c r="CD461" s="1207"/>
      <c r="CE461" s="1207"/>
      <c r="CF461" s="1207"/>
    </row>
    <row r="462" spans="1:84" s="1379" customFormat="1" ht="135" x14ac:dyDescent="0.25">
      <c r="A462" s="1355">
        <v>2022491</v>
      </c>
      <c r="B462" s="1172">
        <v>7658</v>
      </c>
      <c r="C462" s="1356" t="s">
        <v>679</v>
      </c>
      <c r="D462" s="1190" t="s">
        <v>698</v>
      </c>
      <c r="E462" s="1174">
        <v>25172500</v>
      </c>
      <c r="F462" s="1380" t="s">
        <v>1099</v>
      </c>
      <c r="G462" s="1381">
        <v>44562</v>
      </c>
      <c r="H462" s="1381">
        <v>44620</v>
      </c>
      <c r="I462" s="1176">
        <v>11</v>
      </c>
      <c r="J462" s="1176" t="s">
        <v>696</v>
      </c>
      <c r="K462" s="1177" t="s">
        <v>674</v>
      </c>
      <c r="L462" s="1178" t="s">
        <v>994</v>
      </c>
      <c r="M462" s="1179">
        <v>150000000</v>
      </c>
      <c r="N462" s="1382" t="s">
        <v>775</v>
      </c>
      <c r="O462" s="1174" t="s">
        <v>915</v>
      </c>
      <c r="P462" s="1163" t="s">
        <v>678</v>
      </c>
      <c r="Q462" s="1163"/>
      <c r="R462" s="1357">
        <v>150000000</v>
      </c>
      <c r="S462" s="1357">
        <v>150000000</v>
      </c>
      <c r="T462" s="1357">
        <f>+Tabla16[[#This Row],[CDPS A 31 JULIO 2022]]-Tabla16[[#This Row],[CDP]]</f>
        <v>0</v>
      </c>
      <c r="U462" s="1357">
        <v>150000000</v>
      </c>
      <c r="V462" s="1357">
        <v>32643785</v>
      </c>
      <c r="W462" s="1357"/>
    </row>
    <row r="463" spans="1:84" s="1379" customFormat="1" ht="135" x14ac:dyDescent="0.25">
      <c r="A463" s="1355">
        <v>2022492</v>
      </c>
      <c r="B463" s="1172">
        <v>7658</v>
      </c>
      <c r="C463" s="1356" t="s">
        <v>679</v>
      </c>
      <c r="D463" s="1190" t="s">
        <v>698</v>
      </c>
      <c r="E463" s="1174">
        <v>15101500</v>
      </c>
      <c r="F463" s="1380" t="s">
        <v>1100</v>
      </c>
      <c r="G463" s="1381">
        <v>44562</v>
      </c>
      <c r="H463" s="1381">
        <v>44620</v>
      </c>
      <c r="I463" s="1176">
        <v>12</v>
      </c>
      <c r="J463" s="1176" t="s">
        <v>720</v>
      </c>
      <c r="K463" s="1177" t="s">
        <v>674</v>
      </c>
      <c r="L463" s="1178" t="s">
        <v>1101</v>
      </c>
      <c r="M463" s="1179">
        <v>1030000000</v>
      </c>
      <c r="N463" s="1382" t="s">
        <v>775</v>
      </c>
      <c r="O463" s="1174" t="s">
        <v>915</v>
      </c>
      <c r="P463" s="1163" t="s">
        <v>678</v>
      </c>
      <c r="Q463" s="1163"/>
      <c r="R463" s="1357">
        <v>1030000000</v>
      </c>
      <c r="S463" s="1357">
        <v>1030000000</v>
      </c>
      <c r="T463" s="1357">
        <f>+Tabla16[[#This Row],[CDPS A 31 JULIO 2022]]-Tabla16[[#This Row],[CDP]]</f>
        <v>0</v>
      </c>
      <c r="U463" s="1357">
        <v>1030000000</v>
      </c>
      <c r="V463" s="1357">
        <v>383409449</v>
      </c>
      <c r="W463" s="1357"/>
    </row>
    <row r="464" spans="1:84" s="1379" customFormat="1" ht="135" x14ac:dyDescent="0.25">
      <c r="A464" s="1358">
        <v>2022493</v>
      </c>
      <c r="B464" s="1359">
        <v>7658</v>
      </c>
      <c r="C464" s="1360" t="s">
        <v>679</v>
      </c>
      <c r="D464" s="1386" t="s">
        <v>698</v>
      </c>
      <c r="E464" s="1387" t="s">
        <v>1102</v>
      </c>
      <c r="F464" s="1388" t="s">
        <v>1103</v>
      </c>
      <c r="G464" s="1389">
        <v>44683</v>
      </c>
      <c r="H464" s="1389">
        <v>44728</v>
      </c>
      <c r="I464" s="1268">
        <v>12</v>
      </c>
      <c r="J464" s="1176" t="s">
        <v>696</v>
      </c>
      <c r="K464" s="1177" t="s">
        <v>674</v>
      </c>
      <c r="L464" s="1178" t="s">
        <v>994</v>
      </c>
      <c r="M464" s="1249">
        <f>400000000-175000000-8000000+50000000</f>
        <v>267000000</v>
      </c>
      <c r="N464" s="1382" t="s">
        <v>775</v>
      </c>
      <c r="O464" s="1387" t="s">
        <v>915</v>
      </c>
      <c r="P464" s="1159" t="s">
        <v>678</v>
      </c>
      <c r="Q464" s="1159"/>
      <c r="R464" s="1368">
        <v>217000000</v>
      </c>
      <c r="S464" s="1368">
        <v>217000000</v>
      </c>
      <c r="T464" s="1357">
        <f>+Tabla16[[#This Row],[CDPS A 31 JULIO 2022]]-Tabla16[[#This Row],[CDP]]</f>
        <v>0</v>
      </c>
      <c r="U464" s="1361"/>
      <c r="V464" s="1361"/>
      <c r="W464" s="1357"/>
    </row>
    <row r="465" spans="1:84" s="1379" customFormat="1" ht="135" x14ac:dyDescent="0.25">
      <c r="A465" s="1358">
        <v>2022495</v>
      </c>
      <c r="B465" s="1359">
        <v>7658</v>
      </c>
      <c r="C465" s="1360" t="s">
        <v>679</v>
      </c>
      <c r="D465" s="1386" t="s">
        <v>698</v>
      </c>
      <c r="E465" s="1387">
        <v>78181505</v>
      </c>
      <c r="F465" s="1388" t="s">
        <v>1104</v>
      </c>
      <c r="G465" s="1389">
        <v>44732</v>
      </c>
      <c r="H465" s="1389">
        <v>44752</v>
      </c>
      <c r="I465" s="1268">
        <v>7</v>
      </c>
      <c r="J465" s="1176" t="s">
        <v>673</v>
      </c>
      <c r="K465" s="1177" t="s">
        <v>674</v>
      </c>
      <c r="L465" s="1178" t="s">
        <v>994</v>
      </c>
      <c r="M465" s="1249">
        <v>80000000</v>
      </c>
      <c r="N465" s="1382" t="s">
        <v>775</v>
      </c>
      <c r="O465" s="1387" t="s">
        <v>915</v>
      </c>
      <c r="P465" s="1159" t="s">
        <v>678</v>
      </c>
      <c r="Q465" s="1159"/>
      <c r="R465" s="1368">
        <v>80000000</v>
      </c>
      <c r="S465" s="1368">
        <v>80000000</v>
      </c>
      <c r="T465" s="1357">
        <f>+Tabla16[[#This Row],[CDPS A 31 JULIO 2022]]-Tabla16[[#This Row],[CDP]]</f>
        <v>0</v>
      </c>
      <c r="U465" s="1361"/>
      <c r="V465" s="1361"/>
      <c r="W465" s="1357"/>
    </row>
    <row r="466" spans="1:84" s="1379" customFormat="1" ht="135" x14ac:dyDescent="0.25">
      <c r="A466" s="1358">
        <v>2022496</v>
      </c>
      <c r="B466" s="1359">
        <v>7658</v>
      </c>
      <c r="C466" s="1360" t="s">
        <v>679</v>
      </c>
      <c r="D466" s="1386" t="s">
        <v>698</v>
      </c>
      <c r="E466" s="1387" t="s">
        <v>1105</v>
      </c>
      <c r="F466" s="1388" t="s">
        <v>1106</v>
      </c>
      <c r="G466" s="1389">
        <v>44732</v>
      </c>
      <c r="H466" s="1389">
        <v>44752</v>
      </c>
      <c r="I466" s="1268">
        <v>7</v>
      </c>
      <c r="J466" s="1176" t="s">
        <v>673</v>
      </c>
      <c r="K466" s="1177" t="s">
        <v>674</v>
      </c>
      <c r="L466" s="1178" t="s">
        <v>994</v>
      </c>
      <c r="M466" s="1249">
        <v>150000000</v>
      </c>
      <c r="N466" s="1382" t="s">
        <v>775</v>
      </c>
      <c r="O466" s="1387" t="s">
        <v>915</v>
      </c>
      <c r="P466" s="1159" t="s">
        <v>678</v>
      </c>
      <c r="Q466" s="1159"/>
      <c r="R466" s="1368">
        <v>150000000</v>
      </c>
      <c r="S466" s="1368">
        <v>150000000</v>
      </c>
      <c r="T466" s="1357">
        <f>+Tabla16[[#This Row],[CDPS A 31 JULIO 2022]]-Tabla16[[#This Row],[CDP]]</f>
        <v>0</v>
      </c>
      <c r="U466" s="1361"/>
      <c r="V466" s="1361"/>
      <c r="W466" s="1357"/>
    </row>
    <row r="467" spans="1:84" ht="135" x14ac:dyDescent="0.25">
      <c r="A467" s="1358">
        <v>2022497</v>
      </c>
      <c r="B467" s="1359">
        <v>7658</v>
      </c>
      <c r="C467" s="1360" t="s">
        <v>679</v>
      </c>
      <c r="D467" s="1386" t="s">
        <v>698</v>
      </c>
      <c r="E467" s="1387">
        <v>72101509</v>
      </c>
      <c r="F467" s="1388" t="s">
        <v>1107</v>
      </c>
      <c r="G467" s="1389">
        <v>44732</v>
      </c>
      <c r="H467" s="1389">
        <v>44752</v>
      </c>
      <c r="I467" s="1268">
        <v>7</v>
      </c>
      <c r="J467" s="1176" t="s">
        <v>673</v>
      </c>
      <c r="K467" s="1177" t="s">
        <v>674</v>
      </c>
      <c r="L467" s="1178" t="s">
        <v>994</v>
      </c>
      <c r="M467" s="1249">
        <v>350000000</v>
      </c>
      <c r="N467" s="1382" t="s">
        <v>775</v>
      </c>
      <c r="O467" s="1387" t="s">
        <v>915</v>
      </c>
      <c r="P467" s="1159" t="s">
        <v>678</v>
      </c>
      <c r="Q467" s="1159"/>
      <c r="R467" s="1368">
        <v>350000000</v>
      </c>
      <c r="S467" s="1368">
        <v>350000000</v>
      </c>
      <c r="T467" s="1357">
        <f>+Tabla16[[#This Row],[CDPS A 31 JULIO 2022]]-Tabla16[[#This Row],[CDP]]</f>
        <v>0</v>
      </c>
      <c r="U467" s="1361"/>
      <c r="V467" s="1361"/>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135" x14ac:dyDescent="0.25">
      <c r="A468" s="1358">
        <v>2022498</v>
      </c>
      <c r="B468" s="1359">
        <v>7658</v>
      </c>
      <c r="C468" s="1360" t="s">
        <v>679</v>
      </c>
      <c r="D468" s="1386" t="s">
        <v>698</v>
      </c>
      <c r="E468" s="1387">
        <v>72101509</v>
      </c>
      <c r="F468" s="1388" t="s">
        <v>1108</v>
      </c>
      <c r="G468" s="1389">
        <v>44683</v>
      </c>
      <c r="H468" s="1389">
        <v>44728</v>
      </c>
      <c r="I468" s="1268">
        <v>9</v>
      </c>
      <c r="J468" s="1268" t="s">
        <v>696</v>
      </c>
      <c r="K468" s="1177" t="s">
        <v>674</v>
      </c>
      <c r="L468" s="1178" t="s">
        <v>994</v>
      </c>
      <c r="M468" s="1249">
        <v>300000000</v>
      </c>
      <c r="N468" s="1382" t="s">
        <v>775</v>
      </c>
      <c r="O468" s="1387" t="s">
        <v>915</v>
      </c>
      <c r="P468" s="1159" t="s">
        <v>678</v>
      </c>
      <c r="Q468" s="1159"/>
      <c r="R468" s="1368">
        <v>300000000</v>
      </c>
      <c r="S468" s="1368">
        <v>300000000</v>
      </c>
      <c r="T468" s="1357">
        <f>+Tabla16[[#This Row],[CDPS A 31 JULIO 2022]]-Tabla16[[#This Row],[CDP]]</f>
        <v>0</v>
      </c>
      <c r="U468" s="1361"/>
      <c r="V468" s="1361"/>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135" x14ac:dyDescent="0.25">
      <c r="A469" s="1355">
        <v>2022499</v>
      </c>
      <c r="B469" s="1172">
        <v>7658</v>
      </c>
      <c r="C469" s="1356" t="s">
        <v>679</v>
      </c>
      <c r="D469" s="1190" t="s">
        <v>698</v>
      </c>
      <c r="E469" s="1174">
        <v>78111800</v>
      </c>
      <c r="F469" s="1380" t="s">
        <v>1109</v>
      </c>
      <c r="G469" s="1381">
        <v>44683</v>
      </c>
      <c r="H469" s="1381">
        <v>44743</v>
      </c>
      <c r="I469" s="1176">
        <v>12</v>
      </c>
      <c r="J469" s="1176" t="s">
        <v>720</v>
      </c>
      <c r="K469" s="1177" t="s">
        <v>674</v>
      </c>
      <c r="L469" s="1178" t="s">
        <v>1110</v>
      </c>
      <c r="M469" s="1179">
        <f>600000000-100000000-139210766</f>
        <v>360789234</v>
      </c>
      <c r="N469" s="1382" t="s">
        <v>775</v>
      </c>
      <c r="O469" s="1174" t="s">
        <v>915</v>
      </c>
      <c r="P469" s="1163" t="s">
        <v>678</v>
      </c>
      <c r="Q469" s="1163"/>
      <c r="R469" s="1357">
        <v>360789234</v>
      </c>
      <c r="S469" s="1357">
        <v>500000000</v>
      </c>
      <c r="T469" s="1357">
        <f>+Tabla16[[#This Row],[CDPS A 31 JULIO 2022]]-Tabla16[[#This Row],[CDP]]</f>
        <v>-139210766</v>
      </c>
      <c r="U469" s="1357">
        <v>360789234</v>
      </c>
      <c r="V469" s="1357">
        <v>40655029</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ht="135" x14ac:dyDescent="0.25">
      <c r="A470" s="1400">
        <v>2022500</v>
      </c>
      <c r="B470" s="1401">
        <v>7658</v>
      </c>
      <c r="C470" s="1402" t="s">
        <v>679</v>
      </c>
      <c r="D470" s="1403" t="s">
        <v>698</v>
      </c>
      <c r="E470" s="1404"/>
      <c r="F470" s="1405" t="s">
        <v>1111</v>
      </c>
      <c r="G470" s="1406">
        <v>44576</v>
      </c>
      <c r="H470" s="1406">
        <v>44593</v>
      </c>
      <c r="I470" s="1407">
        <v>12</v>
      </c>
      <c r="J470" s="1407" t="s">
        <v>97</v>
      </c>
      <c r="K470" s="1408" t="s">
        <v>674</v>
      </c>
      <c r="L470" s="1409" t="s">
        <v>675</v>
      </c>
      <c r="M470" s="1410">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-7391030+200000000+81942022</f>
        <v>329712728</v>
      </c>
      <c r="N470" s="1411" t="s">
        <v>772</v>
      </c>
      <c r="O470" s="1404" t="s">
        <v>915</v>
      </c>
      <c r="P470" s="1413" t="s">
        <v>748</v>
      </c>
      <c r="Q470" s="1163"/>
      <c r="R470" s="1269">
        <v>0</v>
      </c>
      <c r="S470" s="1357"/>
      <c r="T470" s="1357">
        <f>+Tabla16[[#This Row],[CDPS A 31 JULIO 2022]]-Tabla16[[#This Row],[CDP]]</f>
        <v>0</v>
      </c>
      <c r="U470" s="1357"/>
      <c r="V470" s="1357"/>
      <c r="W470" s="1357"/>
      <c r="X470" s="1207"/>
      <c r="Y470" s="1207"/>
      <c r="Z470" s="1207"/>
      <c r="AA470" s="1207"/>
      <c r="AB470" s="1207"/>
      <c r="AC470" s="1207"/>
      <c r="AD470" s="1207"/>
      <c r="AE470" s="1207"/>
      <c r="AF470" s="1207"/>
      <c r="AG470" s="1207"/>
      <c r="AH470" s="1207"/>
      <c r="AI470" s="1207"/>
      <c r="AJ470" s="1207"/>
      <c r="AK470" s="1207"/>
      <c r="AL470" s="1207"/>
      <c r="AM470" s="1207"/>
      <c r="AN470" s="1207"/>
      <c r="AO470" s="1207"/>
      <c r="AP470" s="1207"/>
      <c r="AQ470" s="1207"/>
      <c r="AR470" s="1207"/>
      <c r="AS470" s="1207"/>
      <c r="AT470" s="1207"/>
      <c r="AU470" s="1207"/>
      <c r="AV470" s="1207"/>
      <c r="AW470" s="1207"/>
      <c r="AX470" s="1207"/>
      <c r="AY470" s="1207"/>
      <c r="AZ470" s="1207"/>
      <c r="BA470" s="1207"/>
      <c r="BB470" s="1207"/>
      <c r="BC470" s="1207"/>
      <c r="BD470" s="1207"/>
      <c r="BE470" s="1207"/>
      <c r="BF470" s="1207"/>
      <c r="BG470" s="1207"/>
      <c r="BH470" s="1207"/>
      <c r="BI470" s="1207"/>
      <c r="BJ470" s="1207"/>
      <c r="BK470" s="1207"/>
      <c r="BL470" s="1207"/>
      <c r="BM470" s="1207"/>
      <c r="BN470" s="1207"/>
      <c r="BO470" s="1207"/>
      <c r="BP470" s="1207"/>
      <c r="BQ470" s="1207"/>
      <c r="BR470" s="1207"/>
      <c r="BS470" s="1207"/>
      <c r="BT470" s="1207"/>
      <c r="BU470" s="1207"/>
      <c r="BV470" s="1207"/>
      <c r="BW470" s="1207"/>
      <c r="BX470" s="1207"/>
      <c r="BY470" s="1207"/>
      <c r="BZ470" s="1207"/>
      <c r="CA470" s="1207"/>
      <c r="CB470" s="1207"/>
      <c r="CC470" s="1207"/>
      <c r="CD470" s="1207"/>
      <c r="CE470" s="1207"/>
      <c r="CF470" s="1207"/>
    </row>
    <row r="471" spans="1:84" ht="135" x14ac:dyDescent="0.25">
      <c r="A471" s="1358">
        <v>2022501</v>
      </c>
      <c r="B471" s="1359">
        <v>7658</v>
      </c>
      <c r="C471" s="1360" t="s">
        <v>679</v>
      </c>
      <c r="D471" s="1386" t="s">
        <v>698</v>
      </c>
      <c r="E471" s="1387" t="s">
        <v>1112</v>
      </c>
      <c r="F471" s="1388" t="s">
        <v>1113</v>
      </c>
      <c r="G471" s="1389">
        <v>44683</v>
      </c>
      <c r="H471" s="1389">
        <v>44743</v>
      </c>
      <c r="I471" s="1268">
        <v>12</v>
      </c>
      <c r="J471" s="1176" t="s">
        <v>645</v>
      </c>
      <c r="K471" s="1390" t="s">
        <v>770</v>
      </c>
      <c r="L471" s="1178" t="s">
        <v>994</v>
      </c>
      <c r="M471" s="1249">
        <f>437560000-437560000</f>
        <v>0</v>
      </c>
      <c r="N471" s="1382" t="s">
        <v>775</v>
      </c>
      <c r="O471" s="1387" t="s">
        <v>915</v>
      </c>
      <c r="P471" s="1163" t="s">
        <v>678</v>
      </c>
      <c r="Q471" s="1163"/>
      <c r="R471" s="1269">
        <v>0</v>
      </c>
      <c r="S471" s="1357"/>
      <c r="T471" s="1357">
        <f>+Tabla16[[#This Row],[CDPS A 31 JULIO 2022]]-Tabla16[[#This Row],[CDP]]</f>
        <v>0</v>
      </c>
      <c r="U471" s="1357"/>
      <c r="V471" s="1357"/>
      <c r="W471" s="135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135" x14ac:dyDescent="0.25">
      <c r="A472" s="1355">
        <v>2022502</v>
      </c>
      <c r="B472" s="1172">
        <v>7658</v>
      </c>
      <c r="C472" s="1356" t="s">
        <v>679</v>
      </c>
      <c r="D472" s="1190" t="s">
        <v>698</v>
      </c>
      <c r="E472" s="1174">
        <v>80111600</v>
      </c>
      <c r="F472" s="1380" t="s">
        <v>1114</v>
      </c>
      <c r="G472" s="1381">
        <v>44562</v>
      </c>
      <c r="H472" s="1381">
        <v>44592</v>
      </c>
      <c r="I472" s="1176">
        <v>11.5</v>
      </c>
      <c r="J472" s="1176" t="s">
        <v>673</v>
      </c>
      <c r="K472" s="1177" t="s">
        <v>674</v>
      </c>
      <c r="L472" s="1178" t="s">
        <v>675</v>
      </c>
      <c r="M472" s="1179">
        <f>98900000-4300000</f>
        <v>94600000</v>
      </c>
      <c r="N472" s="1382" t="s">
        <v>775</v>
      </c>
      <c r="O472" s="1174" t="s">
        <v>915</v>
      </c>
      <c r="P472" s="1163" t="s">
        <v>678</v>
      </c>
      <c r="Q472" s="1163"/>
      <c r="R472" s="1357">
        <v>94600000</v>
      </c>
      <c r="S472" s="1357">
        <v>94600000</v>
      </c>
      <c r="T472" s="1357">
        <f>+Tabla16[[#This Row],[CDPS A 31 JULIO 2022]]-Tabla16[[#This Row],[CDP]]</f>
        <v>0</v>
      </c>
      <c r="U472" s="1357">
        <v>94600000</v>
      </c>
      <c r="V472" s="1357">
        <v>36406667</v>
      </c>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135" x14ac:dyDescent="0.25">
      <c r="A473" s="1355">
        <v>2022503</v>
      </c>
      <c r="B473" s="1172">
        <v>7658</v>
      </c>
      <c r="C473" s="1356" t="s">
        <v>679</v>
      </c>
      <c r="D473" s="1190" t="s">
        <v>698</v>
      </c>
      <c r="E473" s="1174">
        <v>80111600</v>
      </c>
      <c r="F473" s="1380" t="s">
        <v>1115</v>
      </c>
      <c r="G473" s="1381">
        <v>44562</v>
      </c>
      <c r="H473" s="1381">
        <v>44592</v>
      </c>
      <c r="I473" s="1176">
        <v>11.5</v>
      </c>
      <c r="J473" s="1176" t="s">
        <v>673</v>
      </c>
      <c r="K473" s="1177" t="s">
        <v>674</v>
      </c>
      <c r="L473" s="1178" t="s">
        <v>675</v>
      </c>
      <c r="M473" s="1179">
        <f>97175000-4225000</f>
        <v>92950000</v>
      </c>
      <c r="N473" s="1382" t="s">
        <v>775</v>
      </c>
      <c r="O473" s="1174" t="s">
        <v>915</v>
      </c>
      <c r="P473" s="1163" t="s">
        <v>678</v>
      </c>
      <c r="Q473" s="1163"/>
      <c r="R473" s="1357">
        <v>92950000</v>
      </c>
      <c r="S473" s="1357">
        <v>92950000</v>
      </c>
      <c r="T473" s="1357">
        <f>+Tabla16[[#This Row],[CDPS A 31 JULIO 2022]]-Tabla16[[#This Row],[CDP]]</f>
        <v>0</v>
      </c>
      <c r="U473" s="1357">
        <v>92950000</v>
      </c>
      <c r="V473" s="1357">
        <v>37743333</v>
      </c>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135" x14ac:dyDescent="0.25">
      <c r="A474" s="1355">
        <v>2022504</v>
      </c>
      <c r="B474" s="1172">
        <v>7658</v>
      </c>
      <c r="C474" s="1356" t="s">
        <v>679</v>
      </c>
      <c r="D474" s="1190" t="s">
        <v>698</v>
      </c>
      <c r="E474" s="1174">
        <v>80111600</v>
      </c>
      <c r="F474" s="1380" t="s">
        <v>1116</v>
      </c>
      <c r="G474" s="1381">
        <v>44562</v>
      </c>
      <c r="H474" s="1381">
        <v>44592</v>
      </c>
      <c r="I474" s="1176">
        <v>11.5</v>
      </c>
      <c r="J474" s="1176" t="s">
        <v>673</v>
      </c>
      <c r="K474" s="1177" t="s">
        <v>674</v>
      </c>
      <c r="L474" s="1178" t="s">
        <v>780</v>
      </c>
      <c r="M474" s="1179">
        <f>103500000-4500000</f>
        <v>99000000</v>
      </c>
      <c r="N474" s="1382" t="s">
        <v>775</v>
      </c>
      <c r="O474" s="1174" t="s">
        <v>915</v>
      </c>
      <c r="P474" s="1163" t="s">
        <v>678</v>
      </c>
      <c r="Q474" s="1163"/>
      <c r="R474" s="1357">
        <v>99000000</v>
      </c>
      <c r="S474" s="1357">
        <v>99000000</v>
      </c>
      <c r="T474" s="1357">
        <f>+Tabla16[[#This Row],[CDPS A 31 JULIO 2022]]-Tabla16[[#This Row],[CDP]]</f>
        <v>0</v>
      </c>
      <c r="U474" s="1357">
        <v>99000000</v>
      </c>
      <c r="V474" s="1357">
        <v>37800000</v>
      </c>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135" x14ac:dyDescent="0.25">
      <c r="A475" s="1355">
        <v>2022505</v>
      </c>
      <c r="B475" s="1172">
        <v>7658</v>
      </c>
      <c r="C475" s="1356" t="s">
        <v>679</v>
      </c>
      <c r="D475" s="1190" t="s">
        <v>698</v>
      </c>
      <c r="E475" s="1174">
        <v>80111600</v>
      </c>
      <c r="F475" s="1380" t="s">
        <v>1117</v>
      </c>
      <c r="G475" s="1381">
        <v>44562</v>
      </c>
      <c r="H475" s="1381">
        <v>44592</v>
      </c>
      <c r="I475" s="1176">
        <v>11.5</v>
      </c>
      <c r="J475" s="1176" t="s">
        <v>673</v>
      </c>
      <c r="K475" s="1177" t="s">
        <v>674</v>
      </c>
      <c r="L475" s="1178" t="s">
        <v>675</v>
      </c>
      <c r="M475" s="1179">
        <f>94760000-4120000</f>
        <v>90640000</v>
      </c>
      <c r="N475" s="1382" t="s">
        <v>772</v>
      </c>
      <c r="O475" s="1174" t="s">
        <v>915</v>
      </c>
      <c r="P475" s="1163" t="s">
        <v>678</v>
      </c>
      <c r="Q475" s="1163"/>
      <c r="R475" s="1357">
        <v>90640000</v>
      </c>
      <c r="S475" s="1357">
        <v>90640000</v>
      </c>
      <c r="T475" s="1357">
        <f>+Tabla16[[#This Row],[CDPS A 31 JULIO 2022]]-Tabla16[[#This Row],[CDP]]</f>
        <v>0</v>
      </c>
      <c r="U475" s="1357">
        <v>90640000</v>
      </c>
      <c r="V475" s="1357">
        <v>32685333</v>
      </c>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135" x14ac:dyDescent="0.25">
      <c r="A476" s="1355">
        <v>2022506</v>
      </c>
      <c r="B476" s="1172">
        <v>7658</v>
      </c>
      <c r="C476" s="1356" t="s">
        <v>679</v>
      </c>
      <c r="D476" s="1190" t="s">
        <v>698</v>
      </c>
      <c r="E476" s="1174">
        <v>80111600</v>
      </c>
      <c r="F476" s="1380" t="s">
        <v>1118</v>
      </c>
      <c r="G476" s="1381">
        <v>44562</v>
      </c>
      <c r="H476" s="1381">
        <v>44592</v>
      </c>
      <c r="I476" s="1176">
        <v>11.5</v>
      </c>
      <c r="J476" s="1176" t="s">
        <v>673</v>
      </c>
      <c r="K476" s="1177" t="s">
        <v>674</v>
      </c>
      <c r="L476" s="1178" t="s">
        <v>675</v>
      </c>
      <c r="M476" s="1179">
        <f>97175000-20700000-13225000-2750000</f>
        <v>60500000</v>
      </c>
      <c r="N476" s="1382" t="s">
        <v>775</v>
      </c>
      <c r="O476" s="1174" t="s">
        <v>915</v>
      </c>
      <c r="P476" s="1163" t="s">
        <v>678</v>
      </c>
      <c r="Q476" s="1163"/>
      <c r="R476" s="1357">
        <v>60500000</v>
      </c>
      <c r="S476" s="1357">
        <v>60500000</v>
      </c>
      <c r="T476" s="1357">
        <f>+Tabla16[[#This Row],[CDPS A 31 JULIO 2022]]-Tabla16[[#This Row],[CDP]]</f>
        <v>0</v>
      </c>
      <c r="U476" s="1357">
        <v>60500000</v>
      </c>
      <c r="V476" s="1357">
        <v>21450000</v>
      </c>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ht="135" x14ac:dyDescent="0.25">
      <c r="A477" s="1355">
        <v>2022507</v>
      </c>
      <c r="B477" s="1172">
        <v>7658</v>
      </c>
      <c r="C477" s="1356" t="s">
        <v>679</v>
      </c>
      <c r="D477" s="1190" t="s">
        <v>698</v>
      </c>
      <c r="E477" s="1174">
        <v>80111600</v>
      </c>
      <c r="F477" s="1380" t="s">
        <v>1119</v>
      </c>
      <c r="G477" s="1381">
        <v>44562</v>
      </c>
      <c r="H477" s="1381">
        <v>44592</v>
      </c>
      <c r="I477" s="1176">
        <v>11.5</v>
      </c>
      <c r="J477" s="1176" t="s">
        <v>673</v>
      </c>
      <c r="K477" s="1177" t="s">
        <v>674</v>
      </c>
      <c r="L477" s="1178" t="s">
        <v>675</v>
      </c>
      <c r="M477" s="1179">
        <f>82915000-3605000</f>
        <v>79310000</v>
      </c>
      <c r="N477" s="1382" t="s">
        <v>775</v>
      </c>
      <c r="O477" s="1174" t="s">
        <v>915</v>
      </c>
      <c r="P477" s="1163" t="s">
        <v>678</v>
      </c>
      <c r="Q477" s="1163"/>
      <c r="R477" s="1357">
        <v>79310000</v>
      </c>
      <c r="S477" s="1357">
        <v>79310000</v>
      </c>
      <c r="T477" s="1357">
        <f>+Tabla16[[#This Row],[CDPS A 31 JULIO 2022]]-Tabla16[[#This Row],[CDP]]</f>
        <v>0</v>
      </c>
      <c r="U477" s="1357">
        <v>79310000</v>
      </c>
      <c r="V477" s="1357">
        <v>29561000</v>
      </c>
      <c r="W477" s="1357"/>
      <c r="X477" s="1207"/>
      <c r="Y477" s="1207"/>
      <c r="Z477" s="1207"/>
      <c r="AA477" s="1207"/>
      <c r="AB477" s="1207"/>
      <c r="AC477" s="1207"/>
      <c r="AD477" s="1207"/>
      <c r="AE477" s="1207"/>
      <c r="AF477" s="1207"/>
      <c r="AG477" s="1207"/>
      <c r="AH477" s="1207"/>
      <c r="AI477" s="1207"/>
      <c r="AJ477" s="1207"/>
      <c r="AK477" s="1207"/>
      <c r="AL477" s="1207"/>
      <c r="AM477" s="1207"/>
      <c r="AN477" s="1207"/>
      <c r="AO477" s="1207"/>
      <c r="AP477" s="1207"/>
      <c r="AQ477" s="1207"/>
      <c r="AR477" s="1207"/>
      <c r="AS477" s="1207"/>
      <c r="AT477" s="1207"/>
      <c r="AU477" s="1207"/>
      <c r="AV477" s="1207"/>
      <c r="AW477" s="1207"/>
      <c r="AX477" s="1207"/>
      <c r="AY477" s="1207"/>
      <c r="AZ477" s="1207"/>
      <c r="BA477" s="1207"/>
      <c r="BB477" s="1207"/>
      <c r="BC477" s="1207"/>
      <c r="BD477" s="1207"/>
      <c r="BE477" s="1207"/>
      <c r="BF477" s="1207"/>
      <c r="BG477" s="1207"/>
      <c r="BH477" s="1207"/>
      <c r="BI477" s="1207"/>
      <c r="BJ477" s="1207"/>
      <c r="BK477" s="1207"/>
      <c r="BL477" s="1207"/>
      <c r="BM477" s="1207"/>
      <c r="BN477" s="1207"/>
      <c r="BO477" s="1207"/>
      <c r="BP477" s="1207"/>
      <c r="BQ477" s="1207"/>
      <c r="BR477" s="1207"/>
      <c r="BS477" s="1207"/>
      <c r="BT477" s="1207"/>
      <c r="BU477" s="1207"/>
      <c r="BV477" s="1207"/>
      <c r="BW477" s="1207"/>
      <c r="BX477" s="1207"/>
      <c r="BY477" s="1207"/>
      <c r="BZ477" s="1207"/>
      <c r="CA477" s="1207"/>
      <c r="CB477" s="1207"/>
      <c r="CC477" s="1207"/>
      <c r="CD477" s="1207"/>
      <c r="CE477" s="1207"/>
      <c r="CF477" s="1207"/>
    </row>
    <row r="478" spans="1:84" ht="135" x14ac:dyDescent="0.25">
      <c r="A478" s="1355">
        <v>2022508</v>
      </c>
      <c r="B478" s="1172">
        <v>7658</v>
      </c>
      <c r="C478" s="1356" t="s">
        <v>679</v>
      </c>
      <c r="D478" s="1190" t="s">
        <v>698</v>
      </c>
      <c r="E478" s="1174">
        <v>80111600</v>
      </c>
      <c r="F478" s="1380" t="s">
        <v>1120</v>
      </c>
      <c r="G478" s="1381">
        <v>44576</v>
      </c>
      <c r="H478" s="1381">
        <v>44593</v>
      </c>
      <c r="I478" s="1176">
        <v>11.5</v>
      </c>
      <c r="J478" s="1176" t="s">
        <v>673</v>
      </c>
      <c r="K478" s="1177" t="s">
        <v>674</v>
      </c>
      <c r="L478" s="1178" t="s">
        <v>675</v>
      </c>
      <c r="M478" s="1179">
        <f>32200000-15400000</f>
        <v>16800000</v>
      </c>
      <c r="N478" s="1382" t="s">
        <v>775</v>
      </c>
      <c r="O478" s="1174" t="s">
        <v>915</v>
      </c>
      <c r="P478" s="1163" t="s">
        <v>678</v>
      </c>
      <c r="Q478" s="1163"/>
      <c r="R478" s="1357">
        <v>16800000</v>
      </c>
      <c r="S478" s="1357">
        <v>16800000</v>
      </c>
      <c r="T478" s="1357">
        <f>+Tabla16[[#This Row],[CDPS A 31 JULIO 2022]]-Tabla16[[#This Row],[CDP]]</f>
        <v>0</v>
      </c>
      <c r="U478" s="1357">
        <v>16800000</v>
      </c>
      <c r="V478" s="1357">
        <v>12226667</v>
      </c>
      <c r="W478" s="1357"/>
      <c r="X478" s="1207"/>
      <c r="Y478" s="1207"/>
      <c r="Z478" s="1207"/>
      <c r="AA478" s="1207"/>
      <c r="AB478" s="1207"/>
      <c r="AC478" s="1207"/>
      <c r="AD478" s="1207"/>
      <c r="AE478" s="1207"/>
      <c r="AF478" s="1207"/>
      <c r="AG478" s="1207"/>
      <c r="AH478" s="1207"/>
      <c r="AI478" s="1207"/>
      <c r="AJ478" s="1207"/>
      <c r="AK478" s="1207"/>
      <c r="AL478" s="1207"/>
      <c r="AM478" s="1207"/>
      <c r="AN478" s="1207"/>
      <c r="AO478" s="1207"/>
      <c r="AP478" s="1207"/>
      <c r="AQ478" s="1207"/>
      <c r="AR478" s="1207"/>
      <c r="AS478" s="1207"/>
      <c r="AT478" s="1207"/>
      <c r="AU478" s="1207"/>
      <c r="AV478" s="1207"/>
      <c r="AW478" s="1207"/>
      <c r="AX478" s="1207"/>
      <c r="AY478" s="1207"/>
      <c r="AZ478" s="1207"/>
      <c r="BA478" s="1207"/>
      <c r="BB478" s="1207"/>
      <c r="BC478" s="1207"/>
      <c r="BD478" s="1207"/>
      <c r="BE478" s="1207"/>
      <c r="BF478" s="1207"/>
      <c r="BG478" s="1207"/>
      <c r="BH478" s="1207"/>
      <c r="BI478" s="1207"/>
      <c r="BJ478" s="1207"/>
      <c r="BK478" s="1207"/>
      <c r="BL478" s="1207"/>
      <c r="BM478" s="1207"/>
      <c r="BN478" s="1207"/>
      <c r="BO478" s="1207"/>
      <c r="BP478" s="1207"/>
      <c r="BQ478" s="1207"/>
      <c r="BR478" s="1207"/>
      <c r="BS478" s="1207"/>
      <c r="BT478" s="1207"/>
      <c r="BU478" s="1207"/>
      <c r="BV478" s="1207"/>
      <c r="BW478" s="1207"/>
      <c r="BX478" s="1207"/>
      <c r="BY478" s="1207"/>
      <c r="BZ478" s="1207"/>
      <c r="CA478" s="1207"/>
      <c r="CB478" s="1207"/>
      <c r="CC478" s="1207"/>
      <c r="CD478" s="1207"/>
      <c r="CE478" s="1207"/>
      <c r="CF478" s="1207"/>
    </row>
    <row r="479" spans="1:84" ht="135" x14ac:dyDescent="0.25">
      <c r="A479" s="1355">
        <v>2022509</v>
      </c>
      <c r="B479" s="1172">
        <v>7658</v>
      </c>
      <c r="C479" s="1356" t="s">
        <v>679</v>
      </c>
      <c r="D479" s="1190" t="s">
        <v>698</v>
      </c>
      <c r="E479" s="1174">
        <v>80111600</v>
      </c>
      <c r="F479" s="1380" t="s">
        <v>1121</v>
      </c>
      <c r="G479" s="1381">
        <v>44562</v>
      </c>
      <c r="H479" s="1381">
        <v>44592</v>
      </c>
      <c r="I479" s="1176">
        <v>11.5</v>
      </c>
      <c r="J479" s="1176" t="s">
        <v>673</v>
      </c>
      <c r="K479" s="1177" t="s">
        <v>674</v>
      </c>
      <c r="L479" s="1178" t="s">
        <v>675</v>
      </c>
      <c r="M479" s="1179">
        <f>36685000-1595000</f>
        <v>35090000</v>
      </c>
      <c r="N479" s="1382" t="s">
        <v>772</v>
      </c>
      <c r="O479" s="1174" t="s">
        <v>915</v>
      </c>
      <c r="P479" s="1163" t="s">
        <v>678</v>
      </c>
      <c r="Q479" s="1163"/>
      <c r="R479" s="1357">
        <v>35090000</v>
      </c>
      <c r="S479" s="1357">
        <v>35090000</v>
      </c>
      <c r="T479" s="1357">
        <f>+Tabla16[[#This Row],[CDPS A 31 JULIO 2022]]-Tabla16[[#This Row],[CDP]]</f>
        <v>0</v>
      </c>
      <c r="U479" s="1357">
        <v>35090000</v>
      </c>
      <c r="V479" s="1357">
        <v>13504333</v>
      </c>
      <c r="W479" s="1357"/>
      <c r="X479" s="1207"/>
      <c r="Y479" s="1207"/>
      <c r="Z479" s="1207"/>
      <c r="AA479" s="1207"/>
      <c r="AB479" s="1207"/>
      <c r="AC479" s="1207"/>
      <c r="AD479" s="1207"/>
      <c r="AE479" s="1207"/>
      <c r="AF479" s="1207"/>
      <c r="AG479" s="1207"/>
      <c r="AH479" s="1207"/>
      <c r="AI479" s="1207"/>
      <c r="AJ479" s="1207"/>
      <c r="AK479" s="1207"/>
      <c r="AL479" s="1207"/>
      <c r="AM479" s="1207"/>
      <c r="AN479" s="1207"/>
      <c r="AO479" s="1207"/>
      <c r="AP479" s="1207"/>
      <c r="AQ479" s="1207"/>
      <c r="AR479" s="1207"/>
      <c r="AS479" s="1207"/>
      <c r="AT479" s="1207"/>
      <c r="AU479" s="1207"/>
      <c r="AV479" s="1207"/>
      <c r="AW479" s="1207"/>
      <c r="AX479" s="1207"/>
      <c r="AY479" s="1207"/>
      <c r="AZ479" s="1207"/>
      <c r="BA479" s="1207"/>
      <c r="BB479" s="1207"/>
      <c r="BC479" s="1207"/>
      <c r="BD479" s="1207"/>
      <c r="BE479" s="1207"/>
      <c r="BF479" s="1207"/>
      <c r="BG479" s="1207"/>
      <c r="BH479" s="1207"/>
      <c r="BI479" s="1207"/>
      <c r="BJ479" s="1207"/>
      <c r="BK479" s="1207"/>
      <c r="BL479" s="1207"/>
      <c r="BM479" s="1207"/>
      <c r="BN479" s="1207"/>
      <c r="BO479" s="1207"/>
      <c r="BP479" s="1207"/>
      <c r="BQ479" s="1207"/>
      <c r="BR479" s="1207"/>
      <c r="BS479" s="1207"/>
      <c r="BT479" s="1207"/>
      <c r="BU479" s="1207"/>
      <c r="BV479" s="1207"/>
      <c r="BW479" s="1207"/>
      <c r="BX479" s="1207"/>
      <c r="BY479" s="1207"/>
      <c r="BZ479" s="1207"/>
      <c r="CA479" s="1207"/>
      <c r="CB479" s="1207"/>
      <c r="CC479" s="1207"/>
      <c r="CD479" s="1207"/>
      <c r="CE479" s="1207"/>
      <c r="CF479" s="1207"/>
    </row>
    <row r="480" spans="1:84" ht="135" x14ac:dyDescent="0.25">
      <c r="A480" s="1355">
        <v>2022510</v>
      </c>
      <c r="B480" s="1172">
        <v>7658</v>
      </c>
      <c r="C480" s="1356" t="s">
        <v>679</v>
      </c>
      <c r="D480" s="1190" t="s">
        <v>698</v>
      </c>
      <c r="E480" s="1174">
        <v>80111600</v>
      </c>
      <c r="F480" s="1380" t="s">
        <v>1122</v>
      </c>
      <c r="G480" s="1381">
        <v>44562</v>
      </c>
      <c r="H480" s="1381">
        <v>44592</v>
      </c>
      <c r="I480" s="1176">
        <v>11.5</v>
      </c>
      <c r="J480" s="1176" t="s">
        <v>673</v>
      </c>
      <c r="K480" s="1177" t="s">
        <v>674</v>
      </c>
      <c r="L480" s="1178" t="s">
        <v>675</v>
      </c>
      <c r="M480" s="1179">
        <f>97175000-4225000</f>
        <v>92950000</v>
      </c>
      <c r="N480" s="1382" t="s">
        <v>772</v>
      </c>
      <c r="O480" s="1174" t="s">
        <v>915</v>
      </c>
      <c r="P480" s="1163" t="s">
        <v>678</v>
      </c>
      <c r="Q480" s="1163"/>
      <c r="R480" s="1357">
        <v>92950000</v>
      </c>
      <c r="S480" s="1357">
        <v>92950000</v>
      </c>
      <c r="T480" s="1357">
        <f>+Tabla16[[#This Row],[CDPS A 31 JULIO 2022]]-Tabla16[[#This Row],[CDP]]</f>
        <v>0</v>
      </c>
      <c r="U480" s="1357">
        <v>92950000</v>
      </c>
      <c r="V480" s="1357">
        <v>37743333</v>
      </c>
      <c r="W480" s="1357"/>
      <c r="X480" s="1207"/>
      <c r="Y480" s="1207"/>
      <c r="Z480" s="1207"/>
      <c r="AA480" s="1207"/>
      <c r="AB480" s="1207"/>
      <c r="AC480" s="1207"/>
      <c r="AD480" s="1207"/>
      <c r="AE480" s="1207"/>
      <c r="AF480" s="1207"/>
      <c r="AG480" s="1207"/>
      <c r="AH480" s="1207"/>
      <c r="AI480" s="1207"/>
      <c r="AJ480" s="1207"/>
      <c r="AK480" s="1207"/>
      <c r="AL480" s="1207"/>
      <c r="AM480" s="1207"/>
      <c r="AN480" s="1207"/>
      <c r="AO480" s="1207"/>
      <c r="AP480" s="1207"/>
      <c r="AQ480" s="1207"/>
      <c r="AR480" s="1207"/>
      <c r="AS480" s="1207"/>
      <c r="AT480" s="1207"/>
      <c r="AU480" s="1207"/>
      <c r="AV480" s="1207"/>
      <c r="AW480" s="1207"/>
      <c r="AX480" s="1207"/>
      <c r="AY480" s="1207"/>
      <c r="AZ480" s="1207"/>
      <c r="BA480" s="1207"/>
      <c r="BB480" s="1207"/>
      <c r="BC480" s="1207"/>
      <c r="BD480" s="1207"/>
      <c r="BE480" s="1207"/>
      <c r="BF480" s="1207"/>
      <c r="BG480" s="1207"/>
      <c r="BH480" s="1207"/>
      <c r="BI480" s="1207"/>
      <c r="BJ480" s="1207"/>
      <c r="BK480" s="1207"/>
      <c r="BL480" s="1207"/>
      <c r="BM480" s="1207"/>
      <c r="BN480" s="1207"/>
      <c r="BO480" s="1207"/>
      <c r="BP480" s="1207"/>
      <c r="BQ480" s="1207"/>
      <c r="BR480" s="1207"/>
      <c r="BS480" s="1207"/>
      <c r="BT480" s="1207"/>
      <c r="BU480" s="1207"/>
      <c r="BV480" s="1207"/>
      <c r="BW480" s="1207"/>
      <c r="BX480" s="1207"/>
      <c r="BY480" s="1207"/>
      <c r="BZ480" s="1207"/>
      <c r="CA480" s="1207"/>
      <c r="CB480" s="1207"/>
      <c r="CC480" s="1207"/>
      <c r="CD480" s="1207"/>
      <c r="CE480" s="1207"/>
      <c r="CF480" s="1207"/>
    </row>
    <row r="481" spans="1:84" ht="135" x14ac:dyDescent="0.25">
      <c r="A481" s="1355">
        <v>2022511</v>
      </c>
      <c r="B481" s="1172">
        <v>7658</v>
      </c>
      <c r="C481" s="1356" t="s">
        <v>679</v>
      </c>
      <c r="D481" s="1190" t="s">
        <v>698</v>
      </c>
      <c r="E481" s="1174">
        <v>80111600</v>
      </c>
      <c r="F481" s="1380" t="s">
        <v>1123</v>
      </c>
      <c r="G481" s="1381">
        <v>44562</v>
      </c>
      <c r="H481" s="1381">
        <v>44592</v>
      </c>
      <c r="I481" s="1176">
        <v>11.5</v>
      </c>
      <c r="J481" s="1176" t="s">
        <v>673</v>
      </c>
      <c r="K481" s="1177" t="s">
        <v>674</v>
      </c>
      <c r="L481" s="1178" t="s">
        <v>675</v>
      </c>
      <c r="M481" s="1179">
        <f>45655000-1985000</f>
        <v>43670000</v>
      </c>
      <c r="N481" s="1382" t="s">
        <v>772</v>
      </c>
      <c r="O481" s="1174" t="s">
        <v>915</v>
      </c>
      <c r="P481" s="1163" t="s">
        <v>678</v>
      </c>
      <c r="Q481" s="1163"/>
      <c r="R481" s="1357">
        <v>43670000</v>
      </c>
      <c r="S481" s="1357">
        <v>43670000</v>
      </c>
      <c r="T481" s="1357">
        <f>+Tabla16[[#This Row],[CDPS A 31 JULIO 2022]]-Tabla16[[#This Row],[CDP]]</f>
        <v>0</v>
      </c>
      <c r="U481" s="1357">
        <v>43670000</v>
      </c>
      <c r="V481" s="1357">
        <v>16806333</v>
      </c>
      <c r="W481" s="1357"/>
      <c r="X481" s="1207"/>
      <c r="Y481" s="1207"/>
      <c r="Z481" s="1207"/>
      <c r="AA481" s="1207"/>
      <c r="AB481" s="1207"/>
      <c r="AC481" s="1207"/>
      <c r="AD481" s="1207"/>
      <c r="AE481" s="1207"/>
      <c r="AF481" s="1207"/>
      <c r="AG481" s="1207"/>
      <c r="AH481" s="1207"/>
      <c r="AI481" s="1207"/>
      <c r="AJ481" s="1207"/>
      <c r="AK481" s="1207"/>
      <c r="AL481" s="1207"/>
      <c r="AM481" s="1207"/>
      <c r="AN481" s="1207"/>
      <c r="AO481" s="1207"/>
      <c r="AP481" s="1207"/>
      <c r="AQ481" s="1207"/>
      <c r="AR481" s="1207"/>
      <c r="AS481" s="1207"/>
      <c r="AT481" s="1207"/>
      <c r="AU481" s="1207"/>
      <c r="AV481" s="1207"/>
      <c r="AW481" s="1207"/>
      <c r="AX481" s="1207"/>
      <c r="AY481" s="1207"/>
      <c r="AZ481" s="1207"/>
      <c r="BA481" s="1207"/>
      <c r="BB481" s="1207"/>
      <c r="BC481" s="1207"/>
      <c r="BD481" s="1207"/>
      <c r="BE481" s="1207"/>
      <c r="BF481" s="1207"/>
      <c r="BG481" s="1207"/>
      <c r="BH481" s="1207"/>
      <c r="BI481" s="1207"/>
      <c r="BJ481" s="1207"/>
      <c r="BK481" s="1207"/>
      <c r="BL481" s="1207"/>
      <c r="BM481" s="1207"/>
      <c r="BN481" s="1207"/>
      <c r="BO481" s="1207"/>
      <c r="BP481" s="1207"/>
      <c r="BQ481" s="1207"/>
      <c r="BR481" s="1207"/>
      <c r="BS481" s="1207"/>
      <c r="BT481" s="1207"/>
      <c r="BU481" s="1207"/>
      <c r="BV481" s="1207"/>
      <c r="BW481" s="1207"/>
      <c r="BX481" s="1207"/>
      <c r="BY481" s="1207"/>
      <c r="BZ481" s="1207"/>
      <c r="CA481" s="1207"/>
      <c r="CB481" s="1207"/>
      <c r="CC481" s="1207"/>
      <c r="CD481" s="1207"/>
      <c r="CE481" s="1207"/>
      <c r="CF481" s="1207"/>
    </row>
    <row r="482" spans="1:84" ht="135" x14ac:dyDescent="0.25">
      <c r="A482" s="1355">
        <v>2022512</v>
      </c>
      <c r="B482" s="1172">
        <v>7658</v>
      </c>
      <c r="C482" s="1356" t="s">
        <v>679</v>
      </c>
      <c r="D482" s="1190" t="s">
        <v>698</v>
      </c>
      <c r="E482" s="1174">
        <v>80111600</v>
      </c>
      <c r="F482" s="1380" t="s">
        <v>1119</v>
      </c>
      <c r="G482" s="1381">
        <v>44562</v>
      </c>
      <c r="H482" s="1381">
        <v>44592</v>
      </c>
      <c r="I482" s="1176">
        <v>11.5</v>
      </c>
      <c r="J482" s="1176" t="s">
        <v>673</v>
      </c>
      <c r="K482" s="1177" t="s">
        <v>674</v>
      </c>
      <c r="L482" s="1178" t="s">
        <v>675</v>
      </c>
      <c r="M482" s="1179">
        <f>82915000-3605000</f>
        <v>79310000</v>
      </c>
      <c r="N482" s="1382" t="s">
        <v>775</v>
      </c>
      <c r="O482" s="1174" t="s">
        <v>915</v>
      </c>
      <c r="P482" s="1163" t="s">
        <v>678</v>
      </c>
      <c r="Q482" s="1163"/>
      <c r="R482" s="1357">
        <v>79310000</v>
      </c>
      <c r="S482" s="1357">
        <v>79310000</v>
      </c>
      <c r="T482" s="1357">
        <f>+Tabla16[[#This Row],[CDPS A 31 JULIO 2022]]-Tabla16[[#This Row],[CDP]]</f>
        <v>0</v>
      </c>
      <c r="U482" s="1357">
        <v>79310000</v>
      </c>
      <c r="V482" s="1357">
        <v>30282000</v>
      </c>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135" x14ac:dyDescent="0.25">
      <c r="A483" s="1355">
        <v>2022513</v>
      </c>
      <c r="B483" s="1172">
        <v>7658</v>
      </c>
      <c r="C483" s="1356" t="s">
        <v>679</v>
      </c>
      <c r="D483" s="1190" t="s">
        <v>698</v>
      </c>
      <c r="E483" s="1174">
        <v>80111600</v>
      </c>
      <c r="F483" s="1190" t="s">
        <v>1124</v>
      </c>
      <c r="G483" s="1377">
        <v>44774</v>
      </c>
      <c r="H483" s="1377">
        <v>44774</v>
      </c>
      <c r="I483" s="1176">
        <v>5.5</v>
      </c>
      <c r="J483" s="1176" t="s">
        <v>673</v>
      </c>
      <c r="K483" s="1177" t="s">
        <v>674</v>
      </c>
      <c r="L483" s="1178" t="s">
        <v>675</v>
      </c>
      <c r="M483" s="1179">
        <f>28175000-28175000+33000000</f>
        <v>33000000</v>
      </c>
      <c r="N483" s="1382" t="s">
        <v>775</v>
      </c>
      <c r="O483" s="1174" t="s">
        <v>915</v>
      </c>
      <c r="P483" s="1163" t="s">
        <v>678</v>
      </c>
      <c r="Q483" s="1163"/>
      <c r="R483" s="1357">
        <v>26950000</v>
      </c>
      <c r="S483" s="1357">
        <v>26950000</v>
      </c>
      <c r="T483" s="1357">
        <f>+Tabla16[[#This Row],[CDPS A 31 JULIO 2022]]-Tabla16[[#This Row],[CDP]]</f>
        <v>0</v>
      </c>
      <c r="U483" s="1357">
        <v>26950000</v>
      </c>
      <c r="V483" s="1357">
        <v>9881667</v>
      </c>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135" x14ac:dyDescent="0.25">
      <c r="A484" s="1355">
        <v>2022514</v>
      </c>
      <c r="B484" s="1172">
        <v>7658</v>
      </c>
      <c r="C484" s="1356" t="s">
        <v>679</v>
      </c>
      <c r="D484" s="1190" t="s">
        <v>698</v>
      </c>
      <c r="E484" s="1174">
        <v>80111600</v>
      </c>
      <c r="F484" s="1380" t="s">
        <v>1125</v>
      </c>
      <c r="G484" s="1381">
        <v>44562</v>
      </c>
      <c r="H484" s="1381">
        <v>44592</v>
      </c>
      <c r="I484" s="1176">
        <v>11.5</v>
      </c>
      <c r="J484" s="1176" t="s">
        <v>673</v>
      </c>
      <c r="K484" s="1177" t="s">
        <v>674</v>
      </c>
      <c r="L484" s="1178" t="s">
        <v>675</v>
      </c>
      <c r="M484" s="1179">
        <f>45655000-1985000</f>
        <v>43670000</v>
      </c>
      <c r="N484" s="1382" t="s">
        <v>772</v>
      </c>
      <c r="O484" s="1174" t="s">
        <v>915</v>
      </c>
      <c r="P484" s="1163" t="s">
        <v>678</v>
      </c>
      <c r="Q484" s="1163"/>
      <c r="R484" s="1357">
        <v>43670000</v>
      </c>
      <c r="S484" s="1357">
        <v>43670000</v>
      </c>
      <c r="T484" s="1357">
        <f>+Tabla16[[#This Row],[CDPS A 31 JULIO 2022]]-Tabla16[[#This Row],[CDP]]</f>
        <v>0</v>
      </c>
      <c r="U484" s="1357">
        <v>43670000</v>
      </c>
      <c r="V484" s="1357">
        <v>16012333</v>
      </c>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135" x14ac:dyDescent="0.25">
      <c r="A485" s="1355">
        <v>2022515</v>
      </c>
      <c r="B485" s="1172">
        <v>7658</v>
      </c>
      <c r="C485" s="1356" t="s">
        <v>679</v>
      </c>
      <c r="D485" s="1190" t="s">
        <v>698</v>
      </c>
      <c r="E485" s="1174">
        <v>80111600</v>
      </c>
      <c r="F485" s="1380" t="s">
        <v>1126</v>
      </c>
      <c r="G485" s="1381">
        <v>44562</v>
      </c>
      <c r="H485" s="1381">
        <v>44592</v>
      </c>
      <c r="I485" s="1176">
        <v>11.5</v>
      </c>
      <c r="J485" s="1176" t="s">
        <v>673</v>
      </c>
      <c r="K485" s="1177" t="s">
        <v>674</v>
      </c>
      <c r="L485" s="1178" t="s">
        <v>675</v>
      </c>
      <c r="M485" s="1179">
        <f>36685000-1595000</f>
        <v>35090000</v>
      </c>
      <c r="N485" s="1382" t="s">
        <v>775</v>
      </c>
      <c r="O485" s="1174" t="s">
        <v>915</v>
      </c>
      <c r="P485" s="1163" t="s">
        <v>678</v>
      </c>
      <c r="Q485" s="1163"/>
      <c r="R485" s="1357">
        <v>35090000</v>
      </c>
      <c r="S485" s="1357">
        <v>35090000</v>
      </c>
      <c r="T485" s="1357">
        <f>+Tabla16[[#This Row],[CDPS A 31 JULIO 2022]]-Tabla16[[#This Row],[CDP]]</f>
        <v>0</v>
      </c>
      <c r="U485" s="1357">
        <v>35090000</v>
      </c>
      <c r="V485" s="1357">
        <v>13398000</v>
      </c>
      <c r="W485" s="135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135" x14ac:dyDescent="0.25">
      <c r="A486" s="1355">
        <v>2022516</v>
      </c>
      <c r="B486" s="1172">
        <v>7658</v>
      </c>
      <c r="C486" s="1356" t="s">
        <v>679</v>
      </c>
      <c r="D486" s="1190" t="s">
        <v>698</v>
      </c>
      <c r="E486" s="1174">
        <v>80111600</v>
      </c>
      <c r="F486" s="1380" t="s">
        <v>1127</v>
      </c>
      <c r="G486" s="1381">
        <v>44562</v>
      </c>
      <c r="H486" s="1381">
        <v>44592</v>
      </c>
      <c r="I486" s="1176">
        <v>11.5</v>
      </c>
      <c r="J486" s="1176" t="s">
        <v>673</v>
      </c>
      <c r="K486" s="1177" t="s">
        <v>674</v>
      </c>
      <c r="L486" s="1178" t="s">
        <v>675</v>
      </c>
      <c r="M486" s="1179">
        <f>28175000-1225000</f>
        <v>26950000</v>
      </c>
      <c r="N486" s="1382" t="s">
        <v>772</v>
      </c>
      <c r="O486" s="1174" t="s">
        <v>915</v>
      </c>
      <c r="P486" s="1163" t="s">
        <v>678</v>
      </c>
      <c r="Q486" s="1163"/>
      <c r="R486" s="1357">
        <v>26950000</v>
      </c>
      <c r="S486" s="1357">
        <v>26950000</v>
      </c>
      <c r="T486" s="1357">
        <f>+Tabla16[[#This Row],[CDPS A 31 JULIO 2022]]-Tabla16[[#This Row],[CDP]]</f>
        <v>0</v>
      </c>
      <c r="U486" s="1357">
        <v>26950000</v>
      </c>
      <c r="V486" s="1357">
        <v>8983333</v>
      </c>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135" x14ac:dyDescent="0.25">
      <c r="A487" s="1355">
        <v>2022517</v>
      </c>
      <c r="B487" s="1172">
        <v>7658</v>
      </c>
      <c r="C487" s="1356" t="s">
        <v>679</v>
      </c>
      <c r="D487" s="1190" t="s">
        <v>698</v>
      </c>
      <c r="E487" s="1174">
        <v>80111600</v>
      </c>
      <c r="F487" s="1380" t="s">
        <v>1128</v>
      </c>
      <c r="G487" s="1381">
        <v>44562</v>
      </c>
      <c r="H487" s="1381">
        <v>44592</v>
      </c>
      <c r="I487" s="1176">
        <v>11.5</v>
      </c>
      <c r="J487" s="1176" t="s">
        <v>673</v>
      </c>
      <c r="K487" s="1177" t="s">
        <v>674</v>
      </c>
      <c r="L487" s="1178" t="s">
        <v>675</v>
      </c>
      <c r="M487" s="1179">
        <f>36685000-1595000</f>
        <v>35090000</v>
      </c>
      <c r="N487" s="1382" t="s">
        <v>775</v>
      </c>
      <c r="O487" s="1174" t="s">
        <v>915</v>
      </c>
      <c r="P487" s="1163" t="s">
        <v>678</v>
      </c>
      <c r="Q487" s="1163"/>
      <c r="R487" s="1357">
        <v>35090000</v>
      </c>
      <c r="S487" s="1357">
        <v>35090000</v>
      </c>
      <c r="T487" s="1357">
        <f>+Tabla16[[#This Row],[CDPS A 31 JULIO 2022]]-Tabla16[[#This Row],[CDP]]</f>
        <v>0</v>
      </c>
      <c r="U487" s="1357">
        <v>35090000</v>
      </c>
      <c r="V487" s="1357">
        <v>13079000</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135" x14ac:dyDescent="0.25">
      <c r="A488" s="1355">
        <v>2022518</v>
      </c>
      <c r="B488" s="1172">
        <v>7658</v>
      </c>
      <c r="C488" s="1356" t="s">
        <v>679</v>
      </c>
      <c r="D488" s="1190" t="s">
        <v>698</v>
      </c>
      <c r="E488" s="1174">
        <v>80111600</v>
      </c>
      <c r="F488" s="1380" t="s">
        <v>1129</v>
      </c>
      <c r="G488" s="1381">
        <v>44562</v>
      </c>
      <c r="H488" s="1381">
        <v>44592</v>
      </c>
      <c r="I488" s="1176">
        <v>11.5</v>
      </c>
      <c r="J488" s="1176" t="s">
        <v>673</v>
      </c>
      <c r="K488" s="1177" t="s">
        <v>674</v>
      </c>
      <c r="L488" s="1178" t="s">
        <v>675</v>
      </c>
      <c r="M488" s="1179">
        <f>51750000-50000</f>
        <v>51700000</v>
      </c>
      <c r="N488" s="1382" t="s">
        <v>775</v>
      </c>
      <c r="O488" s="1174" t="s">
        <v>915</v>
      </c>
      <c r="P488" s="1163" t="s">
        <v>678</v>
      </c>
      <c r="Q488" s="1163"/>
      <c r="R488" s="1357">
        <v>51700000</v>
      </c>
      <c r="S488" s="1357">
        <v>51700000</v>
      </c>
      <c r="T488" s="1357">
        <f>+Tabla16[[#This Row],[CDPS A 31 JULIO 2022]]-Tabla16[[#This Row],[CDP]]</f>
        <v>0</v>
      </c>
      <c r="U488" s="1357">
        <v>51700000</v>
      </c>
      <c r="V488" s="1357">
        <v>19896667</v>
      </c>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135" x14ac:dyDescent="0.25">
      <c r="A489" s="1355">
        <v>2022519</v>
      </c>
      <c r="B489" s="1172">
        <v>7658</v>
      </c>
      <c r="C489" s="1356" t="s">
        <v>679</v>
      </c>
      <c r="D489" s="1190" t="s">
        <v>698</v>
      </c>
      <c r="E489" s="1174">
        <v>80111600</v>
      </c>
      <c r="F489" s="1380" t="s">
        <v>1130</v>
      </c>
      <c r="G489" s="1381">
        <v>44562</v>
      </c>
      <c r="H489" s="1381">
        <v>44592</v>
      </c>
      <c r="I489" s="1176">
        <v>11.5</v>
      </c>
      <c r="J489" s="1176" t="s">
        <v>673</v>
      </c>
      <c r="K489" s="1177" t="s">
        <v>674</v>
      </c>
      <c r="L489" s="1178" t="s">
        <v>675</v>
      </c>
      <c r="M489" s="1179">
        <f>54050000-4550000</f>
        <v>49500000</v>
      </c>
      <c r="N489" s="1382" t="s">
        <v>772</v>
      </c>
      <c r="O489" s="1174" t="s">
        <v>915</v>
      </c>
      <c r="P489" s="1163" t="s">
        <v>678</v>
      </c>
      <c r="Q489" s="1163"/>
      <c r="R489" s="1357">
        <v>49500000</v>
      </c>
      <c r="S489" s="1357">
        <v>49500000</v>
      </c>
      <c r="T489" s="1357">
        <f>+Tabla16[[#This Row],[CDPS A 31 JULIO 2022]]-Tabla16[[#This Row],[CDP]]</f>
        <v>0</v>
      </c>
      <c r="U489" s="1357">
        <v>49500000</v>
      </c>
      <c r="V489" s="1357">
        <v>19650000</v>
      </c>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135" x14ac:dyDescent="0.25">
      <c r="A490" s="1355">
        <v>2022520</v>
      </c>
      <c r="B490" s="1172">
        <v>7658</v>
      </c>
      <c r="C490" s="1356" t="s">
        <v>679</v>
      </c>
      <c r="D490" s="1190" t="s">
        <v>698</v>
      </c>
      <c r="E490" s="1174">
        <v>80111600</v>
      </c>
      <c r="F490" s="1380" t="s">
        <v>1131</v>
      </c>
      <c r="G490" s="1381">
        <v>44562</v>
      </c>
      <c r="H490" s="1381">
        <v>44592</v>
      </c>
      <c r="I490" s="1176">
        <v>11.5</v>
      </c>
      <c r="J490" s="1176" t="s">
        <v>673</v>
      </c>
      <c r="K490" s="1177" t="s">
        <v>674</v>
      </c>
      <c r="L490" s="1178" t="s">
        <v>675</v>
      </c>
      <c r="M490" s="1179">
        <f>51750000-2250000</f>
        <v>49500000</v>
      </c>
      <c r="N490" s="1382" t="s">
        <v>775</v>
      </c>
      <c r="O490" s="1174" t="s">
        <v>915</v>
      </c>
      <c r="P490" s="1163" t="s">
        <v>678</v>
      </c>
      <c r="Q490" s="1163"/>
      <c r="R490" s="1357">
        <v>49500000</v>
      </c>
      <c r="S490" s="1357">
        <v>49500000</v>
      </c>
      <c r="T490" s="1357">
        <f>+Tabla16[[#This Row],[CDPS A 31 JULIO 2022]]-Tabla16[[#This Row],[CDP]]</f>
        <v>0</v>
      </c>
      <c r="U490" s="1357">
        <v>49500000</v>
      </c>
      <c r="V490" s="1357">
        <v>18750000</v>
      </c>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135" x14ac:dyDescent="0.25">
      <c r="A491" s="1355">
        <v>2022521</v>
      </c>
      <c r="B491" s="1172">
        <v>7658</v>
      </c>
      <c r="C491" s="1356" t="s">
        <v>679</v>
      </c>
      <c r="D491" s="1190" t="s">
        <v>698</v>
      </c>
      <c r="E491" s="1174">
        <v>80111600</v>
      </c>
      <c r="F491" s="1380" t="s">
        <v>1132</v>
      </c>
      <c r="G491" s="1381">
        <v>44562</v>
      </c>
      <c r="H491" s="1381">
        <v>44592</v>
      </c>
      <c r="I491" s="1176">
        <v>11.5</v>
      </c>
      <c r="J491" s="1176" t="s">
        <v>673</v>
      </c>
      <c r="K491" s="1177" t="s">
        <v>674</v>
      </c>
      <c r="L491" s="1178" t="s">
        <v>675</v>
      </c>
      <c r="M491" s="1179">
        <f>45655000-1985000</f>
        <v>43670000</v>
      </c>
      <c r="N491" s="1382" t="s">
        <v>775</v>
      </c>
      <c r="O491" s="1174" t="s">
        <v>915</v>
      </c>
      <c r="P491" s="1163" t="s">
        <v>678</v>
      </c>
      <c r="Q491" s="1163"/>
      <c r="R491" s="1357">
        <v>43670000</v>
      </c>
      <c r="S491" s="1357">
        <v>43670000</v>
      </c>
      <c r="T491" s="1357">
        <f>+Tabla16[[#This Row],[CDPS A 31 JULIO 2022]]-Tabla16[[#This Row],[CDP]]</f>
        <v>0</v>
      </c>
      <c r="U491" s="1357">
        <v>43670000</v>
      </c>
      <c r="V491" s="1357">
        <v>16277000</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135" x14ac:dyDescent="0.25">
      <c r="A492" s="1355">
        <v>2022522</v>
      </c>
      <c r="B492" s="1172">
        <v>7658</v>
      </c>
      <c r="C492" s="1356" t="s">
        <v>679</v>
      </c>
      <c r="D492" s="1190" t="s">
        <v>698</v>
      </c>
      <c r="E492" s="1174">
        <v>80111600</v>
      </c>
      <c r="F492" s="1380" t="s">
        <v>1119</v>
      </c>
      <c r="G492" s="1381">
        <v>44562</v>
      </c>
      <c r="H492" s="1381">
        <v>44592</v>
      </c>
      <c r="I492" s="1176">
        <v>11.5</v>
      </c>
      <c r="J492" s="1176" t="s">
        <v>673</v>
      </c>
      <c r="K492" s="1177" t="s">
        <v>674</v>
      </c>
      <c r="L492" s="1178" t="s">
        <v>675</v>
      </c>
      <c r="M492" s="1179">
        <f>82915000-3605000</f>
        <v>79310000</v>
      </c>
      <c r="N492" s="1382" t="s">
        <v>775</v>
      </c>
      <c r="O492" s="1174" t="s">
        <v>915</v>
      </c>
      <c r="P492" s="1163" t="s">
        <v>678</v>
      </c>
      <c r="Q492" s="1163"/>
      <c r="R492" s="1357">
        <v>79310000</v>
      </c>
      <c r="S492" s="1357">
        <v>79310000</v>
      </c>
      <c r="T492" s="1357">
        <f>+Tabla16[[#This Row],[CDPS A 31 JULIO 2022]]-Tabla16[[#This Row],[CDP]]</f>
        <v>0</v>
      </c>
      <c r="U492" s="1357">
        <v>79310000</v>
      </c>
      <c r="V492" s="1357">
        <v>31483667</v>
      </c>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135" x14ac:dyDescent="0.25">
      <c r="A493" s="1355">
        <v>2022523</v>
      </c>
      <c r="B493" s="1172">
        <v>7658</v>
      </c>
      <c r="C493" s="1356" t="s">
        <v>679</v>
      </c>
      <c r="D493" s="1190" t="s">
        <v>698</v>
      </c>
      <c r="E493" s="1174">
        <v>80111600</v>
      </c>
      <c r="F493" s="1380" t="s">
        <v>1133</v>
      </c>
      <c r="G493" s="1381">
        <v>44562</v>
      </c>
      <c r="H493" s="1381">
        <v>44592</v>
      </c>
      <c r="I493" s="1176">
        <v>11.5</v>
      </c>
      <c r="J493" s="1176" t="s">
        <v>673</v>
      </c>
      <c r="K493" s="1177" t="s">
        <v>674</v>
      </c>
      <c r="L493" s="1178" t="s">
        <v>780</v>
      </c>
      <c r="M493" s="1179">
        <f>54510000-2370000</f>
        <v>52140000</v>
      </c>
      <c r="N493" s="1382" t="s">
        <v>772</v>
      </c>
      <c r="O493" s="1174" t="s">
        <v>915</v>
      </c>
      <c r="P493" s="1163" t="s">
        <v>678</v>
      </c>
      <c r="Q493" s="1163"/>
      <c r="R493" s="1357">
        <v>52140000</v>
      </c>
      <c r="S493" s="1357">
        <v>52140000</v>
      </c>
      <c r="T493" s="1357">
        <f>+Tabla16[[#This Row],[CDPS A 31 JULIO 2022]]-Tabla16[[#This Row],[CDP]]</f>
        <v>0</v>
      </c>
      <c r="U493" s="1357">
        <v>52140000</v>
      </c>
      <c r="V493" s="1357">
        <v>20382000</v>
      </c>
      <c r="W493" s="1357"/>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135" x14ac:dyDescent="0.25">
      <c r="A494" s="1355">
        <v>2022524</v>
      </c>
      <c r="B494" s="1172">
        <v>7658</v>
      </c>
      <c r="C494" s="1356" t="s">
        <v>679</v>
      </c>
      <c r="D494" s="1190" t="s">
        <v>698</v>
      </c>
      <c r="E494" s="1174">
        <v>80111600</v>
      </c>
      <c r="F494" s="1380" t="s">
        <v>1134</v>
      </c>
      <c r="G494" s="1381">
        <v>44562</v>
      </c>
      <c r="H494" s="1381">
        <v>44592</v>
      </c>
      <c r="I494" s="1176">
        <v>11.5</v>
      </c>
      <c r="J494" s="1176" t="s">
        <v>673</v>
      </c>
      <c r="K494" s="1177" t="s">
        <v>674</v>
      </c>
      <c r="L494" s="1178" t="s">
        <v>675</v>
      </c>
      <c r="M494" s="1179">
        <f>36685000-1595000</f>
        <v>35090000</v>
      </c>
      <c r="N494" s="1382" t="s">
        <v>775</v>
      </c>
      <c r="O494" s="1174" t="s">
        <v>915</v>
      </c>
      <c r="P494" s="1163" t="s">
        <v>678</v>
      </c>
      <c r="Q494" s="1163"/>
      <c r="R494" s="1357">
        <v>35090000</v>
      </c>
      <c r="S494" s="1357">
        <v>35090000</v>
      </c>
      <c r="T494" s="1357">
        <f>+Tabla16[[#This Row],[CDPS A 31 JULIO 2022]]-Tabla16[[#This Row],[CDP]]</f>
        <v>0</v>
      </c>
      <c r="U494" s="1357">
        <v>35090000</v>
      </c>
      <c r="V494" s="1357">
        <v>10420666</v>
      </c>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135" x14ac:dyDescent="0.25">
      <c r="A495" s="1355">
        <v>2022525</v>
      </c>
      <c r="B495" s="1172">
        <v>7658</v>
      </c>
      <c r="C495" s="1356" t="s">
        <v>679</v>
      </c>
      <c r="D495" s="1190" t="s">
        <v>698</v>
      </c>
      <c r="E495" s="1174">
        <v>80111600</v>
      </c>
      <c r="F495" s="1380" t="s">
        <v>1135</v>
      </c>
      <c r="G495" s="1381">
        <v>44562</v>
      </c>
      <c r="H495" s="1381">
        <v>44592</v>
      </c>
      <c r="I495" s="1176">
        <v>11.5</v>
      </c>
      <c r="J495" s="1176" t="s">
        <v>673</v>
      </c>
      <c r="K495" s="1177" t="s">
        <v>674</v>
      </c>
      <c r="L495" s="1178" t="s">
        <v>675</v>
      </c>
      <c r="M495" s="1179">
        <f>54050000-2350000</f>
        <v>51700000</v>
      </c>
      <c r="N495" s="1382" t="s">
        <v>775</v>
      </c>
      <c r="O495" s="1174" t="s">
        <v>915</v>
      </c>
      <c r="P495" s="1163" t="s">
        <v>678</v>
      </c>
      <c r="Q495" s="1163"/>
      <c r="R495" s="1357">
        <v>51700000</v>
      </c>
      <c r="S495" s="1357">
        <v>51700000</v>
      </c>
      <c r="T495" s="1357">
        <f>+Tabla16[[#This Row],[CDPS A 31 JULIO 2022]]-Tabla16[[#This Row],[CDP]]</f>
        <v>0</v>
      </c>
      <c r="U495" s="1357">
        <v>51700000</v>
      </c>
      <c r="V495" s="1357">
        <v>18956667</v>
      </c>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135" x14ac:dyDescent="0.25">
      <c r="A496" s="1355">
        <v>2022526</v>
      </c>
      <c r="B496" s="1172">
        <v>7658</v>
      </c>
      <c r="C496" s="1356" t="s">
        <v>679</v>
      </c>
      <c r="D496" s="1190" t="s">
        <v>698</v>
      </c>
      <c r="E496" s="1174">
        <v>80111600</v>
      </c>
      <c r="F496" s="1380" t="s">
        <v>1136</v>
      </c>
      <c r="G496" s="1381">
        <v>44562</v>
      </c>
      <c r="H496" s="1381">
        <v>44592</v>
      </c>
      <c r="I496" s="1176">
        <v>11.5</v>
      </c>
      <c r="J496" s="1176" t="s">
        <v>673</v>
      </c>
      <c r="K496" s="1177" t="s">
        <v>674</v>
      </c>
      <c r="L496" s="1178" t="s">
        <v>675</v>
      </c>
      <c r="M496" s="1179">
        <f>28175000-1225000</f>
        <v>26950000</v>
      </c>
      <c r="N496" s="1382" t="s">
        <v>775</v>
      </c>
      <c r="O496" s="1174" t="s">
        <v>915</v>
      </c>
      <c r="P496" s="1163" t="s">
        <v>678</v>
      </c>
      <c r="Q496" s="1163"/>
      <c r="R496" s="1357">
        <v>26950000</v>
      </c>
      <c r="S496" s="1357">
        <v>26950000</v>
      </c>
      <c r="T496" s="1357">
        <f>+Tabla16[[#This Row],[CDPS A 31 JULIO 2022]]-Tabla16[[#This Row],[CDP]]</f>
        <v>0</v>
      </c>
      <c r="U496" s="1357">
        <v>26950000</v>
      </c>
      <c r="V496" s="1357">
        <v>10290000</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135" x14ac:dyDescent="0.25">
      <c r="A497" s="1355">
        <v>2022527</v>
      </c>
      <c r="B497" s="1172">
        <v>7658</v>
      </c>
      <c r="C497" s="1356" t="s">
        <v>679</v>
      </c>
      <c r="D497" s="1190" t="s">
        <v>698</v>
      </c>
      <c r="E497" s="1174">
        <v>80111600</v>
      </c>
      <c r="F497" s="1380" t="s">
        <v>1137</v>
      </c>
      <c r="G497" s="1381">
        <v>44562</v>
      </c>
      <c r="H497" s="1381">
        <v>44592</v>
      </c>
      <c r="I497" s="1176">
        <v>11.5</v>
      </c>
      <c r="J497" s="1176" t="s">
        <v>673</v>
      </c>
      <c r="K497" s="1177" t="s">
        <v>674</v>
      </c>
      <c r="L497" s="1178" t="s">
        <v>675</v>
      </c>
      <c r="M497" s="1179">
        <f>36685000+28175000-6435000-1000000</f>
        <v>57425000</v>
      </c>
      <c r="N497" s="1382" t="s">
        <v>775</v>
      </c>
      <c r="O497" s="1174" t="s">
        <v>915</v>
      </c>
      <c r="P497" s="1163" t="s">
        <v>678</v>
      </c>
      <c r="Q497" s="1163"/>
      <c r="R497" s="1357">
        <v>30250000</v>
      </c>
      <c r="S497" s="1357">
        <v>30250000</v>
      </c>
      <c r="T497" s="1357">
        <f>+Tabla16[[#This Row],[CDPS A 31 JULIO 2022]]-Tabla16[[#This Row],[CDP]]</f>
        <v>0</v>
      </c>
      <c r="U497" s="1357">
        <v>30250000</v>
      </c>
      <c r="V497" s="1357">
        <v>11091667</v>
      </c>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135" x14ac:dyDescent="0.25">
      <c r="A498" s="1355">
        <v>2022528</v>
      </c>
      <c r="B498" s="1172">
        <v>7658</v>
      </c>
      <c r="C498" s="1356" t="s">
        <v>679</v>
      </c>
      <c r="D498" s="1190" t="s">
        <v>698</v>
      </c>
      <c r="E498" s="1174">
        <v>80111600</v>
      </c>
      <c r="F498" s="1380" t="s">
        <v>1138</v>
      </c>
      <c r="G498" s="1381">
        <v>44562</v>
      </c>
      <c r="H498" s="1381">
        <v>44592</v>
      </c>
      <c r="I498" s="1176">
        <v>11.5</v>
      </c>
      <c r="J498" s="1176" t="s">
        <v>673</v>
      </c>
      <c r="K498" s="1177" t="s">
        <v>674</v>
      </c>
      <c r="L498" s="1178" t="s">
        <v>675</v>
      </c>
      <c r="M498" s="1179">
        <f>51750000-2250000</f>
        <v>49500000</v>
      </c>
      <c r="N498" s="1382" t="s">
        <v>775</v>
      </c>
      <c r="O498" s="1174" t="s">
        <v>915</v>
      </c>
      <c r="P498" s="1163" t="s">
        <v>678</v>
      </c>
      <c r="Q498" s="1163"/>
      <c r="R498" s="1357">
        <v>49500000</v>
      </c>
      <c r="S498" s="1357">
        <v>49500000</v>
      </c>
      <c r="T498" s="1357">
        <f>+Tabla16[[#This Row],[CDPS A 31 JULIO 2022]]-Tabla16[[#This Row],[CDP]]</f>
        <v>0</v>
      </c>
      <c r="U498" s="1357">
        <v>49500000</v>
      </c>
      <c r="V498" s="1357">
        <v>17700000</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135" x14ac:dyDescent="0.25">
      <c r="A499" s="1355">
        <v>2022529</v>
      </c>
      <c r="B499" s="1172">
        <v>7658</v>
      </c>
      <c r="C499" s="1356" t="s">
        <v>679</v>
      </c>
      <c r="D499" s="1190" t="s">
        <v>698</v>
      </c>
      <c r="E499" s="1174">
        <v>80111600</v>
      </c>
      <c r="F499" s="1380" t="s">
        <v>1139</v>
      </c>
      <c r="G499" s="1381">
        <v>44562</v>
      </c>
      <c r="H499" s="1381">
        <v>44592</v>
      </c>
      <c r="I499" s="1176">
        <v>11.5</v>
      </c>
      <c r="J499" s="1176" t="s">
        <v>673</v>
      </c>
      <c r="K499" s="1177" t="s">
        <v>674</v>
      </c>
      <c r="L499" s="1178" t="s">
        <v>675</v>
      </c>
      <c r="M499" s="1179">
        <f>48300000+20700000-1200000-33000000-7800000</f>
        <v>27000000</v>
      </c>
      <c r="N499" s="1382" t="s">
        <v>775</v>
      </c>
      <c r="O499" s="1174" t="s">
        <v>915</v>
      </c>
      <c r="P499" s="1163" t="s">
        <v>678</v>
      </c>
      <c r="Q499" s="1163"/>
      <c r="R499" s="1357">
        <v>27000000</v>
      </c>
      <c r="S499" s="1357">
        <v>27000000</v>
      </c>
      <c r="T499" s="1357">
        <f>+Tabla16[[#This Row],[CDPS A 31 JULIO 2022]]-Tabla16[[#This Row],[CDP]]</f>
        <v>0</v>
      </c>
      <c r="U499" s="1357">
        <v>27000000</v>
      </c>
      <c r="V499" s="1357">
        <v>18150000</v>
      </c>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135" x14ac:dyDescent="0.25">
      <c r="A500" s="1355">
        <v>2022530</v>
      </c>
      <c r="B500" s="1172">
        <v>7658</v>
      </c>
      <c r="C500" s="1356" t="s">
        <v>679</v>
      </c>
      <c r="D500" s="1190" t="s">
        <v>698</v>
      </c>
      <c r="E500" s="1174">
        <v>80111600</v>
      </c>
      <c r="F500" s="1380" t="s">
        <v>1119</v>
      </c>
      <c r="G500" s="1381">
        <v>44562</v>
      </c>
      <c r="H500" s="1381">
        <v>44592</v>
      </c>
      <c r="I500" s="1176">
        <v>11.5</v>
      </c>
      <c r="J500" s="1176" t="s">
        <v>673</v>
      </c>
      <c r="K500" s="1177" t="s">
        <v>674</v>
      </c>
      <c r="L500" s="1178" t="s">
        <v>675</v>
      </c>
      <c r="M500" s="1179">
        <f>82915000-3605000</f>
        <v>79310000</v>
      </c>
      <c r="N500" s="1382" t="s">
        <v>775</v>
      </c>
      <c r="O500" s="1174" t="s">
        <v>915</v>
      </c>
      <c r="P500" s="1163" t="s">
        <v>678</v>
      </c>
      <c r="Q500" s="1163"/>
      <c r="R500" s="1357">
        <v>79310000</v>
      </c>
      <c r="S500" s="1357">
        <v>79310000</v>
      </c>
      <c r="T500" s="1357">
        <f>+Tabla16[[#This Row],[CDPS A 31 JULIO 2022]]-Tabla16[[#This Row],[CDP]]</f>
        <v>0</v>
      </c>
      <c r="U500" s="1357">
        <v>79310000</v>
      </c>
      <c r="V500" s="1357">
        <v>30522333</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135" x14ac:dyDescent="0.25">
      <c r="A501" s="1355">
        <v>2022531</v>
      </c>
      <c r="B501" s="1172">
        <v>7658</v>
      </c>
      <c r="C501" s="1356" t="s">
        <v>679</v>
      </c>
      <c r="D501" s="1190" t="s">
        <v>698</v>
      </c>
      <c r="E501" s="1174">
        <v>80111600</v>
      </c>
      <c r="F501" s="1380" t="s">
        <v>1140</v>
      </c>
      <c r="G501" s="1381">
        <v>44562</v>
      </c>
      <c r="H501" s="1381">
        <v>44592</v>
      </c>
      <c r="I501" s="1176">
        <v>11.5</v>
      </c>
      <c r="J501" s="1176" t="s">
        <v>673</v>
      </c>
      <c r="K501" s="1177" t="s">
        <v>674</v>
      </c>
      <c r="L501" s="1178" t="s">
        <v>675</v>
      </c>
      <c r="M501" s="1179">
        <f>45655000-1985000</f>
        <v>43670000</v>
      </c>
      <c r="N501" s="1382" t="s">
        <v>772</v>
      </c>
      <c r="O501" s="1174" t="s">
        <v>915</v>
      </c>
      <c r="P501" s="1163" t="s">
        <v>678</v>
      </c>
      <c r="Q501" s="1163"/>
      <c r="R501" s="1357">
        <v>43670000</v>
      </c>
      <c r="S501" s="1357">
        <v>43670000</v>
      </c>
      <c r="T501" s="1357">
        <f>+Tabla16[[#This Row],[CDPS A 31 JULIO 2022]]-Tabla16[[#This Row],[CDP]]</f>
        <v>0</v>
      </c>
      <c r="U501" s="1357">
        <v>43670000</v>
      </c>
      <c r="V501" s="1357">
        <v>16012333</v>
      </c>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135" x14ac:dyDescent="0.25">
      <c r="A502" s="1355">
        <v>2022532</v>
      </c>
      <c r="B502" s="1172">
        <v>7658</v>
      </c>
      <c r="C502" s="1356" t="s">
        <v>679</v>
      </c>
      <c r="D502" s="1190" t="s">
        <v>698</v>
      </c>
      <c r="E502" s="1174">
        <v>80111600</v>
      </c>
      <c r="F502" s="1380" t="s">
        <v>1141</v>
      </c>
      <c r="G502" s="1381">
        <v>44562</v>
      </c>
      <c r="H502" s="1381">
        <v>44592</v>
      </c>
      <c r="I502" s="1176">
        <v>11.5</v>
      </c>
      <c r="J502" s="1176" t="s">
        <v>673</v>
      </c>
      <c r="K502" s="1177" t="s">
        <v>674</v>
      </c>
      <c r="L502" s="1178" t="s">
        <v>675</v>
      </c>
      <c r="M502" s="1179">
        <f>47380000-2060000</f>
        <v>45320000</v>
      </c>
      <c r="N502" s="1382" t="s">
        <v>772</v>
      </c>
      <c r="O502" s="1174" t="s">
        <v>915</v>
      </c>
      <c r="P502" s="1163" t="s">
        <v>678</v>
      </c>
      <c r="Q502" s="1163"/>
      <c r="R502" s="1357">
        <v>45320000</v>
      </c>
      <c r="S502" s="1357">
        <v>45320000</v>
      </c>
      <c r="T502" s="1357">
        <f>+Tabla16[[#This Row],[CDPS A 31 JULIO 2022]]-Tabla16[[#This Row],[CDP]]</f>
        <v>0</v>
      </c>
      <c r="U502" s="1357">
        <v>45320000</v>
      </c>
      <c r="V502" s="1357">
        <v>13458667</v>
      </c>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135" x14ac:dyDescent="0.25">
      <c r="A503" s="1355">
        <v>2022533</v>
      </c>
      <c r="B503" s="1172">
        <v>7658</v>
      </c>
      <c r="C503" s="1356" t="s">
        <v>679</v>
      </c>
      <c r="D503" s="1190" t="s">
        <v>698</v>
      </c>
      <c r="E503" s="1174">
        <v>80111600</v>
      </c>
      <c r="F503" s="1380" t="s">
        <v>1142</v>
      </c>
      <c r="G503" s="1381">
        <v>44562</v>
      </c>
      <c r="H503" s="1381">
        <v>44592</v>
      </c>
      <c r="I503" s="1176">
        <v>11.5</v>
      </c>
      <c r="J503" s="1176" t="s">
        <v>673</v>
      </c>
      <c r="K503" s="1177" t="s">
        <v>674</v>
      </c>
      <c r="L503" s="1178" t="s">
        <v>675</v>
      </c>
      <c r="M503" s="1179">
        <f>54050000-2350000</f>
        <v>51700000</v>
      </c>
      <c r="N503" s="1382" t="s">
        <v>772</v>
      </c>
      <c r="O503" s="1174" t="s">
        <v>915</v>
      </c>
      <c r="P503" s="1163" t="s">
        <v>678</v>
      </c>
      <c r="Q503" s="1163"/>
      <c r="R503" s="1357">
        <v>51700000</v>
      </c>
      <c r="S503" s="1357">
        <v>51700000</v>
      </c>
      <c r="T503" s="1357">
        <f>+Tabla16[[#This Row],[CDPS A 31 JULIO 2022]]-Tabla16[[#This Row],[CDP]]</f>
        <v>0</v>
      </c>
      <c r="U503" s="1357">
        <v>51700000</v>
      </c>
      <c r="V503" s="1357">
        <v>19270000</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135" x14ac:dyDescent="0.25">
      <c r="A504" s="1355">
        <v>2022534</v>
      </c>
      <c r="B504" s="1172">
        <v>7658</v>
      </c>
      <c r="C504" s="1356" t="s">
        <v>679</v>
      </c>
      <c r="D504" s="1190" t="s">
        <v>698</v>
      </c>
      <c r="E504" s="1174">
        <v>80111600</v>
      </c>
      <c r="F504" s="1380" t="s">
        <v>1143</v>
      </c>
      <c r="G504" s="1381">
        <v>44562</v>
      </c>
      <c r="H504" s="1381">
        <v>44592</v>
      </c>
      <c r="I504" s="1176">
        <v>11.5</v>
      </c>
      <c r="J504" s="1176" t="s">
        <v>673</v>
      </c>
      <c r="K504" s="1177" t="s">
        <v>674</v>
      </c>
      <c r="L504" s="1178" t="s">
        <v>780</v>
      </c>
      <c r="M504" s="1179">
        <f>88550000-3850000</f>
        <v>84700000</v>
      </c>
      <c r="N504" s="1382" t="s">
        <v>775</v>
      </c>
      <c r="O504" s="1174" t="s">
        <v>915</v>
      </c>
      <c r="P504" s="1163" t="s">
        <v>678</v>
      </c>
      <c r="Q504" s="1163"/>
      <c r="R504" s="1357">
        <v>84700000</v>
      </c>
      <c r="S504" s="1357">
        <v>84700000</v>
      </c>
      <c r="T504" s="1357">
        <f>+Tabla16[[#This Row],[CDPS A 31 JULIO 2022]]-Tabla16[[#This Row],[CDP]]</f>
        <v>0</v>
      </c>
      <c r="U504" s="1357">
        <v>84700000</v>
      </c>
      <c r="V504" s="1357">
        <v>32340000</v>
      </c>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135" x14ac:dyDescent="0.25">
      <c r="A505" s="1355">
        <v>2022535</v>
      </c>
      <c r="B505" s="1172">
        <v>7658</v>
      </c>
      <c r="C505" s="1356" t="s">
        <v>679</v>
      </c>
      <c r="D505" s="1190" t="s">
        <v>698</v>
      </c>
      <c r="E505" s="1174">
        <v>80111600</v>
      </c>
      <c r="F505" s="1380" t="s">
        <v>1144</v>
      </c>
      <c r="G505" s="1381">
        <v>44562</v>
      </c>
      <c r="H505" s="1381">
        <v>44592</v>
      </c>
      <c r="I505" s="1176">
        <v>11.5</v>
      </c>
      <c r="J505" s="1176" t="s">
        <v>673</v>
      </c>
      <c r="K505" s="1177" t="s">
        <v>674</v>
      </c>
      <c r="L505" s="1178" t="s">
        <v>675</v>
      </c>
      <c r="M505" s="1179">
        <f>38525000-1675000</f>
        <v>36850000</v>
      </c>
      <c r="N505" s="1382" t="s">
        <v>775</v>
      </c>
      <c r="O505" s="1174" t="s">
        <v>915</v>
      </c>
      <c r="P505" s="1163" t="s">
        <v>678</v>
      </c>
      <c r="Q505" s="1163"/>
      <c r="R505" s="1357">
        <v>36850000</v>
      </c>
      <c r="S505" s="1357">
        <v>36850000</v>
      </c>
      <c r="T505" s="1357">
        <f>+Tabla16[[#This Row],[CDPS A 31 JULIO 2022]]-Tabla16[[#This Row],[CDP]]</f>
        <v>0</v>
      </c>
      <c r="U505" s="1357">
        <v>36850000</v>
      </c>
      <c r="V505" s="1357">
        <v>14293333</v>
      </c>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135" x14ac:dyDescent="0.25">
      <c r="A506" s="1355">
        <v>2022536</v>
      </c>
      <c r="B506" s="1172">
        <v>7658</v>
      </c>
      <c r="C506" s="1356" t="s">
        <v>679</v>
      </c>
      <c r="D506" s="1190" t="s">
        <v>698</v>
      </c>
      <c r="E506" s="1174">
        <v>80111600</v>
      </c>
      <c r="F506" s="1380" t="s">
        <v>1145</v>
      </c>
      <c r="G506" s="1381">
        <v>44562</v>
      </c>
      <c r="H506" s="1381">
        <v>44592</v>
      </c>
      <c r="I506" s="1176">
        <v>11.5</v>
      </c>
      <c r="J506" s="1176" t="s">
        <v>673</v>
      </c>
      <c r="K506" s="1177" t="s">
        <v>674</v>
      </c>
      <c r="L506" s="1178" t="s">
        <v>675</v>
      </c>
      <c r="M506" s="1179">
        <f>38525000-1125000</f>
        <v>37400000</v>
      </c>
      <c r="N506" s="1382" t="s">
        <v>775</v>
      </c>
      <c r="O506" s="1174" t="s">
        <v>915</v>
      </c>
      <c r="P506" s="1163" t="s">
        <v>678</v>
      </c>
      <c r="Q506" s="1163"/>
      <c r="R506" s="1357">
        <v>37400000</v>
      </c>
      <c r="S506" s="1357">
        <v>37400000</v>
      </c>
      <c r="T506" s="1357">
        <f>+Tabla16[[#This Row],[CDPS A 31 JULIO 2022]]-Tabla16[[#This Row],[CDP]]</f>
        <v>0</v>
      </c>
      <c r="U506" s="1357">
        <v>37400000</v>
      </c>
      <c r="V506" s="1357">
        <v>13713333</v>
      </c>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135" x14ac:dyDescent="0.25">
      <c r="A507" s="1355">
        <v>2022537</v>
      </c>
      <c r="B507" s="1172">
        <v>7658</v>
      </c>
      <c r="C507" s="1356" t="s">
        <v>679</v>
      </c>
      <c r="D507" s="1190" t="s">
        <v>698</v>
      </c>
      <c r="E507" s="1174">
        <v>80111600</v>
      </c>
      <c r="F507" s="1380" t="s">
        <v>1146</v>
      </c>
      <c r="G507" s="1381">
        <v>44562</v>
      </c>
      <c r="H507" s="1381">
        <v>44592</v>
      </c>
      <c r="I507" s="1176">
        <v>11.5</v>
      </c>
      <c r="J507" s="1176" t="s">
        <v>673</v>
      </c>
      <c r="K507" s="1177" t="s">
        <v>674</v>
      </c>
      <c r="L507" s="1178" t="s">
        <v>675</v>
      </c>
      <c r="M507" s="1179">
        <f>48300000+13225000+7475000-3000000-30148267</f>
        <v>35851733</v>
      </c>
      <c r="N507" s="1382" t="s">
        <v>772</v>
      </c>
      <c r="O507" s="1174" t="s">
        <v>915</v>
      </c>
      <c r="P507" s="1163" t="s">
        <v>678</v>
      </c>
      <c r="Q507" s="1163"/>
      <c r="R507" s="1357">
        <v>66000000</v>
      </c>
      <c r="S507" s="1357">
        <v>66000000</v>
      </c>
      <c r="T507" s="1357">
        <f>+Tabla16[[#This Row],[CDPS A 31 JULIO 2022]]-Tabla16[[#This Row],[CDP]]</f>
        <v>0</v>
      </c>
      <c r="U507" s="1357">
        <v>66000000</v>
      </c>
      <c r="V507" s="1357">
        <v>18000000</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135" x14ac:dyDescent="0.25">
      <c r="A508" s="1355">
        <v>2022538</v>
      </c>
      <c r="B508" s="1172">
        <v>7658</v>
      </c>
      <c r="C508" s="1356" t="s">
        <v>679</v>
      </c>
      <c r="D508" s="1190" t="s">
        <v>698</v>
      </c>
      <c r="E508" s="1174">
        <v>80111600</v>
      </c>
      <c r="F508" s="1380" t="s">
        <v>1147</v>
      </c>
      <c r="G508" s="1381">
        <v>44562</v>
      </c>
      <c r="H508" s="1381">
        <v>44592</v>
      </c>
      <c r="I508" s="1176">
        <v>11.5</v>
      </c>
      <c r="J508" s="1176" t="s">
        <v>673</v>
      </c>
      <c r="K508" s="1177" t="s">
        <v>674</v>
      </c>
      <c r="L508" s="1178" t="s">
        <v>675</v>
      </c>
      <c r="M508" s="1179">
        <f>65550000-23200000</f>
        <v>42350000</v>
      </c>
      <c r="N508" s="1382" t="s">
        <v>775</v>
      </c>
      <c r="O508" s="1174" t="s">
        <v>915</v>
      </c>
      <c r="P508" s="1163" t="s">
        <v>678</v>
      </c>
      <c r="Q508" s="1163"/>
      <c r="R508" s="1357">
        <v>42350000</v>
      </c>
      <c r="S508" s="1357">
        <v>42350000</v>
      </c>
      <c r="T508" s="1357">
        <f>+Tabla16[[#This Row],[CDPS A 31 JULIO 2022]]-Tabla16[[#This Row],[CDP]]</f>
        <v>0</v>
      </c>
      <c r="U508" s="1357">
        <v>42350000</v>
      </c>
      <c r="V508" s="1357">
        <v>15143333</v>
      </c>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135" x14ac:dyDescent="0.25">
      <c r="A509" s="1355">
        <v>2022539</v>
      </c>
      <c r="B509" s="1172">
        <v>7658</v>
      </c>
      <c r="C509" s="1356" t="s">
        <v>679</v>
      </c>
      <c r="D509" s="1190" t="s">
        <v>698</v>
      </c>
      <c r="E509" s="1174">
        <v>80111600</v>
      </c>
      <c r="F509" s="1380" t="s">
        <v>1148</v>
      </c>
      <c r="G509" s="1381">
        <v>44562</v>
      </c>
      <c r="H509" s="1381">
        <v>44592</v>
      </c>
      <c r="I509" s="1176">
        <v>11.5</v>
      </c>
      <c r="J509" s="1176" t="s">
        <v>673</v>
      </c>
      <c r="K509" s="1177" t="s">
        <v>674</v>
      </c>
      <c r="L509" s="1178" t="s">
        <v>675</v>
      </c>
      <c r="M509" s="1179">
        <f>69000000-3000000</f>
        <v>66000000</v>
      </c>
      <c r="N509" s="1382" t="s">
        <v>775</v>
      </c>
      <c r="O509" s="1174" t="s">
        <v>915</v>
      </c>
      <c r="P509" s="1163" t="s">
        <v>678</v>
      </c>
      <c r="Q509" s="1163"/>
      <c r="R509" s="1357">
        <v>66000000</v>
      </c>
      <c r="S509" s="1357">
        <v>66000000</v>
      </c>
      <c r="T509" s="1357">
        <f>+Tabla16[[#This Row],[CDPS A 31 JULIO 2022]]-Tabla16[[#This Row],[CDP]]</f>
        <v>0</v>
      </c>
      <c r="U509" s="1357">
        <v>66000000</v>
      </c>
      <c r="V509" s="1357">
        <v>25200000</v>
      </c>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135" x14ac:dyDescent="0.25">
      <c r="A510" s="1355">
        <v>2022540</v>
      </c>
      <c r="B510" s="1172">
        <v>7658</v>
      </c>
      <c r="C510" s="1356" t="s">
        <v>679</v>
      </c>
      <c r="D510" s="1190" t="s">
        <v>698</v>
      </c>
      <c r="E510" s="1174">
        <v>80111600</v>
      </c>
      <c r="F510" s="1380" t="s">
        <v>1149</v>
      </c>
      <c r="G510" s="1381">
        <v>44562</v>
      </c>
      <c r="H510" s="1381">
        <v>44592</v>
      </c>
      <c r="I510" s="1176">
        <v>11.5</v>
      </c>
      <c r="J510" s="1176" t="s">
        <v>673</v>
      </c>
      <c r="K510" s="1177" t="s">
        <v>674</v>
      </c>
      <c r="L510" s="1178" t="s">
        <v>675</v>
      </c>
      <c r="M510" s="1179">
        <f>39100000-3900000</f>
        <v>35200000</v>
      </c>
      <c r="N510" s="1382" t="s">
        <v>775</v>
      </c>
      <c r="O510" s="1174" t="s">
        <v>915</v>
      </c>
      <c r="P510" s="1163" t="s">
        <v>678</v>
      </c>
      <c r="Q510" s="1163"/>
      <c r="R510" s="1357">
        <v>35200000</v>
      </c>
      <c r="S510" s="1357">
        <v>35200000</v>
      </c>
      <c r="T510" s="1357">
        <f>+Tabla16[[#This Row],[CDPS A 31 JULIO 2022]]-Tabla16[[#This Row],[CDP]]</f>
        <v>0</v>
      </c>
      <c r="U510" s="1357">
        <v>35200000</v>
      </c>
      <c r="V510" s="1357">
        <v>12586667</v>
      </c>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135" x14ac:dyDescent="0.25">
      <c r="A511" s="1355">
        <v>2022541</v>
      </c>
      <c r="B511" s="1172">
        <v>7658</v>
      </c>
      <c r="C511" s="1356" t="s">
        <v>679</v>
      </c>
      <c r="D511" s="1190" t="s">
        <v>698</v>
      </c>
      <c r="E511" s="1174">
        <v>80111600</v>
      </c>
      <c r="F511" s="1380" t="s">
        <v>1150</v>
      </c>
      <c r="G511" s="1381">
        <v>44562</v>
      </c>
      <c r="H511" s="1381">
        <v>44592</v>
      </c>
      <c r="I511" s="1176">
        <v>11.5</v>
      </c>
      <c r="J511" s="1176" t="s">
        <v>673</v>
      </c>
      <c r="K511" s="1177" t="s">
        <v>674</v>
      </c>
      <c r="L511" s="1178" t="s">
        <v>675</v>
      </c>
      <c r="M511" s="1179">
        <f>36685000-1595000</f>
        <v>35090000</v>
      </c>
      <c r="N511" s="1382" t="s">
        <v>775</v>
      </c>
      <c r="O511" s="1174" t="s">
        <v>915</v>
      </c>
      <c r="P511" s="1163" t="s">
        <v>678</v>
      </c>
      <c r="Q511" s="1163"/>
      <c r="R511" s="1357">
        <v>35090000</v>
      </c>
      <c r="S511" s="1357">
        <v>35090000</v>
      </c>
      <c r="T511" s="1357">
        <f>+Tabla16[[#This Row],[CDPS A 31 JULIO 2022]]-Tabla16[[#This Row],[CDP]]</f>
        <v>0</v>
      </c>
      <c r="U511" s="1357">
        <v>35090000</v>
      </c>
      <c r="V511" s="1357">
        <v>12866333</v>
      </c>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60" x14ac:dyDescent="0.25">
      <c r="A512" s="1355">
        <v>2022542</v>
      </c>
      <c r="B512" s="1172" t="s">
        <v>459</v>
      </c>
      <c r="C512" s="1356"/>
      <c r="D512" s="1190" t="s">
        <v>689</v>
      </c>
      <c r="E512" s="1174" t="s">
        <v>1151</v>
      </c>
      <c r="F512" s="1380" t="s">
        <v>1152</v>
      </c>
      <c r="G512" s="1381">
        <v>44562</v>
      </c>
      <c r="H512" s="1381">
        <v>44592</v>
      </c>
      <c r="I512" s="1176">
        <v>3</v>
      </c>
      <c r="J512" s="1176" t="s">
        <v>699</v>
      </c>
      <c r="K512" s="1177" t="s">
        <v>674</v>
      </c>
      <c r="L512" s="1178"/>
      <c r="M512" s="1179">
        <v>4200000</v>
      </c>
      <c r="N512" s="1382"/>
      <c r="O512" s="1174"/>
      <c r="P512" s="1163" t="s">
        <v>748</v>
      </c>
      <c r="Q512" s="1163"/>
      <c r="R512" s="1357"/>
      <c r="S512" s="1357"/>
      <c r="T512" s="1357">
        <f>+Tabla16[[#This Row],[CDPS A 31 JULIO 2022]]-Tabla16[[#This Row],[CDP]]</f>
        <v>0</v>
      </c>
      <c r="U512" s="1357"/>
      <c r="V512" s="1357"/>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60" x14ac:dyDescent="0.25">
      <c r="A513" s="1355">
        <v>2022543</v>
      </c>
      <c r="B513" s="1172" t="s">
        <v>459</v>
      </c>
      <c r="C513" s="1356"/>
      <c r="D513" s="1190" t="s">
        <v>689</v>
      </c>
      <c r="E513" s="1174" t="s">
        <v>1151</v>
      </c>
      <c r="F513" s="1380" t="s">
        <v>1153</v>
      </c>
      <c r="G513" s="1381">
        <v>44621</v>
      </c>
      <c r="H513" s="1381">
        <v>44651</v>
      </c>
      <c r="I513" s="1176">
        <v>6</v>
      </c>
      <c r="J513" s="1176" t="s">
        <v>699</v>
      </c>
      <c r="K513" s="1177" t="s">
        <v>674</v>
      </c>
      <c r="L513" s="1178"/>
      <c r="M513" s="1179">
        <v>6799000</v>
      </c>
      <c r="N513" s="1382"/>
      <c r="O513" s="1174"/>
      <c r="P513" s="1163" t="s">
        <v>678</v>
      </c>
      <c r="Q513" s="1163"/>
      <c r="R513" s="1357"/>
      <c r="S513" s="1357"/>
      <c r="T513" s="1357">
        <f>+Tabla16[[#This Row],[CDPS A 31 JULIO 2022]]-Tabla16[[#This Row],[CDP]]</f>
        <v>0</v>
      </c>
      <c r="U513" s="1357"/>
      <c r="V513" s="1357"/>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60" x14ac:dyDescent="0.25">
      <c r="A514" s="1355">
        <v>2022544</v>
      </c>
      <c r="B514" s="1172" t="s">
        <v>459</v>
      </c>
      <c r="C514" s="1356"/>
      <c r="D514" s="1190" t="s">
        <v>689</v>
      </c>
      <c r="E514" s="1174" t="s">
        <v>1151</v>
      </c>
      <c r="F514" s="1380" t="s">
        <v>1154</v>
      </c>
      <c r="G514" s="1381">
        <v>44562</v>
      </c>
      <c r="H514" s="1381">
        <v>44592</v>
      </c>
      <c r="I514" s="1176">
        <v>1</v>
      </c>
      <c r="J514" s="1176" t="s">
        <v>720</v>
      </c>
      <c r="K514" s="1177" t="s">
        <v>674</v>
      </c>
      <c r="L514" s="1178"/>
      <c r="M514" s="1179">
        <f>10000000-9237765</f>
        <v>762235</v>
      </c>
      <c r="N514" s="1382"/>
      <c r="O514" s="1174"/>
      <c r="P514" s="1163" t="s">
        <v>748</v>
      </c>
      <c r="Q514" s="1163"/>
      <c r="R514" s="1357"/>
      <c r="S514" s="1357"/>
      <c r="T514" s="1357">
        <f>+Tabla16[[#This Row],[CDPS A 31 JULIO 2022]]-Tabla16[[#This Row],[CDP]]</f>
        <v>0</v>
      </c>
      <c r="U514" s="1357"/>
      <c r="V514" s="1357"/>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60" x14ac:dyDescent="0.25">
      <c r="A515" s="1355">
        <v>2022545</v>
      </c>
      <c r="B515" s="1172" t="s">
        <v>459</v>
      </c>
      <c r="C515" s="1356"/>
      <c r="D515" s="1190" t="s">
        <v>689</v>
      </c>
      <c r="E515" s="1174" t="s">
        <v>1151</v>
      </c>
      <c r="F515" s="1380" t="s">
        <v>1155</v>
      </c>
      <c r="G515" s="1381">
        <v>44562</v>
      </c>
      <c r="H515" s="1381">
        <v>44592</v>
      </c>
      <c r="I515" s="1176">
        <v>11</v>
      </c>
      <c r="J515" s="1176" t="s">
        <v>720</v>
      </c>
      <c r="K515" s="1177" t="s">
        <v>674</v>
      </c>
      <c r="L515" s="1178"/>
      <c r="M515" s="1179">
        <v>87000000</v>
      </c>
      <c r="N515" s="1382"/>
      <c r="O515" s="1174"/>
      <c r="P515" s="1163" t="s">
        <v>678</v>
      </c>
      <c r="Q515" s="1163"/>
      <c r="R515" s="1357"/>
      <c r="S515" s="1357"/>
      <c r="T515" s="1357">
        <f>+Tabla16[[#This Row],[CDPS A 31 JULIO 2022]]-Tabla16[[#This Row],[CDP]]</f>
        <v>0</v>
      </c>
      <c r="U515" s="1357"/>
      <c r="V515" s="1357"/>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60" x14ac:dyDescent="0.25">
      <c r="A516" s="1355">
        <v>2022546</v>
      </c>
      <c r="B516" s="1172" t="s">
        <v>459</v>
      </c>
      <c r="C516" s="1356"/>
      <c r="D516" s="1190" t="s">
        <v>689</v>
      </c>
      <c r="E516" s="1174" t="s">
        <v>1151</v>
      </c>
      <c r="F516" s="1380" t="s">
        <v>1152</v>
      </c>
      <c r="G516" s="1381">
        <v>44562</v>
      </c>
      <c r="H516" s="1381">
        <v>44592</v>
      </c>
      <c r="I516" s="1176">
        <v>3</v>
      </c>
      <c r="J516" s="1176" t="s">
        <v>699</v>
      </c>
      <c r="K516" s="1177" t="s">
        <v>674</v>
      </c>
      <c r="L516" s="1178"/>
      <c r="M516" s="1179">
        <v>5600000</v>
      </c>
      <c r="N516" s="1382"/>
      <c r="O516" s="1174"/>
      <c r="P516" s="1163" t="s">
        <v>748</v>
      </c>
      <c r="Q516" s="1163"/>
      <c r="R516" s="1357"/>
      <c r="S516" s="1357"/>
      <c r="T516" s="1357">
        <f>+Tabla16[[#This Row],[CDPS A 31 JULIO 2022]]-Tabla16[[#This Row],[CDP]]</f>
        <v>0</v>
      </c>
      <c r="U516" s="1357"/>
      <c r="V516" s="1357"/>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60" x14ac:dyDescent="0.25">
      <c r="A517" s="1355">
        <v>2022547</v>
      </c>
      <c r="B517" s="1172" t="s">
        <v>459</v>
      </c>
      <c r="C517" s="1356"/>
      <c r="D517" s="1190" t="s">
        <v>689</v>
      </c>
      <c r="E517" s="1174" t="s">
        <v>1151</v>
      </c>
      <c r="F517" s="1380" t="s">
        <v>1156</v>
      </c>
      <c r="G517" s="1381">
        <v>44621</v>
      </c>
      <c r="H517" s="1381">
        <v>44651</v>
      </c>
      <c r="I517" s="1176">
        <v>6</v>
      </c>
      <c r="J517" s="1176" t="s">
        <v>699</v>
      </c>
      <c r="K517" s="1177" t="s">
        <v>674</v>
      </c>
      <c r="L517" s="1178"/>
      <c r="M517" s="1179">
        <v>28400000</v>
      </c>
      <c r="N517" s="1382"/>
      <c r="O517" s="1174"/>
      <c r="P517" s="1163" t="s">
        <v>678</v>
      </c>
      <c r="Q517" s="1163"/>
      <c r="R517" s="1357"/>
      <c r="S517" s="1357"/>
      <c r="T517" s="1357">
        <f>+Tabla16[[#This Row],[CDPS A 31 JULIO 2022]]-Tabla16[[#This Row],[CDP]]</f>
        <v>0</v>
      </c>
      <c r="U517" s="1357"/>
      <c r="V517" s="1357"/>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120" x14ac:dyDescent="0.25">
      <c r="A518" s="1355">
        <v>2022548</v>
      </c>
      <c r="B518" s="1172" t="s">
        <v>459</v>
      </c>
      <c r="C518" s="1356"/>
      <c r="D518" s="1190" t="s">
        <v>689</v>
      </c>
      <c r="E518" s="1174" t="s">
        <v>1157</v>
      </c>
      <c r="F518" s="1380" t="s">
        <v>1158</v>
      </c>
      <c r="G518" s="1381">
        <v>44562</v>
      </c>
      <c r="H518" s="1381">
        <v>44592</v>
      </c>
      <c r="I518" s="1176">
        <v>11</v>
      </c>
      <c r="J518" s="1176" t="s">
        <v>720</v>
      </c>
      <c r="K518" s="1177" t="s">
        <v>674</v>
      </c>
      <c r="L518" s="1178"/>
      <c r="M518" s="1179">
        <f>100000000-20000000-15000000</f>
        <v>65000000</v>
      </c>
      <c r="N518" s="1382"/>
      <c r="O518" s="1174"/>
      <c r="P518" s="1207" t="s">
        <v>678</v>
      </c>
      <c r="Q518" s="1163"/>
      <c r="R518" s="1357"/>
      <c r="S518" s="1357"/>
      <c r="T518" s="1357">
        <f>+Tabla16[[#This Row],[CDPS A 31 JULIO 2022]]-Tabla16[[#This Row],[CDP]]</f>
        <v>0</v>
      </c>
      <c r="U518" s="1357"/>
      <c r="V518" s="1357"/>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120" x14ac:dyDescent="0.25">
      <c r="A519" s="1355">
        <v>2022549</v>
      </c>
      <c r="B519" s="1172" t="s">
        <v>459</v>
      </c>
      <c r="C519" s="1356"/>
      <c r="D519" s="1190" t="s">
        <v>689</v>
      </c>
      <c r="E519" s="1174" t="s">
        <v>1157</v>
      </c>
      <c r="F519" s="1380" t="s">
        <v>1159</v>
      </c>
      <c r="G519" s="1381">
        <v>44621</v>
      </c>
      <c r="H519" s="1381">
        <v>44651</v>
      </c>
      <c r="I519" s="1176">
        <v>6</v>
      </c>
      <c r="J519" s="1176" t="s">
        <v>699</v>
      </c>
      <c r="K519" s="1177" t="s">
        <v>674</v>
      </c>
      <c r="L519" s="1178"/>
      <c r="M519" s="1179">
        <f>10000000+20000000</f>
        <v>30000000</v>
      </c>
      <c r="N519" s="1382"/>
      <c r="O519" s="1174"/>
      <c r="P519" s="1207" t="s">
        <v>678</v>
      </c>
      <c r="Q519" s="1163"/>
      <c r="R519" s="1357"/>
      <c r="S519" s="1357"/>
      <c r="T519" s="1357">
        <f>+Tabla16[[#This Row],[CDPS A 31 JULIO 2022]]-Tabla16[[#This Row],[CDP]]</f>
        <v>0</v>
      </c>
      <c r="U519" s="1357"/>
      <c r="V519" s="1357"/>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60" x14ac:dyDescent="0.25">
      <c r="A520" s="1355">
        <v>2022550</v>
      </c>
      <c r="B520" s="1172" t="s">
        <v>459</v>
      </c>
      <c r="C520" s="1356"/>
      <c r="D520" s="1190" t="s">
        <v>689</v>
      </c>
      <c r="E520" s="1174" t="s">
        <v>1151</v>
      </c>
      <c r="F520" s="1380" t="s">
        <v>971</v>
      </c>
      <c r="G520" s="1381">
        <v>44562</v>
      </c>
      <c r="H520" s="1381">
        <v>44592</v>
      </c>
      <c r="I520" s="1176">
        <v>11</v>
      </c>
      <c r="J520" s="1176" t="s">
        <v>720</v>
      </c>
      <c r="K520" s="1177" t="s">
        <v>674</v>
      </c>
      <c r="L520" s="1178"/>
      <c r="M520" s="1179">
        <v>42542000</v>
      </c>
      <c r="N520" s="1382"/>
      <c r="O520" s="1174"/>
      <c r="P520" s="1207" t="s">
        <v>678</v>
      </c>
      <c r="Q520" s="1163"/>
      <c r="R520" s="1357"/>
      <c r="S520" s="1357"/>
      <c r="T520" s="1357">
        <f>+Tabla16[[#This Row],[CDPS A 31 JULIO 2022]]-Tabla16[[#This Row],[CDP]]</f>
        <v>0</v>
      </c>
      <c r="U520" s="1357"/>
      <c r="V520" s="1357"/>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60" x14ac:dyDescent="0.25">
      <c r="A521" s="1355">
        <v>2022551</v>
      </c>
      <c r="B521" s="1172" t="s">
        <v>459</v>
      </c>
      <c r="C521" s="1356"/>
      <c r="D521" s="1190" t="s">
        <v>689</v>
      </c>
      <c r="E521" s="1174" t="s">
        <v>1151</v>
      </c>
      <c r="F521" s="1380" t="s">
        <v>1154</v>
      </c>
      <c r="G521" s="1381">
        <v>44562</v>
      </c>
      <c r="H521" s="1381">
        <v>44592</v>
      </c>
      <c r="I521" s="1176">
        <v>1</v>
      </c>
      <c r="J521" s="1176" t="s">
        <v>720</v>
      </c>
      <c r="K521" s="1177" t="s">
        <v>674</v>
      </c>
      <c r="L521" s="1178"/>
      <c r="M521" s="1179">
        <v>2345000</v>
      </c>
      <c r="N521" s="1382"/>
      <c r="O521" s="1174"/>
      <c r="P521" s="1207" t="s">
        <v>757</v>
      </c>
      <c r="Q521" s="1163"/>
      <c r="R521" s="1357"/>
      <c r="S521" s="1357"/>
      <c r="T521" s="1357">
        <f>+Tabla16[[#This Row],[CDPS A 31 JULIO 2022]]-Tabla16[[#This Row],[CDP]]</f>
        <v>0</v>
      </c>
      <c r="U521" s="1357"/>
      <c r="V521" s="1357"/>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60" x14ac:dyDescent="0.25">
      <c r="A522" s="1355">
        <v>2022552</v>
      </c>
      <c r="B522" s="1172" t="s">
        <v>459</v>
      </c>
      <c r="C522" s="1356"/>
      <c r="D522" s="1190" t="s">
        <v>689</v>
      </c>
      <c r="E522" s="1174" t="s">
        <v>1151</v>
      </c>
      <c r="F522" s="1380" t="s">
        <v>1154</v>
      </c>
      <c r="G522" s="1381">
        <v>44562</v>
      </c>
      <c r="H522" s="1381">
        <v>44592</v>
      </c>
      <c r="I522" s="1176">
        <v>1</v>
      </c>
      <c r="J522" s="1176" t="s">
        <v>720</v>
      </c>
      <c r="K522" s="1177" t="s">
        <v>674</v>
      </c>
      <c r="L522" s="1178"/>
      <c r="M522" s="1179">
        <v>1450000</v>
      </c>
      <c r="N522" s="1382"/>
      <c r="O522" s="1174"/>
      <c r="P522" s="1446" t="s">
        <v>757</v>
      </c>
      <c r="Q522" s="1163"/>
      <c r="R522" s="1357"/>
      <c r="S522" s="1357"/>
      <c r="T522" s="1357">
        <f>+Tabla16[[#This Row],[CDPS A 31 JULIO 2022]]-Tabla16[[#This Row],[CDP]]</f>
        <v>0</v>
      </c>
      <c r="U522" s="1357"/>
      <c r="V522" s="1357"/>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60" x14ac:dyDescent="0.25">
      <c r="A523" s="1355">
        <v>2022553</v>
      </c>
      <c r="B523" s="1172" t="s">
        <v>459</v>
      </c>
      <c r="C523" s="1356"/>
      <c r="D523" s="1190" t="s">
        <v>689</v>
      </c>
      <c r="E523" s="1174" t="s">
        <v>1151</v>
      </c>
      <c r="F523" s="1380" t="s">
        <v>971</v>
      </c>
      <c r="G523" s="1381">
        <v>44562</v>
      </c>
      <c r="H523" s="1381">
        <v>44592</v>
      </c>
      <c r="I523" s="1176">
        <v>11</v>
      </c>
      <c r="J523" s="1176" t="s">
        <v>720</v>
      </c>
      <c r="K523" s="1177" t="s">
        <v>674</v>
      </c>
      <c r="L523" s="1178"/>
      <c r="M523" s="1179">
        <v>11550000</v>
      </c>
      <c r="N523" s="1382"/>
      <c r="O523" s="1174"/>
      <c r="P523" s="1446" t="s">
        <v>678</v>
      </c>
      <c r="Q523" s="1163"/>
      <c r="R523" s="1357"/>
      <c r="S523" s="1357"/>
      <c r="T523" s="1357">
        <f>+Tabla16[[#This Row],[CDPS A 31 JULIO 2022]]-Tabla16[[#This Row],[CDP]]</f>
        <v>0</v>
      </c>
      <c r="U523" s="1357"/>
      <c r="V523" s="1357"/>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60" x14ac:dyDescent="0.25">
      <c r="A524" s="1355">
        <v>2022554</v>
      </c>
      <c r="B524" s="1172" t="s">
        <v>459</v>
      </c>
      <c r="C524" s="1356"/>
      <c r="D524" s="1190" t="s">
        <v>689</v>
      </c>
      <c r="E524" s="1174" t="s">
        <v>1151</v>
      </c>
      <c r="F524" s="1380" t="s">
        <v>1152</v>
      </c>
      <c r="G524" s="1381">
        <v>44562</v>
      </c>
      <c r="H524" s="1381">
        <v>44592</v>
      </c>
      <c r="I524" s="1176">
        <v>3</v>
      </c>
      <c r="J524" s="1176" t="s">
        <v>699</v>
      </c>
      <c r="K524" s="1177" t="s">
        <v>674</v>
      </c>
      <c r="L524" s="1178"/>
      <c r="M524" s="1179">
        <v>2800000</v>
      </c>
      <c r="N524" s="1382"/>
      <c r="O524" s="1174"/>
      <c r="P524" s="1446" t="s">
        <v>757</v>
      </c>
      <c r="Q524" s="1163"/>
      <c r="R524" s="1357"/>
      <c r="S524" s="1357"/>
      <c r="T524" s="1357">
        <f>+Tabla16[[#This Row],[CDPS A 31 JULIO 2022]]-Tabla16[[#This Row],[CDP]]</f>
        <v>0</v>
      </c>
      <c r="U524" s="1357"/>
      <c r="V524" s="1357"/>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60" x14ac:dyDescent="0.25">
      <c r="A525" s="1355">
        <v>2022555</v>
      </c>
      <c r="B525" s="1172" t="s">
        <v>459</v>
      </c>
      <c r="C525" s="1356"/>
      <c r="D525" s="1190" t="s">
        <v>689</v>
      </c>
      <c r="E525" s="1174" t="s">
        <v>1151</v>
      </c>
      <c r="F525" s="1380" t="s">
        <v>1160</v>
      </c>
      <c r="G525" s="1381">
        <v>44621</v>
      </c>
      <c r="H525" s="1381">
        <v>44651</v>
      </c>
      <c r="I525" s="1176">
        <v>6</v>
      </c>
      <c r="J525" s="1176" t="s">
        <v>699</v>
      </c>
      <c r="K525" s="1177" t="s">
        <v>674</v>
      </c>
      <c r="L525" s="1178"/>
      <c r="M525" s="1179">
        <v>5204000</v>
      </c>
      <c r="N525" s="1382"/>
      <c r="O525" s="1174"/>
      <c r="P525" s="1207" t="s">
        <v>678</v>
      </c>
      <c r="Q525" s="1163"/>
      <c r="R525" s="1357"/>
      <c r="S525" s="1357"/>
      <c r="T525" s="1357">
        <f>+Tabla16[[#This Row],[CDPS A 31 JULIO 2022]]-Tabla16[[#This Row],[CDP]]</f>
        <v>0</v>
      </c>
      <c r="U525" s="1357"/>
      <c r="V525" s="1357"/>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60" x14ac:dyDescent="0.25">
      <c r="A526" s="1355">
        <v>2022557</v>
      </c>
      <c r="B526" s="1172" t="s">
        <v>459</v>
      </c>
      <c r="C526" s="1356"/>
      <c r="D526" s="1190" t="s">
        <v>689</v>
      </c>
      <c r="E526" s="1174" t="s">
        <v>1151</v>
      </c>
      <c r="F526" s="1380" t="s">
        <v>971</v>
      </c>
      <c r="G526" s="1381">
        <v>44562</v>
      </c>
      <c r="H526" s="1381">
        <v>44592</v>
      </c>
      <c r="I526" s="1176">
        <v>11</v>
      </c>
      <c r="J526" s="1176" t="s">
        <v>720</v>
      </c>
      <c r="K526" s="1177" t="s">
        <v>674</v>
      </c>
      <c r="L526" s="1178"/>
      <c r="M526" s="1179">
        <v>14692000</v>
      </c>
      <c r="N526" s="1382"/>
      <c r="O526" s="1174"/>
      <c r="P526" s="1207" t="s">
        <v>678</v>
      </c>
      <c r="Q526" s="1163"/>
      <c r="R526" s="1357"/>
      <c r="S526" s="1357"/>
      <c r="T526" s="1357">
        <f>+Tabla16[[#This Row],[CDPS A 31 JULIO 2022]]-Tabla16[[#This Row],[CDP]]</f>
        <v>0</v>
      </c>
      <c r="U526" s="1357"/>
      <c r="V526" s="1357"/>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ht="60" x14ac:dyDescent="0.25">
      <c r="A527" s="1355">
        <v>2022558</v>
      </c>
      <c r="B527" s="1172" t="s">
        <v>459</v>
      </c>
      <c r="C527" s="1356"/>
      <c r="D527" s="1190" t="s">
        <v>689</v>
      </c>
      <c r="E527" s="1174" t="s">
        <v>1151</v>
      </c>
      <c r="F527" s="1380" t="s">
        <v>1161</v>
      </c>
      <c r="G527" s="1381">
        <v>44562</v>
      </c>
      <c r="H527" s="1381">
        <v>44592</v>
      </c>
      <c r="I527" s="1176">
        <v>3</v>
      </c>
      <c r="J527" s="1176" t="s">
        <v>699</v>
      </c>
      <c r="K527" s="1177" t="s">
        <v>674</v>
      </c>
      <c r="L527" s="1178"/>
      <c r="M527" s="1179">
        <v>1400000</v>
      </c>
      <c r="N527" s="1382"/>
      <c r="O527" s="1174"/>
      <c r="P527" s="1446" t="s">
        <v>757</v>
      </c>
      <c r="Q527" s="1163"/>
      <c r="R527" s="1357"/>
      <c r="S527" s="1357"/>
      <c r="T527" s="1357">
        <f>+Tabla16[[#This Row],[CDPS A 31 JULIO 2022]]-Tabla16[[#This Row],[CDP]]</f>
        <v>0</v>
      </c>
      <c r="U527" s="1357"/>
      <c r="V527" s="1357"/>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row>
    <row r="528" spans="1:84" ht="60" x14ac:dyDescent="0.25">
      <c r="A528" s="1355">
        <v>2022559</v>
      </c>
      <c r="B528" s="1172" t="s">
        <v>459</v>
      </c>
      <c r="C528" s="1356"/>
      <c r="D528" s="1190" t="s">
        <v>689</v>
      </c>
      <c r="E528" s="1174" t="s">
        <v>1151</v>
      </c>
      <c r="F528" s="1380" t="s">
        <v>1160</v>
      </c>
      <c r="G528" s="1381">
        <v>44621</v>
      </c>
      <c r="H528" s="1381">
        <v>44651</v>
      </c>
      <c r="I528" s="1176">
        <v>6</v>
      </c>
      <c r="J528" s="1176" t="s">
        <v>699</v>
      </c>
      <c r="K528" s="1177" t="s">
        <v>674</v>
      </c>
      <c r="L528" s="1178"/>
      <c r="M528" s="1179">
        <v>9600000</v>
      </c>
      <c r="N528" s="1382"/>
      <c r="O528" s="1174"/>
      <c r="P528" s="1446" t="s">
        <v>678</v>
      </c>
      <c r="Q528" s="1163"/>
      <c r="R528" s="1357"/>
      <c r="S528" s="1357"/>
      <c r="T528" s="1357">
        <f>+Tabla16[[#This Row],[CDPS A 31 JULIO 2022]]-Tabla16[[#This Row],[CDP]]</f>
        <v>0</v>
      </c>
      <c r="U528" s="1357"/>
      <c r="V528" s="1357"/>
      <c r="W528" s="1357"/>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120" x14ac:dyDescent="0.25">
      <c r="A529" s="1355">
        <v>2022560</v>
      </c>
      <c r="B529" s="1172" t="s">
        <v>459</v>
      </c>
      <c r="C529" s="1356"/>
      <c r="D529" s="1190" t="s">
        <v>689</v>
      </c>
      <c r="E529" s="1174" t="s">
        <v>1162</v>
      </c>
      <c r="F529" s="1380" t="s">
        <v>1163</v>
      </c>
      <c r="G529" s="1381">
        <v>44682</v>
      </c>
      <c r="H529" s="1381">
        <v>44712</v>
      </c>
      <c r="I529" s="1176">
        <v>7</v>
      </c>
      <c r="J529" s="1176" t="s">
        <v>673</v>
      </c>
      <c r="K529" s="1177" t="s">
        <v>674</v>
      </c>
      <c r="L529" s="1178"/>
      <c r="M529" s="1179">
        <v>79500000</v>
      </c>
      <c r="N529" s="1382"/>
      <c r="O529" s="1174"/>
      <c r="P529" s="1446" t="s">
        <v>678</v>
      </c>
      <c r="Q529" s="1163"/>
      <c r="R529" s="1357"/>
      <c r="S529" s="1357"/>
      <c r="T529" s="1357">
        <f>+Tabla16[[#This Row],[CDPS A 31 JULIO 2022]]-Tabla16[[#This Row],[CDP]]</f>
        <v>0</v>
      </c>
      <c r="U529" s="1357"/>
      <c r="V529" s="1357"/>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135" x14ac:dyDescent="0.25">
      <c r="A530" s="1355">
        <v>2022561</v>
      </c>
      <c r="B530" s="1172" t="s">
        <v>459</v>
      </c>
      <c r="C530" s="1356"/>
      <c r="D530" s="1190" t="s">
        <v>689</v>
      </c>
      <c r="E530" s="1174" t="s">
        <v>1162</v>
      </c>
      <c r="F530" s="1380" t="s">
        <v>1164</v>
      </c>
      <c r="G530" s="1381">
        <v>44593</v>
      </c>
      <c r="H530" s="1381">
        <v>44620</v>
      </c>
      <c r="I530" s="1176">
        <v>3.21</v>
      </c>
      <c r="J530" s="1176" t="s">
        <v>673</v>
      </c>
      <c r="K530" s="1177" t="s">
        <v>674</v>
      </c>
      <c r="L530" s="1178"/>
      <c r="M530" s="1179">
        <v>41500000</v>
      </c>
      <c r="N530" s="1382"/>
      <c r="O530" s="1174"/>
      <c r="P530" s="1207" t="s">
        <v>757</v>
      </c>
      <c r="Q530" s="1163"/>
      <c r="R530" s="1357"/>
      <c r="S530" s="1357"/>
      <c r="T530" s="1357">
        <f>+Tabla16[[#This Row],[CDPS A 31 JULIO 2022]]-Tabla16[[#This Row],[CDP]]</f>
        <v>0</v>
      </c>
      <c r="U530" s="1357"/>
      <c r="V530" s="1357"/>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45" x14ac:dyDescent="0.25">
      <c r="A531" s="1355">
        <v>2022562</v>
      </c>
      <c r="B531" s="1172" t="s">
        <v>459</v>
      </c>
      <c r="C531" s="1356"/>
      <c r="D531" s="1190" t="s">
        <v>689</v>
      </c>
      <c r="E531" s="1174" t="s">
        <v>1165</v>
      </c>
      <c r="F531" s="1380" t="s">
        <v>1166</v>
      </c>
      <c r="G531" s="1381">
        <v>44593</v>
      </c>
      <c r="H531" s="1381">
        <v>44620</v>
      </c>
      <c r="I531" s="1176">
        <v>12</v>
      </c>
      <c r="J531" s="1176" t="s">
        <v>645</v>
      </c>
      <c r="K531" s="1177" t="s">
        <v>674</v>
      </c>
      <c r="L531" s="1178"/>
      <c r="M531" s="1179">
        <f>1500000000-225179326-158379938</f>
        <v>1116440736</v>
      </c>
      <c r="N531" s="1382"/>
      <c r="O531" s="1174"/>
      <c r="P531" s="1207" t="s">
        <v>678</v>
      </c>
      <c r="Q531" s="1163"/>
      <c r="R531" s="1357"/>
      <c r="S531" s="1357"/>
      <c r="T531" s="1357">
        <f>+Tabla16[[#This Row],[CDPS A 31 JULIO 2022]]-Tabla16[[#This Row],[CDP]]</f>
        <v>0</v>
      </c>
      <c r="U531" s="1357"/>
      <c r="V531" s="1357"/>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45" x14ac:dyDescent="0.25">
      <c r="A532" s="1355">
        <v>2022563</v>
      </c>
      <c r="B532" s="1172" t="s">
        <v>459</v>
      </c>
      <c r="C532" s="1356"/>
      <c r="D532" s="1190" t="s">
        <v>689</v>
      </c>
      <c r="E532" s="1174" t="s">
        <v>1165</v>
      </c>
      <c r="F532" s="1380" t="s">
        <v>1166</v>
      </c>
      <c r="G532" s="1381">
        <v>44593</v>
      </c>
      <c r="H532" s="1381">
        <v>44620</v>
      </c>
      <c r="I532" s="1176">
        <v>12</v>
      </c>
      <c r="J532" s="1176" t="s">
        <v>645</v>
      </c>
      <c r="K532" s="1177" t="s">
        <v>674</v>
      </c>
      <c r="L532" s="1178"/>
      <c r="M532" s="1179">
        <f>550000000-82565753-58072645</f>
        <v>409361602</v>
      </c>
      <c r="N532" s="1382"/>
      <c r="O532" s="1174"/>
      <c r="P532" s="1207" t="s">
        <v>678</v>
      </c>
      <c r="Q532" s="1163"/>
      <c r="R532" s="1357"/>
      <c r="S532" s="1357"/>
      <c r="T532" s="1357">
        <f>+Tabla16[[#This Row],[CDPS A 31 JULIO 2022]]-Tabla16[[#This Row],[CDP]]</f>
        <v>0</v>
      </c>
      <c r="U532" s="1357"/>
      <c r="V532" s="1357"/>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45" x14ac:dyDescent="0.25">
      <c r="A533" s="1355">
        <v>2022564</v>
      </c>
      <c r="B533" s="1172" t="s">
        <v>459</v>
      </c>
      <c r="C533" s="1356"/>
      <c r="D533" s="1190" t="s">
        <v>689</v>
      </c>
      <c r="E533" s="1174" t="s">
        <v>1165</v>
      </c>
      <c r="F533" s="1380" t="s">
        <v>1166</v>
      </c>
      <c r="G533" s="1381">
        <v>44593</v>
      </c>
      <c r="H533" s="1381">
        <v>44620</v>
      </c>
      <c r="I533" s="1176">
        <v>12</v>
      </c>
      <c r="J533" s="1176" t="s">
        <v>645</v>
      </c>
      <c r="K533" s="1177" t="s">
        <v>674</v>
      </c>
      <c r="L533" s="1178"/>
      <c r="M533" s="1179">
        <f>733000000-110037631-77394997</f>
        <v>545567372</v>
      </c>
      <c r="N533" s="1382"/>
      <c r="O533" s="1174"/>
      <c r="P533" s="1207" t="s">
        <v>678</v>
      </c>
      <c r="Q533" s="1163"/>
      <c r="R533" s="1357"/>
      <c r="S533" s="1357"/>
      <c r="T533" s="1357">
        <f>+Tabla16[[#This Row],[CDPS A 31 JULIO 2022]]-Tabla16[[#This Row],[CDP]]</f>
        <v>0</v>
      </c>
      <c r="U533" s="1357"/>
      <c r="V533" s="1357"/>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45" x14ac:dyDescent="0.25">
      <c r="A534" s="1355">
        <v>2022565</v>
      </c>
      <c r="B534" s="1172" t="s">
        <v>459</v>
      </c>
      <c r="C534" s="1356"/>
      <c r="D534" s="1190" t="s">
        <v>689</v>
      </c>
      <c r="E534" s="1174" t="s">
        <v>1165</v>
      </c>
      <c r="F534" s="1380" t="s">
        <v>1166</v>
      </c>
      <c r="G534" s="1381">
        <v>44593</v>
      </c>
      <c r="H534" s="1381">
        <v>44620</v>
      </c>
      <c r="I534" s="1176">
        <v>12</v>
      </c>
      <c r="J534" s="1176" t="s">
        <v>645</v>
      </c>
      <c r="K534" s="1177" t="s">
        <v>674</v>
      </c>
      <c r="L534" s="1178"/>
      <c r="M534" s="1179">
        <f>150000000-22517933-15837994</f>
        <v>111644073</v>
      </c>
      <c r="N534" s="1382"/>
      <c r="O534" s="1174"/>
      <c r="P534" s="1207" t="s">
        <v>678</v>
      </c>
      <c r="Q534" s="1163"/>
      <c r="R534" s="1357"/>
      <c r="S534" s="1357"/>
      <c r="T534" s="1357">
        <f>+Tabla16[[#This Row],[CDPS A 31 JULIO 2022]]-Tabla16[[#This Row],[CDP]]</f>
        <v>0</v>
      </c>
      <c r="U534" s="1357"/>
      <c r="V534" s="1357"/>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45" x14ac:dyDescent="0.25">
      <c r="A535" s="1355">
        <v>2022566</v>
      </c>
      <c r="B535" s="1172" t="s">
        <v>459</v>
      </c>
      <c r="C535" s="1356"/>
      <c r="D535" s="1190" t="s">
        <v>689</v>
      </c>
      <c r="E535" s="1174" t="s">
        <v>1165</v>
      </c>
      <c r="F535" s="1380" t="s">
        <v>1166</v>
      </c>
      <c r="G535" s="1381">
        <v>44593</v>
      </c>
      <c r="H535" s="1381">
        <v>44620</v>
      </c>
      <c r="I535" s="1176">
        <v>12</v>
      </c>
      <c r="J535" s="1176" t="s">
        <v>645</v>
      </c>
      <c r="K535" s="1177" t="s">
        <v>674</v>
      </c>
      <c r="L535" s="1178"/>
      <c r="M535" s="1179">
        <f>300000000-45035865-31675987</f>
        <v>223288148</v>
      </c>
      <c r="N535" s="1382"/>
      <c r="O535" s="1174"/>
      <c r="P535" s="1207" t="s">
        <v>678</v>
      </c>
      <c r="Q535" s="1163"/>
      <c r="R535" s="1357"/>
      <c r="S535" s="1357"/>
      <c r="T535" s="1357">
        <f>+Tabla16[[#This Row],[CDPS A 31 JULIO 2022]]-Tabla16[[#This Row],[CDP]]</f>
        <v>0</v>
      </c>
      <c r="U535" s="1357"/>
      <c r="V535" s="1357"/>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45" x14ac:dyDescent="0.25">
      <c r="A536" s="1355">
        <v>2022567</v>
      </c>
      <c r="B536" s="1172" t="s">
        <v>459</v>
      </c>
      <c r="C536" s="1356"/>
      <c r="D536" s="1190" t="s">
        <v>689</v>
      </c>
      <c r="E536" s="1174" t="s">
        <v>1165</v>
      </c>
      <c r="F536" s="1380" t="s">
        <v>1166</v>
      </c>
      <c r="G536" s="1381">
        <v>44593</v>
      </c>
      <c r="H536" s="1381">
        <v>44620</v>
      </c>
      <c r="I536" s="1176">
        <v>12</v>
      </c>
      <c r="J536" s="1176" t="s">
        <v>645</v>
      </c>
      <c r="K536" s="1177" t="s">
        <v>674</v>
      </c>
      <c r="L536" s="1178"/>
      <c r="M536" s="1179">
        <f>67000000-10058010-7074304</f>
        <v>49867686</v>
      </c>
      <c r="N536" s="1382"/>
      <c r="O536" s="1174"/>
      <c r="P536" s="1207" t="s">
        <v>678</v>
      </c>
      <c r="Q536" s="1163"/>
      <c r="R536" s="1357"/>
      <c r="S536" s="1357"/>
      <c r="T536" s="1357">
        <f>+Tabla16[[#This Row],[CDPS A 31 JULIO 2022]]-Tabla16[[#This Row],[CDP]]</f>
        <v>0</v>
      </c>
      <c r="U536" s="1357"/>
      <c r="V536" s="1357"/>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30" x14ac:dyDescent="0.25">
      <c r="A537" s="1400">
        <v>2022568</v>
      </c>
      <c r="B537" s="1401" t="s">
        <v>459</v>
      </c>
      <c r="C537" s="1402"/>
      <c r="D537" s="1403" t="s">
        <v>689</v>
      </c>
      <c r="E537" s="1404" t="s">
        <v>1167</v>
      </c>
      <c r="F537" s="1405" t="s">
        <v>1168</v>
      </c>
      <c r="G537" s="1406">
        <v>44713</v>
      </c>
      <c r="H537" s="1406">
        <v>44742</v>
      </c>
      <c r="I537" s="1407">
        <v>7</v>
      </c>
      <c r="J537" s="1407" t="s">
        <v>673</v>
      </c>
      <c r="K537" s="1408" t="s">
        <v>674</v>
      </c>
      <c r="L537" s="1409"/>
      <c r="M537" s="1410">
        <f>124000000-40053322-13946678</f>
        <v>70000000</v>
      </c>
      <c r="N537" s="1411"/>
      <c r="O537" s="1404"/>
      <c r="P537" s="1412" t="s">
        <v>678</v>
      </c>
      <c r="Q537" s="1163"/>
      <c r="R537" s="1357"/>
      <c r="S537" s="1357"/>
      <c r="T537" s="1357">
        <f>+Tabla16[[#This Row],[CDPS A 31 JULIO 2022]]-Tabla16[[#This Row],[CDP]]</f>
        <v>0</v>
      </c>
      <c r="U537" s="1357"/>
      <c r="V537" s="1357"/>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30" x14ac:dyDescent="0.25">
      <c r="A538" s="1400">
        <v>2022569</v>
      </c>
      <c r="B538" s="1401" t="s">
        <v>459</v>
      </c>
      <c r="C538" s="1402"/>
      <c r="D538" s="1403" t="s">
        <v>689</v>
      </c>
      <c r="E538" s="1404" t="s">
        <v>1167</v>
      </c>
      <c r="F538" s="1405" t="s">
        <v>1169</v>
      </c>
      <c r="G538" s="1406">
        <v>44562</v>
      </c>
      <c r="H538" s="1406">
        <v>44592</v>
      </c>
      <c r="I538" s="1407">
        <v>12</v>
      </c>
      <c r="J538" s="1407" t="s">
        <v>673</v>
      </c>
      <c r="K538" s="1408" t="s">
        <v>674</v>
      </c>
      <c r="L538" s="1409"/>
      <c r="M538" s="1410">
        <f>109000000-16204920</f>
        <v>92795080</v>
      </c>
      <c r="N538" s="1411"/>
      <c r="O538" s="1404"/>
      <c r="P538" s="1412" t="s">
        <v>678</v>
      </c>
      <c r="Q538" s="1163"/>
      <c r="R538" s="1357"/>
      <c r="S538" s="1357"/>
      <c r="T538" s="1357">
        <f>+Tabla16[[#This Row],[CDPS A 31 JULIO 2022]]-Tabla16[[#This Row],[CDP]]</f>
        <v>0</v>
      </c>
      <c r="U538" s="1357"/>
      <c r="V538" s="1357"/>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45" x14ac:dyDescent="0.25">
      <c r="A539" s="1400">
        <v>2022570</v>
      </c>
      <c r="B539" s="1401" t="s">
        <v>459</v>
      </c>
      <c r="C539" s="1402"/>
      <c r="D539" s="1403" t="s">
        <v>689</v>
      </c>
      <c r="E539" s="1404" t="s">
        <v>778</v>
      </c>
      <c r="F539" s="1405" t="s">
        <v>1170</v>
      </c>
      <c r="G539" s="1406">
        <v>44743</v>
      </c>
      <c r="H539" s="1406">
        <v>44772</v>
      </c>
      <c r="I539" s="1407">
        <v>11.5</v>
      </c>
      <c r="J539" s="1407" t="s">
        <v>673</v>
      </c>
      <c r="K539" s="1408" t="s">
        <v>674</v>
      </c>
      <c r="L539" s="1409"/>
      <c r="M539" s="1410">
        <f>350000000-68331200</f>
        <v>281668800</v>
      </c>
      <c r="N539" s="1411"/>
      <c r="O539" s="1404"/>
      <c r="P539" s="1412" t="s">
        <v>678</v>
      </c>
      <c r="Q539" s="1163"/>
      <c r="R539" s="1357"/>
      <c r="S539" s="1357"/>
      <c r="T539" s="1357">
        <f>+Tabla16[[#This Row],[CDPS A 31 JULIO 2022]]-Tabla16[[#This Row],[CDP]]</f>
        <v>0</v>
      </c>
      <c r="U539" s="1357"/>
      <c r="V539" s="1357"/>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60" x14ac:dyDescent="0.25">
      <c r="A540" s="1400">
        <v>2022571</v>
      </c>
      <c r="B540" s="1401" t="s">
        <v>459</v>
      </c>
      <c r="C540" s="1402"/>
      <c r="D540" s="1403" t="s">
        <v>689</v>
      </c>
      <c r="E540" s="1415" t="s">
        <v>965</v>
      </c>
      <c r="F540" s="1403" t="s">
        <v>1171</v>
      </c>
      <c r="G540" s="1416">
        <v>44652</v>
      </c>
      <c r="H540" s="1416">
        <v>44681</v>
      </c>
      <c r="I540" s="1407">
        <v>10</v>
      </c>
      <c r="J540" s="1407" t="s">
        <v>645</v>
      </c>
      <c r="K540" s="1408" t="s">
        <v>674</v>
      </c>
      <c r="L540" s="1409"/>
      <c r="M540" s="1410">
        <f>756263000-41115467-17000000-67208461</f>
        <v>630939072</v>
      </c>
      <c r="N540" s="1411"/>
      <c r="O540" s="1404"/>
      <c r="P540" s="1412" t="s">
        <v>678</v>
      </c>
      <c r="Q540" s="1163"/>
      <c r="R540" s="1357"/>
      <c r="S540" s="1357"/>
      <c r="T540" s="1357">
        <f>+Tabla16[[#This Row],[CDPS A 31 JULIO 2022]]-Tabla16[[#This Row],[CDP]]</f>
        <v>0</v>
      </c>
      <c r="U540" s="1357"/>
      <c r="V540" s="1357"/>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60" x14ac:dyDescent="0.25">
      <c r="A541" s="1355">
        <v>2022572</v>
      </c>
      <c r="B541" s="1172" t="s">
        <v>459</v>
      </c>
      <c r="C541" s="1356"/>
      <c r="D541" s="1190" t="s">
        <v>689</v>
      </c>
      <c r="E541" s="1174" t="s">
        <v>1151</v>
      </c>
      <c r="F541" s="1380" t="s">
        <v>969</v>
      </c>
      <c r="G541" s="1381">
        <v>44819</v>
      </c>
      <c r="H541" s="1381">
        <v>44822</v>
      </c>
      <c r="I541" s="1176">
        <v>2</v>
      </c>
      <c r="J541" s="1176" t="s">
        <v>720</v>
      </c>
      <c r="K541" s="1177" t="s">
        <v>674</v>
      </c>
      <c r="L541" s="1178"/>
      <c r="M541" s="1179">
        <f>37063000+9995387+1308000+9237765</f>
        <v>57604152</v>
      </c>
      <c r="N541" s="1382"/>
      <c r="O541" s="1174"/>
      <c r="P541" s="1207" t="s">
        <v>757</v>
      </c>
      <c r="Q541" s="1163"/>
      <c r="R541" s="1357"/>
      <c r="S541" s="1357"/>
      <c r="T541" s="1357">
        <f>+Tabla16[[#This Row],[CDPS A 31 JULIO 2022]]-Tabla16[[#This Row],[CDP]]</f>
        <v>0</v>
      </c>
      <c r="U541" s="1357"/>
      <c r="V541" s="1357"/>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60" x14ac:dyDescent="0.25">
      <c r="A542" s="1355">
        <v>2022573</v>
      </c>
      <c r="B542" s="1172" t="s">
        <v>459</v>
      </c>
      <c r="C542" s="1356"/>
      <c r="D542" s="1190" t="s">
        <v>689</v>
      </c>
      <c r="E542" s="1174" t="s">
        <v>1151</v>
      </c>
      <c r="F542" s="1380" t="s">
        <v>971</v>
      </c>
      <c r="G542" s="1381">
        <v>44562</v>
      </c>
      <c r="H542" s="1381">
        <v>44592</v>
      </c>
      <c r="I542" s="1176">
        <v>11</v>
      </c>
      <c r="J542" s="1176" t="s">
        <v>720</v>
      </c>
      <c r="K542" s="1177" t="s">
        <v>674</v>
      </c>
      <c r="L542" s="1178"/>
      <c r="M542" s="1179">
        <f>382937000-9995387</f>
        <v>372941613</v>
      </c>
      <c r="N542" s="1382"/>
      <c r="O542" s="1174"/>
      <c r="P542" s="1207" t="s">
        <v>678</v>
      </c>
      <c r="Q542" s="1163"/>
      <c r="R542" s="1357"/>
      <c r="S542" s="1357"/>
      <c r="T542" s="1357">
        <f>+Tabla16[[#This Row],[CDPS A 31 JULIO 2022]]-Tabla16[[#This Row],[CDP]]</f>
        <v>0</v>
      </c>
      <c r="U542" s="1357"/>
      <c r="V542" s="1357"/>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30" x14ac:dyDescent="0.25">
      <c r="A543" s="1355">
        <v>2022574</v>
      </c>
      <c r="B543" s="1172" t="s">
        <v>459</v>
      </c>
      <c r="C543" s="1356"/>
      <c r="D543" s="1190" t="s">
        <v>689</v>
      </c>
      <c r="E543" s="1174" t="s">
        <v>1172</v>
      </c>
      <c r="F543" s="1380" t="s">
        <v>1173</v>
      </c>
      <c r="G543" s="1381">
        <v>44713</v>
      </c>
      <c r="H543" s="1381">
        <v>44742</v>
      </c>
      <c r="I543" s="1176">
        <v>6</v>
      </c>
      <c r="J543" s="1176" t="s">
        <v>673</v>
      </c>
      <c r="K543" s="1177" t="s">
        <v>674</v>
      </c>
      <c r="L543" s="1178"/>
      <c r="M543" s="1179">
        <f>4019274+664250+524098+294046</f>
        <v>5501668</v>
      </c>
      <c r="N543" s="1382"/>
      <c r="O543" s="1174"/>
      <c r="P543" s="1207" t="s">
        <v>678</v>
      </c>
      <c r="Q543" s="1163"/>
      <c r="R543" s="1357"/>
      <c r="S543" s="1357"/>
      <c r="T543" s="1357">
        <f>+Tabla16[[#This Row],[CDPS A 31 JULIO 2022]]-Tabla16[[#This Row],[CDP]]</f>
        <v>0</v>
      </c>
      <c r="U543" s="1357"/>
      <c r="V543" s="1357"/>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45" x14ac:dyDescent="0.25">
      <c r="A544" s="1355">
        <v>2022575</v>
      </c>
      <c r="B544" s="1172" t="s">
        <v>459</v>
      </c>
      <c r="C544" s="1356"/>
      <c r="D544" s="1190" t="s">
        <v>689</v>
      </c>
      <c r="E544" s="1174" t="s">
        <v>1174</v>
      </c>
      <c r="F544" s="1380" t="s">
        <v>1175</v>
      </c>
      <c r="G544" s="1381">
        <v>44562</v>
      </c>
      <c r="H544" s="1381">
        <v>44592</v>
      </c>
      <c r="I544" s="1176">
        <v>5</v>
      </c>
      <c r="J544" s="1176" t="s">
        <v>673</v>
      </c>
      <c r="K544" s="1177" t="s">
        <v>674</v>
      </c>
      <c r="L544" s="1178"/>
      <c r="M544" s="1179">
        <f>8664250-664250</f>
        <v>8000000</v>
      </c>
      <c r="N544" s="1382"/>
      <c r="O544" s="1174"/>
      <c r="P544" s="1207" t="s">
        <v>757</v>
      </c>
      <c r="Q544" s="1163"/>
      <c r="R544" s="1357"/>
      <c r="S544" s="1357"/>
      <c r="T544" s="1357">
        <f>+Tabla16[[#This Row],[CDPS A 31 JULIO 2022]]-Tabla16[[#This Row],[CDP]]</f>
        <v>0</v>
      </c>
      <c r="U544" s="1357"/>
      <c r="V544" s="1357"/>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30" x14ac:dyDescent="0.25">
      <c r="A545" s="1355">
        <v>2022576</v>
      </c>
      <c r="B545" s="1172" t="s">
        <v>459</v>
      </c>
      <c r="C545" s="1356"/>
      <c r="D545" s="1190" t="s">
        <v>689</v>
      </c>
      <c r="E545" s="1174" t="s">
        <v>1172</v>
      </c>
      <c r="F545" s="1380" t="s">
        <v>1176</v>
      </c>
      <c r="G545" s="1381">
        <v>44713</v>
      </c>
      <c r="H545" s="1381">
        <v>44742</v>
      </c>
      <c r="I545" s="1176">
        <v>9</v>
      </c>
      <c r="J545" s="1176" t="s">
        <v>673</v>
      </c>
      <c r="K545" s="1177" t="s">
        <v>674</v>
      </c>
      <c r="L545" s="1178"/>
      <c r="M545" s="1179">
        <f>13335750-524098</f>
        <v>12811652</v>
      </c>
      <c r="N545" s="1382"/>
      <c r="O545" s="1174"/>
      <c r="P545" s="1207" t="s">
        <v>678</v>
      </c>
      <c r="Q545" s="1163"/>
      <c r="R545" s="1357"/>
      <c r="S545" s="1357"/>
      <c r="T545" s="1357">
        <f>+Tabla16[[#This Row],[CDPS A 31 JULIO 2022]]-Tabla16[[#This Row],[CDP]]</f>
        <v>0</v>
      </c>
      <c r="U545" s="1357"/>
      <c r="V545" s="1357"/>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30" x14ac:dyDescent="0.25">
      <c r="A546" s="1355">
        <v>2022577</v>
      </c>
      <c r="B546" s="1172" t="s">
        <v>459</v>
      </c>
      <c r="C546" s="1356"/>
      <c r="D546" s="1190" t="s">
        <v>689</v>
      </c>
      <c r="E546" s="1174" t="s">
        <v>1174</v>
      </c>
      <c r="F546" s="1380" t="s">
        <v>1173</v>
      </c>
      <c r="G546" s="1381">
        <v>44774</v>
      </c>
      <c r="H546" s="1381">
        <v>44804</v>
      </c>
      <c r="I546" s="1176">
        <v>6</v>
      </c>
      <c r="J546" s="1176" t="s">
        <v>673</v>
      </c>
      <c r="K546" s="1177" t="s">
        <v>674</v>
      </c>
      <c r="L546" s="1178"/>
      <c r="M546" s="1179">
        <f>3980726-294046</f>
        <v>3686680</v>
      </c>
      <c r="N546" s="1382"/>
      <c r="O546" s="1174"/>
      <c r="P546" s="1207" t="s">
        <v>678</v>
      </c>
      <c r="Q546" s="1163"/>
      <c r="R546" s="1357"/>
      <c r="S546" s="1357"/>
      <c r="T546" s="1357">
        <f>+Tabla16[[#This Row],[CDPS A 31 JULIO 2022]]-Tabla16[[#This Row],[CDP]]</f>
        <v>0</v>
      </c>
      <c r="U546" s="1357"/>
      <c r="V546" s="1357"/>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45" x14ac:dyDescent="0.25">
      <c r="A547" s="1355">
        <v>2022578</v>
      </c>
      <c r="B547" s="1172" t="s">
        <v>459</v>
      </c>
      <c r="C547" s="1356"/>
      <c r="D547" s="1190" t="s">
        <v>689</v>
      </c>
      <c r="E547" s="1174" t="s">
        <v>803</v>
      </c>
      <c r="F547" s="1380" t="s">
        <v>804</v>
      </c>
      <c r="G547" s="1381">
        <v>44562</v>
      </c>
      <c r="H547" s="1381">
        <v>44592</v>
      </c>
      <c r="I547" s="1176"/>
      <c r="J547" s="1176" t="s">
        <v>696</v>
      </c>
      <c r="K547" s="1177" t="s">
        <v>674</v>
      </c>
      <c r="L547" s="1178"/>
      <c r="M547" s="1179">
        <v>20000000</v>
      </c>
      <c r="N547" s="1382"/>
      <c r="O547" s="1174"/>
      <c r="P547" s="1207" t="s">
        <v>757</v>
      </c>
      <c r="Q547" s="1163"/>
      <c r="R547" s="1357"/>
      <c r="S547" s="1357"/>
      <c r="T547" s="1357">
        <f>+Tabla16[[#This Row],[CDPS A 31 JULIO 2022]]-Tabla16[[#This Row],[CDP]]</f>
        <v>0</v>
      </c>
      <c r="U547" s="1357"/>
      <c r="V547" s="1357"/>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45" x14ac:dyDescent="0.25">
      <c r="A548" s="1355">
        <v>2022579</v>
      </c>
      <c r="B548" s="1172" t="s">
        <v>459</v>
      </c>
      <c r="C548" s="1356"/>
      <c r="D548" s="1190" t="s">
        <v>689</v>
      </c>
      <c r="E548" s="1174" t="s">
        <v>803</v>
      </c>
      <c r="F548" s="1380" t="s">
        <v>1177</v>
      </c>
      <c r="G548" s="1381">
        <v>44562</v>
      </c>
      <c r="H548" s="1381">
        <v>44592</v>
      </c>
      <c r="I548" s="1176">
        <v>10</v>
      </c>
      <c r="J548" s="1176" t="s">
        <v>687</v>
      </c>
      <c r="K548" s="1177" t="s">
        <v>674</v>
      </c>
      <c r="L548" s="1178"/>
      <c r="M548" s="1179">
        <v>130000000</v>
      </c>
      <c r="N548" s="1382"/>
      <c r="O548" s="1174"/>
      <c r="P548" s="1207" t="s">
        <v>678</v>
      </c>
      <c r="Q548" s="1163"/>
      <c r="R548" s="1357"/>
      <c r="S548" s="1357"/>
      <c r="T548" s="1357">
        <f>+Tabla16[[#This Row],[CDPS A 31 JULIO 2022]]-Tabla16[[#This Row],[CDP]]</f>
        <v>0</v>
      </c>
      <c r="U548" s="1357"/>
      <c r="V548" s="1357"/>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30" x14ac:dyDescent="0.25">
      <c r="A549" s="1355">
        <v>2022580</v>
      </c>
      <c r="B549" s="1172" t="s">
        <v>459</v>
      </c>
      <c r="C549" s="1356"/>
      <c r="D549" s="1190" t="s">
        <v>682</v>
      </c>
      <c r="E549" s="1174" t="s">
        <v>778</v>
      </c>
      <c r="F549" s="1380" t="s">
        <v>1178</v>
      </c>
      <c r="G549" s="1381">
        <v>44562</v>
      </c>
      <c r="H549" s="1381">
        <v>44592</v>
      </c>
      <c r="I549" s="1176">
        <v>8</v>
      </c>
      <c r="J549" s="1176" t="s">
        <v>673</v>
      </c>
      <c r="K549" s="1177" t="s">
        <v>674</v>
      </c>
      <c r="L549" s="1178"/>
      <c r="M549" s="1179">
        <v>85650000</v>
      </c>
      <c r="N549" s="1382"/>
      <c r="O549" s="1174"/>
      <c r="P549" s="1207" t="s">
        <v>678</v>
      </c>
      <c r="Q549" s="1163"/>
      <c r="R549" s="1357"/>
      <c r="S549" s="1357"/>
      <c r="T549" s="1357">
        <f>+Tabla16[[#This Row],[CDPS A 31 JULIO 2022]]-Tabla16[[#This Row],[CDP]]</f>
        <v>0</v>
      </c>
      <c r="U549" s="1357"/>
      <c r="V549" s="1357"/>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45" x14ac:dyDescent="0.25">
      <c r="A550" s="1355">
        <v>2022581</v>
      </c>
      <c r="B550" s="1172" t="s">
        <v>459</v>
      </c>
      <c r="C550" s="1356"/>
      <c r="D550" s="1190" t="s">
        <v>682</v>
      </c>
      <c r="E550" s="1174" t="s">
        <v>778</v>
      </c>
      <c r="F550" s="1380" t="s">
        <v>1179</v>
      </c>
      <c r="G550" s="1381">
        <v>44562</v>
      </c>
      <c r="H550" s="1381">
        <v>44592</v>
      </c>
      <c r="I550" s="1176">
        <v>8</v>
      </c>
      <c r="J550" s="1176" t="s">
        <v>673</v>
      </c>
      <c r="K550" s="1177" t="s">
        <v>674</v>
      </c>
      <c r="L550" s="1178"/>
      <c r="M550" s="1179">
        <v>55350000</v>
      </c>
      <c r="N550" s="1382"/>
      <c r="O550" s="1174"/>
      <c r="P550" s="1207" t="s">
        <v>678</v>
      </c>
      <c r="Q550" s="1163"/>
      <c r="R550" s="1357"/>
      <c r="S550" s="1357"/>
      <c r="T550" s="1357">
        <f>+Tabla16[[#This Row],[CDPS A 31 JULIO 2022]]-Tabla16[[#This Row],[CDP]]</f>
        <v>0</v>
      </c>
      <c r="U550" s="1357"/>
      <c r="V550" s="1357"/>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45" x14ac:dyDescent="0.25">
      <c r="A551" s="1355">
        <v>2022582</v>
      </c>
      <c r="B551" s="1172" t="s">
        <v>459</v>
      </c>
      <c r="C551" s="1356"/>
      <c r="D551" s="1190" t="s">
        <v>682</v>
      </c>
      <c r="E551" s="1174" t="s">
        <v>778</v>
      </c>
      <c r="F551" s="1380" t="s">
        <v>1180</v>
      </c>
      <c r="G551" s="1381">
        <v>44562</v>
      </c>
      <c r="H551" s="1381">
        <v>44592</v>
      </c>
      <c r="I551" s="1176">
        <v>11</v>
      </c>
      <c r="J551" s="1176" t="s">
        <v>673</v>
      </c>
      <c r="K551" s="1177" t="s">
        <v>674</v>
      </c>
      <c r="L551" s="1178"/>
      <c r="M551" s="1179">
        <v>99000000</v>
      </c>
      <c r="N551" s="1382"/>
      <c r="O551" s="1174"/>
      <c r="P551" s="1207" t="s">
        <v>678</v>
      </c>
      <c r="Q551" s="1163"/>
      <c r="R551" s="1357"/>
      <c r="S551" s="1357"/>
      <c r="T551" s="1357">
        <f>+Tabla16[[#This Row],[CDPS A 31 JULIO 2022]]-Tabla16[[#This Row],[CDP]]</f>
        <v>0</v>
      </c>
      <c r="U551" s="1357"/>
      <c r="V551" s="1357"/>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75" x14ac:dyDescent="0.25">
      <c r="A552" s="1355">
        <v>2022583</v>
      </c>
      <c r="B552" s="1172" t="s">
        <v>459</v>
      </c>
      <c r="C552" s="1356"/>
      <c r="D552" s="1190" t="s">
        <v>698</v>
      </c>
      <c r="E552" s="1174" t="s">
        <v>1181</v>
      </c>
      <c r="F552" s="1380" t="s">
        <v>1182</v>
      </c>
      <c r="G552" s="1381">
        <v>44576</v>
      </c>
      <c r="H552" s="1381">
        <v>44592</v>
      </c>
      <c r="I552" s="1176">
        <v>11.5</v>
      </c>
      <c r="J552" s="1176" t="s">
        <v>699</v>
      </c>
      <c r="K552" s="1177" t="s">
        <v>674</v>
      </c>
      <c r="L552" s="1178"/>
      <c r="M552" s="1179">
        <v>22000000</v>
      </c>
      <c r="N552" s="1382"/>
      <c r="O552" s="1174"/>
      <c r="P552" s="1207" t="s">
        <v>678</v>
      </c>
      <c r="Q552" s="1163"/>
      <c r="R552" s="1357"/>
      <c r="S552" s="1357"/>
      <c r="T552" s="1357">
        <f>+Tabla16[[#This Row],[CDPS A 31 JULIO 2022]]-Tabla16[[#This Row],[CDP]]</f>
        <v>0</v>
      </c>
      <c r="U552" s="1357"/>
      <c r="V552" s="1357"/>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ht="45" x14ac:dyDescent="0.25">
      <c r="A553" s="1355">
        <v>2022584</v>
      </c>
      <c r="B553" s="1172" t="s">
        <v>459</v>
      </c>
      <c r="C553" s="1356"/>
      <c r="D553" s="1190" t="s">
        <v>701</v>
      </c>
      <c r="E553" s="1174" t="s">
        <v>1183</v>
      </c>
      <c r="F553" s="1380" t="s">
        <v>1184</v>
      </c>
      <c r="G553" s="1381">
        <v>44747</v>
      </c>
      <c r="H553" s="1381">
        <v>44774</v>
      </c>
      <c r="I553" s="1176">
        <v>6</v>
      </c>
      <c r="J553" s="1176" t="s">
        <v>696</v>
      </c>
      <c r="K553" s="1177" t="s">
        <v>674</v>
      </c>
      <c r="L553" s="1178"/>
      <c r="M553" s="1179">
        <v>700102000</v>
      </c>
      <c r="N553" s="1382"/>
      <c r="O553" s="1174"/>
      <c r="P553" s="1207" t="s">
        <v>678</v>
      </c>
      <c r="Q553" s="1163"/>
      <c r="R553" s="1357"/>
      <c r="S553" s="1357"/>
      <c r="T553" s="1357">
        <f>+Tabla16[[#This Row],[CDPS A 31 JULIO 2022]]-Tabla16[[#This Row],[CDP]]</f>
        <v>0</v>
      </c>
      <c r="U553" s="1357"/>
      <c r="V553" s="1357"/>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row>
    <row r="554" spans="1:84" ht="60" x14ac:dyDescent="0.25">
      <c r="A554" s="1355">
        <v>2022586</v>
      </c>
      <c r="B554" s="1172" t="s">
        <v>459</v>
      </c>
      <c r="C554" s="1356"/>
      <c r="D554" s="1190" t="s">
        <v>695</v>
      </c>
      <c r="E554" s="1174" t="s">
        <v>1185</v>
      </c>
      <c r="F554" s="1380" t="s">
        <v>1186</v>
      </c>
      <c r="G554" s="1381">
        <v>44621</v>
      </c>
      <c r="H554" s="1381">
        <v>44651</v>
      </c>
      <c r="I554" s="1176">
        <v>9</v>
      </c>
      <c r="J554" s="1176" t="s">
        <v>645</v>
      </c>
      <c r="K554" s="1177" t="s">
        <v>674</v>
      </c>
      <c r="L554" s="1178"/>
      <c r="M554" s="1179">
        <v>870000000</v>
      </c>
      <c r="N554" s="1382"/>
      <c r="O554" s="1174"/>
      <c r="P554" s="1207" t="s">
        <v>678</v>
      </c>
      <c r="Q554" s="1163"/>
      <c r="R554" s="1357"/>
      <c r="S554" s="1357"/>
      <c r="T554" s="1357">
        <f>+Tabla16[[#This Row],[CDPS A 31 JULIO 2022]]-Tabla16[[#This Row],[CDP]]</f>
        <v>0</v>
      </c>
      <c r="U554" s="1357"/>
      <c r="V554" s="1357"/>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row>
    <row r="555" spans="1:84" ht="30" x14ac:dyDescent="0.25">
      <c r="A555" s="1355">
        <v>2022587</v>
      </c>
      <c r="B555" s="1172" t="s">
        <v>459</v>
      </c>
      <c r="C555" s="1356"/>
      <c r="D555" s="1190" t="s">
        <v>695</v>
      </c>
      <c r="E555" s="1174" t="s">
        <v>1187</v>
      </c>
      <c r="F555" s="1380" t="s">
        <v>1188</v>
      </c>
      <c r="G555" s="1381">
        <v>44835</v>
      </c>
      <c r="H555" s="1381">
        <v>44865</v>
      </c>
      <c r="I555" s="1176" t="s">
        <v>1189</v>
      </c>
      <c r="J555" s="1176" t="s">
        <v>97</v>
      </c>
      <c r="K555" s="1177" t="s">
        <v>674</v>
      </c>
      <c r="L555" s="1178"/>
      <c r="M555" s="1179">
        <v>150000000</v>
      </c>
      <c r="N555" s="1382"/>
      <c r="O555" s="1174"/>
      <c r="P555" s="1207" t="s">
        <v>678</v>
      </c>
      <c r="Q555" s="1163"/>
      <c r="R555" s="1357"/>
      <c r="S555" s="1357"/>
      <c r="T555" s="1357">
        <f>+Tabla16[[#This Row],[CDPS A 31 JULIO 2022]]-Tabla16[[#This Row],[CDP]]</f>
        <v>0</v>
      </c>
      <c r="U555" s="1357"/>
      <c r="V555" s="1357"/>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row>
    <row r="556" spans="1:84" ht="135" x14ac:dyDescent="0.25">
      <c r="A556" s="1355">
        <v>2022588</v>
      </c>
      <c r="B556" s="1172" t="s">
        <v>459</v>
      </c>
      <c r="C556" s="1356"/>
      <c r="D556" s="1190" t="s">
        <v>695</v>
      </c>
      <c r="E556" s="1174" t="s">
        <v>1190</v>
      </c>
      <c r="F556" s="1380" t="s">
        <v>1191</v>
      </c>
      <c r="G556" s="1381">
        <v>44682</v>
      </c>
      <c r="H556" s="1381">
        <v>44712</v>
      </c>
      <c r="I556" s="1176">
        <v>7</v>
      </c>
      <c r="J556" s="1176" t="s">
        <v>687</v>
      </c>
      <c r="K556" s="1177" t="s">
        <v>674</v>
      </c>
      <c r="L556" s="1178"/>
      <c r="M556" s="1179">
        <v>250000000</v>
      </c>
      <c r="N556" s="1382"/>
      <c r="O556" s="1174"/>
      <c r="P556" s="1207" t="s">
        <v>678</v>
      </c>
      <c r="Q556" s="1163"/>
      <c r="R556" s="1357"/>
      <c r="S556" s="1357"/>
      <c r="T556" s="1357">
        <f>+Tabla16[[#This Row],[CDPS A 31 JULIO 2022]]-Tabla16[[#This Row],[CDP]]</f>
        <v>0</v>
      </c>
      <c r="U556" s="1357"/>
      <c r="V556" s="1357"/>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75" x14ac:dyDescent="0.25">
      <c r="A557" s="1400">
        <v>2022589</v>
      </c>
      <c r="B557" s="1401" t="s">
        <v>459</v>
      </c>
      <c r="C557" s="1402"/>
      <c r="D557" s="1403" t="s">
        <v>695</v>
      </c>
      <c r="E557" s="1434" t="s">
        <v>1192</v>
      </c>
      <c r="F557" s="1405" t="s">
        <v>1193</v>
      </c>
      <c r="G557" s="1406">
        <v>44621</v>
      </c>
      <c r="H557" s="1406">
        <v>44651</v>
      </c>
      <c r="I557" s="1407">
        <v>9</v>
      </c>
      <c r="J557" s="1407" t="s">
        <v>699</v>
      </c>
      <c r="K557" s="1408" t="s">
        <v>674</v>
      </c>
      <c r="L557" s="1409"/>
      <c r="M557" s="1410">
        <f>50000000-29250000-12597939-5417437</f>
        <v>2734624</v>
      </c>
      <c r="N557" s="1411"/>
      <c r="O557" s="1404"/>
      <c r="P557" s="1412" t="s">
        <v>678</v>
      </c>
      <c r="Q557" s="1163"/>
      <c r="R557" s="1357"/>
      <c r="S557" s="1357"/>
      <c r="T557" s="1357">
        <f>+Tabla16[[#This Row],[CDPS A 31 JULIO 2022]]-Tabla16[[#This Row],[CDP]]</f>
        <v>0</v>
      </c>
      <c r="U557" s="1357"/>
      <c r="V557" s="1357"/>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60" x14ac:dyDescent="0.25">
      <c r="A558" s="1355">
        <v>2022590</v>
      </c>
      <c r="B558" s="1172" t="s">
        <v>459</v>
      </c>
      <c r="C558" s="1356"/>
      <c r="D558" s="1190" t="s">
        <v>695</v>
      </c>
      <c r="E558" s="1174" t="s">
        <v>1189</v>
      </c>
      <c r="F558" s="1380" t="s">
        <v>1194</v>
      </c>
      <c r="G558" s="1381">
        <v>44593</v>
      </c>
      <c r="H558" s="1381">
        <v>44620</v>
      </c>
      <c r="I558" s="1176">
        <v>12</v>
      </c>
      <c r="J558" s="1176" t="s">
        <v>680</v>
      </c>
      <c r="K558" s="1177" t="s">
        <v>674</v>
      </c>
      <c r="L558" s="1178"/>
      <c r="M558" s="1179">
        <f>2476000000-210554286-125041620</f>
        <v>2140404094</v>
      </c>
      <c r="N558" s="1382"/>
      <c r="O558" s="1174"/>
      <c r="P558" s="1207" t="s">
        <v>678</v>
      </c>
      <c r="Q558" s="1163"/>
      <c r="R558" s="1357"/>
      <c r="S558" s="1357"/>
      <c r="T558" s="1357">
        <f>+Tabla16[[#This Row],[CDPS A 31 JULIO 2022]]-Tabla16[[#This Row],[CDP]]</f>
        <v>0</v>
      </c>
      <c r="U558" s="1357"/>
      <c r="V558" s="1357"/>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45" x14ac:dyDescent="0.25">
      <c r="A559" s="1355">
        <v>2022591</v>
      </c>
      <c r="B559" s="1172" t="s">
        <v>459</v>
      </c>
      <c r="C559" s="1356"/>
      <c r="D559" s="1190" t="s">
        <v>671</v>
      </c>
      <c r="E559" s="1174" t="s">
        <v>1195</v>
      </c>
      <c r="F559" s="1380" t="s">
        <v>1196</v>
      </c>
      <c r="G559" s="1381">
        <v>44562</v>
      </c>
      <c r="H559" s="1381">
        <v>44592</v>
      </c>
      <c r="I559" s="1176">
        <v>2</v>
      </c>
      <c r="J559" s="1176" t="s">
        <v>699</v>
      </c>
      <c r="K559" s="1177" t="s">
        <v>674</v>
      </c>
      <c r="L559" s="1178"/>
      <c r="M559" s="1179">
        <v>35000000</v>
      </c>
      <c r="N559" s="1382"/>
      <c r="O559" s="1174"/>
      <c r="P559" s="1298" t="s">
        <v>678</v>
      </c>
      <c r="Q559" s="1163"/>
      <c r="R559" s="1357"/>
      <c r="S559" s="1357"/>
      <c r="T559" s="1357">
        <f>+Tabla16[[#This Row],[CDPS A 31 JULIO 2022]]-Tabla16[[#This Row],[CDP]]</f>
        <v>0</v>
      </c>
      <c r="U559" s="1357"/>
      <c r="V559" s="1357"/>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45" x14ac:dyDescent="0.25">
      <c r="A560" s="1355">
        <v>2022592</v>
      </c>
      <c r="B560" s="1172" t="s">
        <v>459</v>
      </c>
      <c r="C560" s="1356"/>
      <c r="D560" s="1190" t="s">
        <v>671</v>
      </c>
      <c r="E560" s="1174" t="s">
        <v>1195</v>
      </c>
      <c r="F560" s="1380" t="s">
        <v>1197</v>
      </c>
      <c r="G560" s="1381">
        <v>44562</v>
      </c>
      <c r="H560" s="1381">
        <v>44592</v>
      </c>
      <c r="I560" s="1176">
        <v>2</v>
      </c>
      <c r="J560" s="1176" t="s">
        <v>699</v>
      </c>
      <c r="K560" s="1177" t="s">
        <v>674</v>
      </c>
      <c r="L560" s="1178"/>
      <c r="M560" s="1179">
        <v>19810000</v>
      </c>
      <c r="N560" s="1382"/>
      <c r="O560" s="1174"/>
      <c r="P560" s="1207" t="s">
        <v>678</v>
      </c>
      <c r="Q560" s="1163"/>
      <c r="R560" s="1357"/>
      <c r="S560" s="1357"/>
      <c r="T560" s="1357">
        <f>+Tabla16[[#This Row],[CDPS A 31 JULIO 2022]]-Tabla16[[#This Row],[CDP]]</f>
        <v>0</v>
      </c>
      <c r="U560" s="1357"/>
      <c r="V560" s="1357"/>
      <c r="W560" s="1357"/>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45" x14ac:dyDescent="0.25">
      <c r="A561" s="1355">
        <v>2022593</v>
      </c>
      <c r="B561" s="1172" t="s">
        <v>459</v>
      </c>
      <c r="C561" s="1356"/>
      <c r="D561" s="1190" t="s">
        <v>671</v>
      </c>
      <c r="E561" s="1174" t="s">
        <v>1198</v>
      </c>
      <c r="F561" s="1380" t="s">
        <v>1199</v>
      </c>
      <c r="G561" s="1381">
        <v>44562</v>
      </c>
      <c r="H561" s="1381">
        <v>44592</v>
      </c>
      <c r="I561" s="1176">
        <v>3.5</v>
      </c>
      <c r="J561" s="1176" t="s">
        <v>673</v>
      </c>
      <c r="K561" s="1177" t="s">
        <v>674</v>
      </c>
      <c r="L561" s="1178"/>
      <c r="M561" s="1179">
        <v>10000000</v>
      </c>
      <c r="N561" s="1382"/>
      <c r="O561" s="1174"/>
      <c r="P561" s="1207" t="s">
        <v>757</v>
      </c>
      <c r="Q561" s="1163"/>
      <c r="R561" s="1357"/>
      <c r="S561" s="1357"/>
      <c r="T561" s="1357">
        <f>+Tabla16[[#This Row],[CDPS A 31 JULIO 2022]]-Tabla16[[#This Row],[CDP]]</f>
        <v>0</v>
      </c>
      <c r="U561" s="1357"/>
      <c r="V561" s="1357"/>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30" x14ac:dyDescent="0.25">
      <c r="A562" s="1355">
        <v>2022594</v>
      </c>
      <c r="B562" s="1172" t="s">
        <v>459</v>
      </c>
      <c r="C562" s="1356"/>
      <c r="D562" s="1190" t="s">
        <v>671</v>
      </c>
      <c r="E562" s="1174" t="s">
        <v>1200</v>
      </c>
      <c r="F562" s="1380" t="s">
        <v>1201</v>
      </c>
      <c r="G562" s="1381">
        <v>44774</v>
      </c>
      <c r="H562" s="1381">
        <v>44793</v>
      </c>
      <c r="I562" s="1176">
        <v>6</v>
      </c>
      <c r="J562" s="1176" t="s">
        <v>673</v>
      </c>
      <c r="K562" s="1177" t="s">
        <v>674</v>
      </c>
      <c r="L562" s="1178"/>
      <c r="M562" s="1179">
        <v>8386190</v>
      </c>
      <c r="N562" s="1382"/>
      <c r="O562" s="1174"/>
      <c r="P562" s="1391" t="s">
        <v>678</v>
      </c>
      <c r="Q562" s="1163"/>
      <c r="R562" s="1357"/>
      <c r="S562" s="1357"/>
      <c r="T562" s="1357">
        <f>+Tabla16[[#This Row],[CDPS A 31 JULIO 2022]]-Tabla16[[#This Row],[CDP]]</f>
        <v>0</v>
      </c>
      <c r="U562" s="1357"/>
      <c r="V562" s="1357"/>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30" x14ac:dyDescent="0.25">
      <c r="A563" s="1355">
        <v>2022595</v>
      </c>
      <c r="B563" s="1172" t="s">
        <v>459</v>
      </c>
      <c r="C563" s="1356"/>
      <c r="D563" s="1190" t="s">
        <v>671</v>
      </c>
      <c r="E563" s="1174" t="s">
        <v>1202</v>
      </c>
      <c r="F563" s="1380" t="s">
        <v>1203</v>
      </c>
      <c r="G563" s="1381">
        <v>44743</v>
      </c>
      <c r="H563" s="1381">
        <v>44773</v>
      </c>
      <c r="I563" s="1176">
        <v>12</v>
      </c>
      <c r="J563" s="1176" t="s">
        <v>673</v>
      </c>
      <c r="K563" s="1177" t="s">
        <v>674</v>
      </c>
      <c r="L563" s="1178"/>
      <c r="M563" s="1179">
        <v>35000000</v>
      </c>
      <c r="N563" s="1382"/>
      <c r="O563" s="1174"/>
      <c r="P563" s="1207" t="s">
        <v>678</v>
      </c>
      <c r="Q563" s="1163"/>
      <c r="R563" s="1357"/>
      <c r="S563" s="1357"/>
      <c r="T563" s="1357">
        <f>+Tabla16[[#This Row],[CDPS A 31 JULIO 2022]]-Tabla16[[#This Row],[CDP]]</f>
        <v>0</v>
      </c>
      <c r="U563" s="1357"/>
      <c r="V563" s="1357"/>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60" x14ac:dyDescent="0.25">
      <c r="A564" s="1355">
        <v>2022596</v>
      </c>
      <c r="B564" s="1172" t="s">
        <v>459</v>
      </c>
      <c r="C564" s="1356"/>
      <c r="D564" s="1190" t="s">
        <v>671</v>
      </c>
      <c r="E564" s="1174" t="s">
        <v>1204</v>
      </c>
      <c r="F564" s="1380" t="s">
        <v>1205</v>
      </c>
      <c r="G564" s="1381">
        <v>44743</v>
      </c>
      <c r="H564" s="1381">
        <v>44762</v>
      </c>
      <c r="I564" s="1176">
        <v>2</v>
      </c>
      <c r="J564" s="1176" t="s">
        <v>720</v>
      </c>
      <c r="K564" s="1177" t="s">
        <v>674</v>
      </c>
      <c r="L564" s="1178"/>
      <c r="M564" s="1179">
        <v>35000000</v>
      </c>
      <c r="N564" s="1382"/>
      <c r="O564" s="1174"/>
      <c r="P564" s="1207" t="s">
        <v>678</v>
      </c>
      <c r="Q564" s="1163"/>
      <c r="R564" s="1357"/>
      <c r="S564" s="1357"/>
      <c r="T564" s="1357">
        <f>+Tabla16[[#This Row],[CDPS A 31 JULIO 2022]]-Tabla16[[#This Row],[CDP]]</f>
        <v>0</v>
      </c>
      <c r="U564" s="1357"/>
      <c r="V564" s="1357"/>
      <c r="W564" s="1357" t="s">
        <v>1053</v>
      </c>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75" x14ac:dyDescent="0.25">
      <c r="A565" s="1355">
        <v>2022597</v>
      </c>
      <c r="B565" s="1172" t="s">
        <v>459</v>
      </c>
      <c r="C565" s="1356"/>
      <c r="D565" s="1190" t="s">
        <v>671</v>
      </c>
      <c r="E565" s="1174" t="s">
        <v>1206</v>
      </c>
      <c r="F565" s="1380" t="s">
        <v>1207</v>
      </c>
      <c r="G565" s="1381">
        <v>44621</v>
      </c>
      <c r="H565" s="1381">
        <v>44651</v>
      </c>
      <c r="I565" s="1176">
        <v>6</v>
      </c>
      <c r="J565" s="1176" t="s">
        <v>720</v>
      </c>
      <c r="K565" s="1177" t="s">
        <v>674</v>
      </c>
      <c r="L565" s="1178"/>
      <c r="M565" s="1179">
        <f>300000000-81890487-68645289-2221891</f>
        <v>147242333</v>
      </c>
      <c r="N565" s="1382"/>
      <c r="O565" s="1174"/>
      <c r="P565" s="1207" t="s">
        <v>678</v>
      </c>
      <c r="Q565" s="1163"/>
      <c r="R565" s="1357"/>
      <c r="S565" s="1357"/>
      <c r="T565" s="1357">
        <f>+Tabla16[[#This Row],[CDPS A 31 JULIO 2022]]-Tabla16[[#This Row],[CDP]]</f>
        <v>0</v>
      </c>
      <c r="U565" s="1357"/>
      <c r="V565" s="1357"/>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60" x14ac:dyDescent="0.25">
      <c r="A566" s="1355">
        <v>2022598</v>
      </c>
      <c r="B566" s="1172" t="s">
        <v>459</v>
      </c>
      <c r="C566" s="1356"/>
      <c r="D566" s="1190" t="s">
        <v>671</v>
      </c>
      <c r="E566" s="1174" t="s">
        <v>1208</v>
      </c>
      <c r="F566" s="1380" t="s">
        <v>1209</v>
      </c>
      <c r="G566" s="1381">
        <v>44562</v>
      </c>
      <c r="H566" s="1381">
        <v>44592</v>
      </c>
      <c r="I566" s="1176">
        <v>5.5</v>
      </c>
      <c r="J566" s="1176" t="s">
        <v>673</v>
      </c>
      <c r="K566" s="1177" t="s">
        <v>674</v>
      </c>
      <c r="L566" s="1178"/>
      <c r="M566" s="1179">
        <v>120473160</v>
      </c>
      <c r="N566" s="1382"/>
      <c r="O566" s="1174"/>
      <c r="P566" s="1207" t="s">
        <v>757</v>
      </c>
      <c r="Q566" s="1163"/>
      <c r="R566" s="1357"/>
      <c r="S566" s="1357"/>
      <c r="T566" s="1357">
        <f>+Tabla16[[#This Row],[CDPS A 31 JULIO 2022]]-Tabla16[[#This Row],[CDP]]</f>
        <v>0</v>
      </c>
      <c r="U566" s="1357"/>
      <c r="V566" s="1357"/>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45" x14ac:dyDescent="0.25">
      <c r="A567" s="1355">
        <v>2022599</v>
      </c>
      <c r="B567" s="1172" t="s">
        <v>459</v>
      </c>
      <c r="C567" s="1356"/>
      <c r="D567" s="1190" t="s">
        <v>671</v>
      </c>
      <c r="E567" s="1174" t="s">
        <v>1210</v>
      </c>
      <c r="F567" s="1380" t="s">
        <v>1211</v>
      </c>
      <c r="G567" s="1381">
        <v>44713</v>
      </c>
      <c r="H567" s="1381">
        <v>44742</v>
      </c>
      <c r="I567" s="1176">
        <v>12</v>
      </c>
      <c r="J567" s="1176" t="s">
        <v>673</v>
      </c>
      <c r="K567" s="1177" t="s">
        <v>674</v>
      </c>
      <c r="L567" s="1178"/>
      <c r="M567" s="1179">
        <f>171518585+68645289-68645289</f>
        <v>171518585</v>
      </c>
      <c r="N567" s="1382"/>
      <c r="O567" s="1174"/>
      <c r="P567" s="1207" t="s">
        <v>678</v>
      </c>
      <c r="Q567" s="1163"/>
      <c r="R567" s="1357"/>
      <c r="S567" s="1357"/>
      <c r="T567" s="1357">
        <f>+Tabla16[[#This Row],[CDPS A 31 JULIO 2022]]-Tabla16[[#This Row],[CDP]]</f>
        <v>0</v>
      </c>
      <c r="U567" s="1357"/>
      <c r="V567" s="1357"/>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30" x14ac:dyDescent="0.25">
      <c r="A568" s="1355">
        <v>2022600</v>
      </c>
      <c r="B568" s="1172" t="s">
        <v>459</v>
      </c>
      <c r="C568" s="1356"/>
      <c r="D568" s="1190" t="s">
        <v>671</v>
      </c>
      <c r="E568" s="1174" t="s">
        <v>1189</v>
      </c>
      <c r="F568" s="1380" t="s">
        <v>1212</v>
      </c>
      <c r="G568" s="1381" t="s">
        <v>1189</v>
      </c>
      <c r="H568" s="1381" t="s">
        <v>1189</v>
      </c>
      <c r="I568" s="1176" t="s">
        <v>1189</v>
      </c>
      <c r="J568" s="1176" t="s">
        <v>97</v>
      </c>
      <c r="K568" s="1177"/>
      <c r="L568" s="1178"/>
      <c r="M568" s="1179">
        <v>1613810</v>
      </c>
      <c r="N568" s="1382"/>
      <c r="O568" s="1174"/>
      <c r="P568" s="1207" t="s">
        <v>757</v>
      </c>
      <c r="Q568" s="1163"/>
      <c r="R568" s="1357"/>
      <c r="S568" s="1357"/>
      <c r="T568" s="1357">
        <f>+Tabla16[[#This Row],[CDPS A 31 JULIO 2022]]-Tabla16[[#This Row],[CDP]]</f>
        <v>0</v>
      </c>
      <c r="U568" s="1357"/>
      <c r="V568" s="1357"/>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30" x14ac:dyDescent="0.25">
      <c r="A569" s="1355">
        <v>2022601</v>
      </c>
      <c r="B569" s="1172" t="s">
        <v>459</v>
      </c>
      <c r="C569" s="1356"/>
      <c r="D569" s="1190" t="s">
        <v>671</v>
      </c>
      <c r="E569" s="1174" t="s">
        <v>1189</v>
      </c>
      <c r="F569" s="1380" t="s">
        <v>1213</v>
      </c>
      <c r="G569" s="1381" t="s">
        <v>1189</v>
      </c>
      <c r="H569" s="1381" t="s">
        <v>1189</v>
      </c>
      <c r="I569" s="1176" t="s">
        <v>1189</v>
      </c>
      <c r="J569" s="1176" t="s">
        <v>97</v>
      </c>
      <c r="K569" s="1177"/>
      <c r="L569" s="1178"/>
      <c r="M569" s="1179">
        <v>8008255</v>
      </c>
      <c r="N569" s="1382"/>
      <c r="O569" s="1174"/>
      <c r="P569" s="1207" t="s">
        <v>757</v>
      </c>
      <c r="Q569" s="1163"/>
      <c r="R569" s="1357"/>
      <c r="S569" s="1357"/>
      <c r="T569" s="1357">
        <f>+Tabla16[[#This Row],[CDPS A 31 JULIO 2022]]-Tabla16[[#This Row],[CDP]]</f>
        <v>0</v>
      </c>
      <c r="U569" s="1357"/>
      <c r="V569" s="1357"/>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105" x14ac:dyDescent="0.25">
      <c r="A570" s="1355">
        <v>2022602</v>
      </c>
      <c r="B570" s="1172">
        <v>7637</v>
      </c>
      <c r="C570" s="1356" t="s">
        <v>643</v>
      </c>
      <c r="D570" s="1190" t="s">
        <v>671</v>
      </c>
      <c r="E570" s="1174">
        <v>80111600</v>
      </c>
      <c r="F570" s="1380" t="s">
        <v>1214</v>
      </c>
      <c r="G570" s="1381">
        <v>44562</v>
      </c>
      <c r="H570" s="1381">
        <v>44592</v>
      </c>
      <c r="I570" s="1176">
        <v>0.5</v>
      </c>
      <c r="J570" s="1176" t="s">
        <v>673</v>
      </c>
      <c r="K570" s="1177" t="s">
        <v>674</v>
      </c>
      <c r="L570" s="1178" t="s">
        <v>675</v>
      </c>
      <c r="M570" s="1179">
        <v>3500000</v>
      </c>
      <c r="N570" s="1189" t="s">
        <v>676</v>
      </c>
      <c r="O570" s="1174" t="s">
        <v>677</v>
      </c>
      <c r="P570" s="1207" t="s">
        <v>757</v>
      </c>
      <c r="Q570" s="1163"/>
      <c r="R570" s="1269">
        <v>0</v>
      </c>
      <c r="S570" s="1357"/>
      <c r="T570" s="1357">
        <f>+Tabla16[[#This Row],[CDPS A 31 JULIO 2022]]-Tabla16[[#This Row],[CDP]]</f>
        <v>0</v>
      </c>
      <c r="U570" s="1357"/>
      <c r="V570" s="1357"/>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105" x14ac:dyDescent="0.25">
      <c r="A571" s="1355">
        <v>2022603</v>
      </c>
      <c r="B571" s="1172">
        <v>7655</v>
      </c>
      <c r="C571" s="1356" t="s">
        <v>668</v>
      </c>
      <c r="D571" s="1190" t="s">
        <v>671</v>
      </c>
      <c r="E571" s="1174">
        <v>80111600</v>
      </c>
      <c r="F571" s="1380" t="s">
        <v>1215</v>
      </c>
      <c r="G571" s="1381">
        <v>44562</v>
      </c>
      <c r="H571" s="1381">
        <v>44592</v>
      </c>
      <c r="I571" s="1176">
        <v>6</v>
      </c>
      <c r="J571" s="1176" t="s">
        <v>673</v>
      </c>
      <c r="K571" s="1177" t="s">
        <v>674</v>
      </c>
      <c r="L571" s="1178" t="s">
        <v>675</v>
      </c>
      <c r="M571" s="1179">
        <v>42000000</v>
      </c>
      <c r="N571" s="1382" t="s">
        <v>784</v>
      </c>
      <c r="O571" s="1174" t="s">
        <v>771</v>
      </c>
      <c r="P571" s="1207" t="s">
        <v>678</v>
      </c>
      <c r="Q571" s="1163"/>
      <c r="R571" s="1269">
        <v>42000000</v>
      </c>
      <c r="S571" s="1357">
        <v>42000000</v>
      </c>
      <c r="T571" s="1357">
        <f>+Tabla16[[#This Row],[CDPS A 31 JULIO 2022]]-Tabla16[[#This Row],[CDP]]</f>
        <v>0</v>
      </c>
      <c r="U571" s="1357">
        <v>42000000</v>
      </c>
      <c r="V571" s="1357">
        <v>14000000</v>
      </c>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105" x14ac:dyDescent="0.25">
      <c r="A572" s="1355">
        <v>2022604</v>
      </c>
      <c r="B572" s="1172">
        <v>7655</v>
      </c>
      <c r="C572" s="1356" t="s">
        <v>668</v>
      </c>
      <c r="D572" s="1190" t="s">
        <v>682</v>
      </c>
      <c r="E572" s="1174">
        <v>80111600</v>
      </c>
      <c r="F572" s="1380" t="s">
        <v>1216</v>
      </c>
      <c r="G572" s="1381">
        <v>44578</v>
      </c>
      <c r="H572" s="1381">
        <v>44578</v>
      </c>
      <c r="I572" s="1176">
        <v>11.5</v>
      </c>
      <c r="J572" s="1176" t="s">
        <v>673</v>
      </c>
      <c r="K572" s="1177" t="s">
        <v>674</v>
      </c>
      <c r="L572" s="1178" t="s">
        <v>675</v>
      </c>
      <c r="M572" s="1179">
        <v>28175000</v>
      </c>
      <c r="N572" s="1382" t="s">
        <v>781</v>
      </c>
      <c r="O572" s="1174" t="s">
        <v>771</v>
      </c>
      <c r="P572" s="1207" t="s">
        <v>678</v>
      </c>
      <c r="Q572" s="1163"/>
      <c r="R572" s="1269">
        <v>28175000</v>
      </c>
      <c r="S572" s="1357">
        <v>28175000</v>
      </c>
      <c r="T572" s="1357">
        <f>+Tabla16[[#This Row],[CDPS A 31 JULIO 2022]]-Tabla16[[#This Row],[CDP]]</f>
        <v>0</v>
      </c>
      <c r="U572" s="1357">
        <v>28175000</v>
      </c>
      <c r="V572" s="1357">
        <v>10126667</v>
      </c>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ht="105" x14ac:dyDescent="0.25">
      <c r="A573" s="1355">
        <v>2022605</v>
      </c>
      <c r="B573" s="1172">
        <v>7655</v>
      </c>
      <c r="C573" s="1356" t="s">
        <v>668</v>
      </c>
      <c r="D573" s="1190" t="s">
        <v>671</v>
      </c>
      <c r="E573" s="1174">
        <v>80111600</v>
      </c>
      <c r="F573" s="1380" t="s">
        <v>1217</v>
      </c>
      <c r="G573" s="1381">
        <v>44562</v>
      </c>
      <c r="H573" s="1381">
        <v>44592</v>
      </c>
      <c r="I573" s="1176">
        <v>10</v>
      </c>
      <c r="J573" s="1176" t="s">
        <v>673</v>
      </c>
      <c r="K573" s="1177" t="s">
        <v>674</v>
      </c>
      <c r="L573" s="1178" t="s">
        <v>675</v>
      </c>
      <c r="M573" s="1179">
        <f>(10*4500000)-9000000</f>
        <v>36000000</v>
      </c>
      <c r="N573" s="1382" t="s">
        <v>781</v>
      </c>
      <c r="O573" s="1174" t="s">
        <v>771</v>
      </c>
      <c r="P573" s="1207" t="s">
        <v>678</v>
      </c>
      <c r="Q573" s="1163"/>
      <c r="R573" s="1269">
        <v>36000000</v>
      </c>
      <c r="S573" s="1357">
        <v>36000000</v>
      </c>
      <c r="T573" s="1357">
        <f>+Tabla16[[#This Row],[CDPS A 31 JULIO 2022]]-Tabla16[[#This Row],[CDP]]</f>
        <v>0</v>
      </c>
      <c r="U573" s="1357">
        <v>36000000</v>
      </c>
      <c r="V573" s="1357">
        <v>18450000</v>
      </c>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row>
    <row r="574" spans="1:84" ht="105" x14ac:dyDescent="0.25">
      <c r="A574" s="1355">
        <v>2022606</v>
      </c>
      <c r="B574" s="1172">
        <v>7655</v>
      </c>
      <c r="C574" s="1356" t="s">
        <v>668</v>
      </c>
      <c r="D574" s="1190" t="s">
        <v>682</v>
      </c>
      <c r="E574" s="1174">
        <v>80111600</v>
      </c>
      <c r="F574" s="1380" t="s">
        <v>1218</v>
      </c>
      <c r="G574" s="1381">
        <v>44582</v>
      </c>
      <c r="H574" s="1381">
        <v>44582</v>
      </c>
      <c r="I574" s="1176">
        <v>6</v>
      </c>
      <c r="J574" s="1176" t="s">
        <v>673</v>
      </c>
      <c r="K574" s="1177" t="s">
        <v>674</v>
      </c>
      <c r="L574" s="1178" t="s">
        <v>675</v>
      </c>
      <c r="M574" s="1179">
        <v>19200000</v>
      </c>
      <c r="N574" s="1382" t="s">
        <v>781</v>
      </c>
      <c r="O574" s="1174" t="s">
        <v>771</v>
      </c>
      <c r="P574" s="1207" t="s">
        <v>678</v>
      </c>
      <c r="Q574" s="1163"/>
      <c r="R574" s="1269">
        <v>19200000</v>
      </c>
      <c r="S574" s="1357">
        <v>19200000</v>
      </c>
      <c r="T574" s="1357">
        <f>+Tabla16[[#This Row],[CDPS A 31 JULIO 2022]]-Tabla16[[#This Row],[CDP]]</f>
        <v>0</v>
      </c>
      <c r="U574" s="1357">
        <v>19200000</v>
      </c>
      <c r="V574" s="1357">
        <v>12800000</v>
      </c>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105" x14ac:dyDescent="0.25">
      <c r="A575" s="1355">
        <v>2022607</v>
      </c>
      <c r="B575" s="1172" t="s">
        <v>97</v>
      </c>
      <c r="C575" s="1356" t="s">
        <v>97</v>
      </c>
      <c r="D575" s="1190" t="s">
        <v>689</v>
      </c>
      <c r="E575" s="1174" t="s">
        <v>1219</v>
      </c>
      <c r="F575" s="1380" t="s">
        <v>1220</v>
      </c>
      <c r="G575" s="1381">
        <v>44606</v>
      </c>
      <c r="H575" s="1381"/>
      <c r="I575" s="1176">
        <v>17</v>
      </c>
      <c r="J575" s="1176" t="s">
        <v>680</v>
      </c>
      <c r="K575" s="1177" t="s">
        <v>97</v>
      </c>
      <c r="L575" s="1178" t="s">
        <v>97</v>
      </c>
      <c r="M575" s="1179">
        <v>0</v>
      </c>
      <c r="N575" s="1382" t="s">
        <v>97</v>
      </c>
      <c r="O575" s="1174" t="s">
        <v>97</v>
      </c>
      <c r="P575" s="1207" t="s">
        <v>678</v>
      </c>
      <c r="Q575" s="1163"/>
      <c r="R575" s="1357"/>
      <c r="S575" s="1357"/>
      <c r="T575" s="1357">
        <f>+Tabla16[[#This Row],[CDPS A 31 JULIO 2022]]-Tabla16[[#This Row],[CDP]]</f>
        <v>0</v>
      </c>
      <c r="U575" s="1357"/>
      <c r="V575" s="1357"/>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105" x14ac:dyDescent="0.25">
      <c r="A576" s="1355">
        <v>2022608</v>
      </c>
      <c r="B576" s="1172">
        <v>7637</v>
      </c>
      <c r="C576" s="1356" t="s">
        <v>643</v>
      </c>
      <c r="D576" s="1190" t="s">
        <v>671</v>
      </c>
      <c r="E576" s="1174">
        <v>80111600</v>
      </c>
      <c r="F576" s="1380" t="s">
        <v>1221</v>
      </c>
      <c r="G576" s="1381">
        <v>44562</v>
      </c>
      <c r="H576" s="1381">
        <v>44592</v>
      </c>
      <c r="I576" s="1176">
        <v>10</v>
      </c>
      <c r="J576" s="1176" t="s">
        <v>673</v>
      </c>
      <c r="K576" s="1177" t="s">
        <v>674</v>
      </c>
      <c r="L576" s="1178" t="s">
        <v>675</v>
      </c>
      <c r="M576" s="1179">
        <v>23400000</v>
      </c>
      <c r="N576" s="1189" t="s">
        <v>676</v>
      </c>
      <c r="O576" s="1174" t="s">
        <v>677</v>
      </c>
      <c r="P576" s="1159" t="s">
        <v>678</v>
      </c>
      <c r="Q576" s="1163"/>
      <c r="R576" s="1269">
        <v>23400000</v>
      </c>
      <c r="S576" s="1357">
        <v>23400000</v>
      </c>
      <c r="T576" s="1357">
        <f>+Tabla16[[#This Row],[CDPS A 31 JULIO 2022]]-Tabla16[[#This Row],[CDP]]</f>
        <v>0</v>
      </c>
      <c r="U576" s="1357">
        <v>23400000</v>
      </c>
      <c r="V576" s="1357">
        <v>15600000</v>
      </c>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120" x14ac:dyDescent="0.25">
      <c r="A577" s="1355">
        <v>2022609</v>
      </c>
      <c r="B577" s="1172">
        <v>7658</v>
      </c>
      <c r="C577" s="1356" t="s">
        <v>679</v>
      </c>
      <c r="D577" s="1190" t="s">
        <v>692</v>
      </c>
      <c r="E577" s="1174" t="s">
        <v>1222</v>
      </c>
      <c r="F577" s="1380" t="s">
        <v>1223</v>
      </c>
      <c r="G577" s="1231">
        <v>44621</v>
      </c>
      <c r="H577" s="1231">
        <v>44712</v>
      </c>
      <c r="I577" s="1176">
        <v>12</v>
      </c>
      <c r="J577" s="1176" t="s">
        <v>687</v>
      </c>
      <c r="K577" s="1177" t="s">
        <v>674</v>
      </c>
      <c r="L577" s="1178" t="s">
        <v>675</v>
      </c>
      <c r="M577" s="1179">
        <f>181080376-104794000-14822449</f>
        <v>61463927</v>
      </c>
      <c r="N577" s="1382" t="s">
        <v>1035</v>
      </c>
      <c r="O577" s="1174" t="s">
        <v>1036</v>
      </c>
      <c r="P577" s="1207" t="s">
        <v>678</v>
      </c>
      <c r="Q577" s="1163"/>
      <c r="R577" s="1357">
        <v>61463927</v>
      </c>
      <c r="S577" s="1357">
        <v>61463927</v>
      </c>
      <c r="T577" s="1357">
        <f>+Tabla16[[#This Row],[CDPS A 31 JULIO 2022]]-Tabla16[[#This Row],[CDP]]</f>
        <v>0</v>
      </c>
      <c r="U577" s="1357">
        <v>61463927</v>
      </c>
      <c r="V577" s="1357">
        <v>11545689</v>
      </c>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105" x14ac:dyDescent="0.25">
      <c r="A578" s="1355">
        <v>2022610</v>
      </c>
      <c r="B578" s="1172" t="s">
        <v>459</v>
      </c>
      <c r="C578" s="1356"/>
      <c r="D578" s="1190" t="s">
        <v>671</v>
      </c>
      <c r="E578" s="1174" t="s">
        <v>1206</v>
      </c>
      <c r="F578" s="1380" t="s">
        <v>1224</v>
      </c>
      <c r="G578" s="1381">
        <v>44593</v>
      </c>
      <c r="H578" s="1381">
        <v>44620</v>
      </c>
      <c r="I578" s="1176">
        <v>2.1</v>
      </c>
      <c r="J578" s="1176" t="s">
        <v>720</v>
      </c>
      <c r="K578" s="1177" t="s">
        <v>674</v>
      </c>
      <c r="L578" s="1178"/>
      <c r="M578" s="1179">
        <v>81890487</v>
      </c>
      <c r="N578" s="1382"/>
      <c r="O578" s="1174"/>
      <c r="P578" s="1207" t="s">
        <v>757</v>
      </c>
      <c r="Q578" s="1163"/>
      <c r="R578" s="1357"/>
      <c r="S578" s="1357"/>
      <c r="T578" s="1357">
        <f>+Tabla16[[#This Row],[CDPS A 31 JULIO 2022]]-Tabla16[[#This Row],[CDP]]</f>
        <v>0</v>
      </c>
      <c r="U578" s="1357"/>
      <c r="V578" s="1357"/>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ht="105" x14ac:dyDescent="0.25">
      <c r="A579" s="1400">
        <v>2022611</v>
      </c>
      <c r="B579" s="1401">
        <v>7658</v>
      </c>
      <c r="C579" s="1402" t="s">
        <v>679</v>
      </c>
      <c r="D579" s="1403" t="s">
        <v>692</v>
      </c>
      <c r="E579" s="1404"/>
      <c r="F579" s="1405" t="s">
        <v>1111</v>
      </c>
      <c r="G579" s="1406"/>
      <c r="H579" s="1406"/>
      <c r="I579" s="1407"/>
      <c r="J579" s="1407" t="s">
        <v>97</v>
      </c>
      <c r="K579" s="1408" t="s">
        <v>674</v>
      </c>
      <c r="L579" s="1409" t="s">
        <v>675</v>
      </c>
      <c r="M579" s="1410">
        <f>560000+1100000+6700000+6500000+18300000+13200000+19400000+14000000+1800000+20000000+29100000-10300000-9700000+8854126-40000000+14822449-126-16800000-16800000-16800000-2000067-13400000-2600000-600000-5942022-12000000+2307582+2280785+15200000+32668167+6305000-13475000-30000000-13200000+2750000+2750000+2750000+2750000+2750000+2750000+2750000+2750000+2750000+5500000+5500000+2525017+40618607+400000+5150000+2800000+2800000+2800000+323050000-9000000-16480000-8240000-7000000-4200000-16480000-8400000-5000000-5600000-2850000-7700000-2450000-6600000-6600000-5600000-5600000-4500000-4900000-6600000-6400000-4900000-4900000-4900000-3600000-4900000-5700000-4635000-4500000-5700000-9700000-4850000-5500000-5500000-4850000-9000000-9700000-6700000-9700000-4500000-14420000-3850000-2750000-2750000-8000000-2800000-3350000-3300000-4850000-3500000-4700000+1720669-81942022+25000000+31242022+20700000</f>
        <v>113890187</v>
      </c>
      <c r="N579" s="1411" t="s">
        <v>1035</v>
      </c>
      <c r="O579" s="1404" t="s">
        <v>1036</v>
      </c>
      <c r="P579" s="1412" t="s">
        <v>748</v>
      </c>
      <c r="Q579" s="1163"/>
      <c r="R579" s="1357">
        <v>2000067</v>
      </c>
      <c r="S579" s="1357"/>
      <c r="T579" s="1357">
        <f>+Tabla16[[#This Row],[CDPS A 31 JULIO 2022]]-Tabla16[[#This Row],[CDP]]</f>
        <v>2000067</v>
      </c>
      <c r="U579" s="1357"/>
      <c r="V579" s="1357"/>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c r="AZ579" s="1207"/>
      <c r="BA579" s="1207"/>
      <c r="BB579" s="1207"/>
      <c r="BC579" s="1207"/>
      <c r="BD579" s="1207"/>
      <c r="BE579" s="1207"/>
      <c r="BF579" s="1207"/>
      <c r="BG579" s="1207"/>
      <c r="BH579" s="1207"/>
      <c r="BI579" s="1207"/>
      <c r="BJ579" s="1207"/>
      <c r="BK579" s="1207"/>
      <c r="BL579" s="1207"/>
      <c r="BM579" s="1207"/>
      <c r="BN579" s="1207"/>
      <c r="BO579" s="1207"/>
      <c r="BP579" s="1207"/>
      <c r="BQ579" s="1207"/>
      <c r="BR579" s="1207"/>
      <c r="BS579" s="1207"/>
      <c r="BT579" s="1207"/>
      <c r="BU579" s="1207"/>
      <c r="BV579" s="1207"/>
      <c r="BW579" s="1207"/>
      <c r="BX579" s="1207"/>
      <c r="BY579" s="1207"/>
      <c r="BZ579" s="1207"/>
      <c r="CA579" s="1207"/>
      <c r="CB579" s="1207"/>
      <c r="CC579" s="1207"/>
      <c r="CD579" s="1207"/>
      <c r="CE579" s="1207"/>
      <c r="CF579" s="1207"/>
    </row>
    <row r="580" spans="1:84" ht="135" x14ac:dyDescent="0.25">
      <c r="A580" s="1355">
        <v>2022613</v>
      </c>
      <c r="B580" s="1172">
        <v>7658</v>
      </c>
      <c r="C580" s="1356" t="s">
        <v>679</v>
      </c>
      <c r="D580" s="1190" t="s">
        <v>698</v>
      </c>
      <c r="E580" s="1174"/>
      <c r="F580" s="1380" t="s">
        <v>1225</v>
      </c>
      <c r="G580" s="1381">
        <v>44621</v>
      </c>
      <c r="H580" s="1381">
        <v>44651</v>
      </c>
      <c r="I580" s="1176" t="s">
        <v>97</v>
      </c>
      <c r="J580" s="1176" t="s">
        <v>97</v>
      </c>
      <c r="K580" s="1177" t="s">
        <v>516</v>
      </c>
      <c r="L580" s="1178" t="s">
        <v>1091</v>
      </c>
      <c r="M580" s="1179">
        <f>35781881+5918528</f>
        <v>41700409</v>
      </c>
      <c r="N580" s="1382" t="s">
        <v>772</v>
      </c>
      <c r="O580" s="1174" t="s">
        <v>915</v>
      </c>
      <c r="P580" s="1163" t="s">
        <v>748</v>
      </c>
      <c r="Q580" s="1163"/>
      <c r="R580" s="1357">
        <v>37691921</v>
      </c>
      <c r="S580" s="1357">
        <v>37691921</v>
      </c>
      <c r="T580" s="1357">
        <f>+Tabla16[[#This Row],[CDPS A 31 JULIO 2022]]-Tabla16[[#This Row],[CDP]]</f>
        <v>0</v>
      </c>
      <c r="U580" s="1357">
        <v>37691921</v>
      </c>
      <c r="V580" s="1357">
        <v>37691921</v>
      </c>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ht="135" x14ac:dyDescent="0.25">
      <c r="A581" s="1355">
        <v>2022614</v>
      </c>
      <c r="B581" s="1172">
        <v>7658</v>
      </c>
      <c r="C581" s="1356" t="s">
        <v>679</v>
      </c>
      <c r="D581" s="1190" t="s">
        <v>698</v>
      </c>
      <c r="E581" s="1174"/>
      <c r="F581" s="1380" t="s">
        <v>1226</v>
      </c>
      <c r="G581" s="1381">
        <v>44621</v>
      </c>
      <c r="H581" s="1381">
        <v>44651</v>
      </c>
      <c r="I581" s="1176" t="s">
        <v>97</v>
      </c>
      <c r="J581" s="1176" t="s">
        <v>97</v>
      </c>
      <c r="K581" s="1177" t="s">
        <v>516</v>
      </c>
      <c r="L581" s="1178" t="s">
        <v>1227</v>
      </c>
      <c r="M581" s="1179">
        <f>27886255+576000</f>
        <v>28462255</v>
      </c>
      <c r="N581" s="1382" t="s">
        <v>772</v>
      </c>
      <c r="O581" s="1174" t="s">
        <v>915</v>
      </c>
      <c r="P581" s="1163" t="s">
        <v>748</v>
      </c>
      <c r="Q581" s="1163"/>
      <c r="R581" s="1357">
        <v>28401676</v>
      </c>
      <c r="S581" s="1357">
        <v>28401676</v>
      </c>
      <c r="T581" s="1357">
        <f>+Tabla16[[#This Row],[CDPS A 31 JULIO 2022]]-Tabla16[[#This Row],[CDP]]</f>
        <v>0</v>
      </c>
      <c r="U581" s="1357">
        <v>28401676</v>
      </c>
      <c r="V581" s="1357">
        <v>28401676</v>
      </c>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c r="AZ581" s="1207"/>
      <c r="BA581" s="1207"/>
      <c r="BB581" s="1207"/>
      <c r="BC581" s="1207"/>
      <c r="BD581" s="1207"/>
      <c r="BE581" s="1207"/>
      <c r="BF581" s="1207"/>
      <c r="BG581" s="1207"/>
      <c r="BH581" s="1207"/>
      <c r="BI581" s="1207"/>
      <c r="BJ581" s="1207"/>
      <c r="BK581" s="1207"/>
      <c r="BL581" s="1207"/>
      <c r="BM581" s="1207"/>
      <c r="BN581" s="1207"/>
      <c r="BO581" s="1207"/>
      <c r="BP581" s="1207"/>
      <c r="BQ581" s="1207"/>
      <c r="BR581" s="1207"/>
      <c r="BS581" s="1207"/>
      <c r="BT581" s="1207"/>
      <c r="BU581" s="1207"/>
      <c r="BV581" s="1207"/>
      <c r="BW581" s="1207"/>
      <c r="BX581" s="1207"/>
      <c r="BY581" s="1207"/>
      <c r="BZ581" s="1207"/>
      <c r="CA581" s="1207"/>
      <c r="CB581" s="1207"/>
      <c r="CC581" s="1207"/>
      <c r="CD581" s="1207"/>
      <c r="CE581" s="1207"/>
      <c r="CF581" s="1207"/>
    </row>
    <row r="582" spans="1:84" ht="135" x14ac:dyDescent="0.25">
      <c r="A582" s="1355">
        <v>2022615</v>
      </c>
      <c r="B582" s="1172">
        <v>7658</v>
      </c>
      <c r="C582" s="1356" t="s">
        <v>679</v>
      </c>
      <c r="D582" s="1190" t="s">
        <v>698</v>
      </c>
      <c r="E582" s="1174"/>
      <c r="F582" s="1380" t="s">
        <v>1228</v>
      </c>
      <c r="G582" s="1381">
        <v>44621</v>
      </c>
      <c r="H582" s="1381">
        <v>44651</v>
      </c>
      <c r="I582" s="1176" t="s">
        <v>97</v>
      </c>
      <c r="J582" s="1176" t="s">
        <v>97</v>
      </c>
      <c r="K582" s="1177" t="s">
        <v>516</v>
      </c>
      <c r="L582" s="1178" t="s">
        <v>948</v>
      </c>
      <c r="M582" s="1179">
        <v>46885058</v>
      </c>
      <c r="N582" s="1382" t="s">
        <v>775</v>
      </c>
      <c r="O582" s="1174" t="s">
        <v>915</v>
      </c>
      <c r="P582" s="1163" t="s">
        <v>748</v>
      </c>
      <c r="Q582" s="1163"/>
      <c r="R582" s="1357">
        <v>46885058</v>
      </c>
      <c r="S582" s="1357">
        <v>46885058</v>
      </c>
      <c r="T582" s="1357">
        <f>+Tabla16[[#This Row],[CDPS A 31 JULIO 2022]]-Tabla16[[#This Row],[CDP]]</f>
        <v>0</v>
      </c>
      <c r="U582" s="1357">
        <v>46885058</v>
      </c>
      <c r="V582" s="1357">
        <v>46885058</v>
      </c>
      <c r="W582" s="1357"/>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135" x14ac:dyDescent="0.25">
      <c r="A583" s="1355">
        <v>2022616</v>
      </c>
      <c r="B583" s="1172">
        <v>7658</v>
      </c>
      <c r="C583" s="1356" t="s">
        <v>679</v>
      </c>
      <c r="D583" s="1190" t="s">
        <v>698</v>
      </c>
      <c r="E583" s="1174"/>
      <c r="F583" s="1380" t="s">
        <v>1229</v>
      </c>
      <c r="G583" s="1381">
        <v>44621</v>
      </c>
      <c r="H583" s="1381">
        <v>44651</v>
      </c>
      <c r="I583" s="1176" t="s">
        <v>97</v>
      </c>
      <c r="J583" s="1176" t="s">
        <v>97</v>
      </c>
      <c r="K583" s="1177" t="s">
        <v>516</v>
      </c>
      <c r="L583" s="1178" t="s">
        <v>1230</v>
      </c>
      <c r="M583" s="1179">
        <v>432800</v>
      </c>
      <c r="N583" s="1382" t="s">
        <v>772</v>
      </c>
      <c r="O583" s="1174" t="s">
        <v>915</v>
      </c>
      <c r="P583" s="1163" t="s">
        <v>748</v>
      </c>
      <c r="Q583" s="1163"/>
      <c r="R583" s="1357">
        <v>432800</v>
      </c>
      <c r="S583" s="1357">
        <v>432800</v>
      </c>
      <c r="T583" s="1357">
        <f>+Tabla16[[#This Row],[CDPS A 31 JULIO 2022]]-Tabla16[[#This Row],[CDP]]</f>
        <v>0</v>
      </c>
      <c r="U583" s="1357">
        <v>432800</v>
      </c>
      <c r="V583" s="1357">
        <v>432800</v>
      </c>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135" x14ac:dyDescent="0.25">
      <c r="A584" s="1355">
        <v>2022617</v>
      </c>
      <c r="B584" s="1172">
        <v>7658</v>
      </c>
      <c r="C584" s="1356" t="s">
        <v>679</v>
      </c>
      <c r="D584" s="1190" t="s">
        <v>698</v>
      </c>
      <c r="E584" s="1174" t="s">
        <v>1102</v>
      </c>
      <c r="F584" s="1380" t="s">
        <v>1231</v>
      </c>
      <c r="G584" s="1381">
        <v>44593</v>
      </c>
      <c r="H584" s="1381">
        <v>44620</v>
      </c>
      <c r="I584" s="1176">
        <v>12</v>
      </c>
      <c r="J584" s="1176" t="s">
        <v>696</v>
      </c>
      <c r="K584" s="1177" t="s">
        <v>674</v>
      </c>
      <c r="L584" s="1178" t="s">
        <v>994</v>
      </c>
      <c r="M584" s="1179">
        <v>175000000</v>
      </c>
      <c r="N584" s="1382" t="s">
        <v>775</v>
      </c>
      <c r="O584" s="1174" t="s">
        <v>915</v>
      </c>
      <c r="P584" s="1163" t="s">
        <v>748</v>
      </c>
      <c r="Q584" s="1163"/>
      <c r="R584" s="1357">
        <v>175000000</v>
      </c>
      <c r="S584" s="1357">
        <v>175000000</v>
      </c>
      <c r="T584" s="1357">
        <f>+Tabla16[[#This Row],[CDPS A 31 JULIO 2022]]-Tabla16[[#This Row],[CDP]]</f>
        <v>0</v>
      </c>
      <c r="U584" s="1357">
        <v>175000000</v>
      </c>
      <c r="V584" s="1357">
        <v>19650698</v>
      </c>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60" x14ac:dyDescent="0.25">
      <c r="A585" s="1355">
        <v>2022618</v>
      </c>
      <c r="B585" s="1172" t="s">
        <v>459</v>
      </c>
      <c r="C585" s="1356" t="s">
        <v>459</v>
      </c>
      <c r="D585" s="1190" t="s">
        <v>695</v>
      </c>
      <c r="E585" s="1174">
        <v>86111604</v>
      </c>
      <c r="F585" s="1380" t="s">
        <v>1232</v>
      </c>
      <c r="G585" s="1381">
        <v>44682</v>
      </c>
      <c r="H585" s="1381">
        <v>44681</v>
      </c>
      <c r="I585" s="1176">
        <v>5</v>
      </c>
      <c r="J585" s="1176" t="s">
        <v>699</v>
      </c>
      <c r="K585" s="1177" t="s">
        <v>770</v>
      </c>
      <c r="L585" s="1178"/>
      <c r="M585" s="1179">
        <v>29250000</v>
      </c>
      <c r="N585" s="1382"/>
      <c r="O585" s="1174"/>
      <c r="P585" s="1163" t="s">
        <v>678</v>
      </c>
      <c r="Q585" s="1163"/>
      <c r="R585" s="1357"/>
      <c r="S585" s="1357"/>
      <c r="T585" s="1357">
        <f>+Tabla16[[#This Row],[CDPS A 31 JULIO 2022]]-Tabla16[[#This Row],[CDP]]</f>
        <v>0</v>
      </c>
      <c r="U585" s="1357"/>
      <c r="V585" s="1357"/>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105" x14ac:dyDescent="0.25">
      <c r="A586" s="1400">
        <v>2022619</v>
      </c>
      <c r="B586" s="1401">
        <v>7637</v>
      </c>
      <c r="C586" s="1402" t="s">
        <v>643</v>
      </c>
      <c r="D586" s="1403" t="s">
        <v>671</v>
      </c>
      <c r="E586" s="1404" t="s">
        <v>1233</v>
      </c>
      <c r="F586" s="1405" t="s">
        <v>1234</v>
      </c>
      <c r="G586" s="1406">
        <v>44652</v>
      </c>
      <c r="H586" s="1406">
        <v>44712</v>
      </c>
      <c r="I586" s="1407">
        <v>12</v>
      </c>
      <c r="J586" s="1407" t="s">
        <v>699</v>
      </c>
      <c r="K586" s="1408" t="s">
        <v>674</v>
      </c>
      <c r="L586" s="1409" t="s">
        <v>729</v>
      </c>
      <c r="M586" s="1410">
        <f>8000000-848867-600000</f>
        <v>6551133</v>
      </c>
      <c r="N586" s="1414" t="s">
        <v>676</v>
      </c>
      <c r="O586" s="1404" t="s">
        <v>677</v>
      </c>
      <c r="P586" s="1412" t="s">
        <v>678</v>
      </c>
      <c r="Q586" s="1163"/>
      <c r="R586" s="1269">
        <v>8000000</v>
      </c>
      <c r="S586" s="1357">
        <v>8000000</v>
      </c>
      <c r="T586" s="1357">
        <f>+Tabla16[[#This Row],[CDPS A 31 JULIO 2022]]-Tabla16[[#This Row],[CDP]]</f>
        <v>0</v>
      </c>
      <c r="U586" s="1357"/>
      <c r="V586" s="1357"/>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135" x14ac:dyDescent="0.25">
      <c r="A587" s="1355">
        <v>2022620</v>
      </c>
      <c r="B587" s="1172">
        <v>7658</v>
      </c>
      <c r="C587" s="1356" t="s">
        <v>679</v>
      </c>
      <c r="D587" s="1190" t="s">
        <v>698</v>
      </c>
      <c r="E587" s="1174" t="s">
        <v>1235</v>
      </c>
      <c r="F587" s="1380" t="s">
        <v>1236</v>
      </c>
      <c r="G587" s="1381">
        <v>44621</v>
      </c>
      <c r="H587" s="1381">
        <v>44630</v>
      </c>
      <c r="I587" s="1176">
        <v>1</v>
      </c>
      <c r="J587" s="1176" t="s">
        <v>696</v>
      </c>
      <c r="K587" s="1177" t="s">
        <v>674</v>
      </c>
      <c r="L587" s="1178" t="s">
        <v>994</v>
      </c>
      <c r="M587" s="1179">
        <f>8000000-313321</f>
        <v>7686679</v>
      </c>
      <c r="N587" s="1382" t="s">
        <v>775</v>
      </c>
      <c r="O587" s="1174" t="s">
        <v>915</v>
      </c>
      <c r="P587" s="1163" t="s">
        <v>748</v>
      </c>
      <c r="Q587" s="1163"/>
      <c r="R587" s="1357">
        <v>7686679</v>
      </c>
      <c r="S587" s="1357">
        <v>7686679</v>
      </c>
      <c r="T587" s="1357">
        <f>+Tabla16[[#This Row],[CDPS A 31 JULIO 2022]]-Tabla16[[#This Row],[CDP]]</f>
        <v>0</v>
      </c>
      <c r="U587" s="1357">
        <v>7686679</v>
      </c>
      <c r="V587" s="1357">
        <v>7686499</v>
      </c>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45" x14ac:dyDescent="0.25">
      <c r="A588" s="1400">
        <v>2022621</v>
      </c>
      <c r="B588" s="1401" t="s">
        <v>459</v>
      </c>
      <c r="C588" s="1402"/>
      <c r="D588" s="1403" t="s">
        <v>695</v>
      </c>
      <c r="E588" s="1434" t="s">
        <v>1237</v>
      </c>
      <c r="F588" s="1405" t="s">
        <v>1238</v>
      </c>
      <c r="G588" s="1406">
        <v>44621</v>
      </c>
      <c r="H588" s="1406">
        <v>44681</v>
      </c>
      <c r="I588" s="1407">
        <v>4</v>
      </c>
      <c r="J588" s="1407" t="s">
        <v>699</v>
      </c>
      <c r="K588" s="1408" t="s">
        <v>770</v>
      </c>
      <c r="L588" s="1409"/>
      <c r="M588" s="1410">
        <f>12597939-2582563</f>
        <v>10015376</v>
      </c>
      <c r="N588" s="1411"/>
      <c r="O588" s="1404"/>
      <c r="P588" s="1412" t="s">
        <v>678</v>
      </c>
      <c r="Q588" s="1163"/>
      <c r="R588" s="1357"/>
      <c r="S588" s="1357"/>
      <c r="T588" s="1357">
        <f>+Tabla16[[#This Row],[CDPS A 31 JULIO 2022]]-Tabla16[[#This Row],[CDP]]</f>
        <v>0</v>
      </c>
      <c r="U588" s="1357"/>
      <c r="V588" s="1357"/>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135" x14ac:dyDescent="0.25">
      <c r="A589" s="1358">
        <v>2022622</v>
      </c>
      <c r="B589" s="1359">
        <v>7658</v>
      </c>
      <c r="C589" s="1360" t="s">
        <v>679</v>
      </c>
      <c r="D589" s="1386" t="s">
        <v>689</v>
      </c>
      <c r="E589" s="1387" t="s">
        <v>1239</v>
      </c>
      <c r="F589" s="1388" t="s">
        <v>1240</v>
      </c>
      <c r="G589" s="1277">
        <v>44795</v>
      </c>
      <c r="H589" s="1277">
        <v>44770</v>
      </c>
      <c r="I589" s="1204">
        <v>4</v>
      </c>
      <c r="J589" s="1176" t="s">
        <v>696</v>
      </c>
      <c r="K589" s="1177" t="s">
        <v>674</v>
      </c>
      <c r="L589" s="1178" t="s">
        <v>994</v>
      </c>
      <c r="M589" s="1249">
        <f>416500000+105559750</f>
        <v>522059750</v>
      </c>
      <c r="N589" s="1382" t="s">
        <v>931</v>
      </c>
      <c r="O589" s="1387" t="s">
        <v>915</v>
      </c>
      <c r="P589" s="1163" t="s">
        <v>678</v>
      </c>
      <c r="Q589" s="1163"/>
      <c r="R589" s="1269">
        <v>0</v>
      </c>
      <c r="S589" s="1357"/>
      <c r="T589" s="1357">
        <f>+Tabla16[[#This Row],[CDPS A 31 JULIO 2022]]-Tabla16[[#This Row],[CDP]]</f>
        <v>0</v>
      </c>
      <c r="U589" s="1357"/>
      <c r="V589" s="1357"/>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135" x14ac:dyDescent="0.25">
      <c r="A590" s="1358">
        <v>2022623</v>
      </c>
      <c r="B590" s="1359">
        <v>7658</v>
      </c>
      <c r="C590" s="1360" t="s">
        <v>679</v>
      </c>
      <c r="D590" s="1386" t="s">
        <v>689</v>
      </c>
      <c r="E590" s="1359" t="s">
        <v>1241</v>
      </c>
      <c r="F590" s="1388" t="s">
        <v>1242</v>
      </c>
      <c r="G590" s="1277">
        <v>44666</v>
      </c>
      <c r="H590" s="1277">
        <v>44686</v>
      </c>
      <c r="I590" s="1204">
        <v>4</v>
      </c>
      <c r="J590" s="1176" t="s">
        <v>696</v>
      </c>
      <c r="K590" s="1177" t="s">
        <v>674</v>
      </c>
      <c r="L590" s="1178" t="s">
        <v>994</v>
      </c>
      <c r="M590" s="1249">
        <f>123500000+80000000+50000000+1500000</f>
        <v>255000000</v>
      </c>
      <c r="N590" s="1382" t="s">
        <v>931</v>
      </c>
      <c r="O590" s="1387" t="s">
        <v>915</v>
      </c>
      <c r="P590" s="1163" t="s">
        <v>678</v>
      </c>
      <c r="Q590" s="1163"/>
      <c r="R590" s="1357">
        <v>255000000</v>
      </c>
      <c r="S590" s="1357">
        <v>255000000</v>
      </c>
      <c r="T590" s="1357">
        <f>+Tabla16[[#This Row],[CDPS A 31 JULIO 2022]]-Tabla16[[#This Row],[CDP]]</f>
        <v>0</v>
      </c>
      <c r="U590" s="1357">
        <v>255000000</v>
      </c>
      <c r="V590" s="1357"/>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105" x14ac:dyDescent="0.25">
      <c r="A591" s="1400">
        <v>2022624</v>
      </c>
      <c r="B591" s="1401">
        <v>7637</v>
      </c>
      <c r="C591" s="1402" t="s">
        <v>643</v>
      </c>
      <c r="D591" s="1403" t="s">
        <v>671</v>
      </c>
      <c r="E591" s="1404">
        <v>81111700</v>
      </c>
      <c r="F591" s="1405" t="s">
        <v>1243</v>
      </c>
      <c r="G591" s="1406">
        <v>44819</v>
      </c>
      <c r="H591" s="1406">
        <v>44849</v>
      </c>
      <c r="I591" s="1407">
        <v>2</v>
      </c>
      <c r="J591" s="1407" t="s">
        <v>699</v>
      </c>
      <c r="K591" s="1408" t="s">
        <v>674</v>
      </c>
      <c r="L591" s="1409" t="s">
        <v>735</v>
      </c>
      <c r="M591" s="1410">
        <f>5000000+600000</f>
        <v>5600000</v>
      </c>
      <c r="N591" s="1414" t="s">
        <v>676</v>
      </c>
      <c r="O591" s="1404" t="s">
        <v>677</v>
      </c>
      <c r="P591" s="1412" t="s">
        <v>678</v>
      </c>
      <c r="Q591" s="1163"/>
      <c r="R591" s="1269">
        <v>0</v>
      </c>
      <c r="S591" s="1357"/>
      <c r="T591" s="1357">
        <f>+Tabla16[[#This Row],[CDPS A 31 JULIO 2022]]-Tabla16[[#This Row],[CDP]]</f>
        <v>0</v>
      </c>
      <c r="U591" s="1357"/>
      <c r="V591" s="1357"/>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135" x14ac:dyDescent="0.25">
      <c r="A592" s="1358">
        <v>2022626</v>
      </c>
      <c r="B592" s="1359">
        <v>7658</v>
      </c>
      <c r="C592" s="1360" t="s">
        <v>679</v>
      </c>
      <c r="D592" s="1386" t="s">
        <v>689</v>
      </c>
      <c r="E592" s="1387">
        <v>24101602</v>
      </c>
      <c r="F592" s="1388" t="s">
        <v>1244</v>
      </c>
      <c r="G592" s="1389">
        <v>44650</v>
      </c>
      <c r="H592" s="1389">
        <v>44713</v>
      </c>
      <c r="I592" s="1268">
        <v>4</v>
      </c>
      <c r="J592" s="1176" t="s">
        <v>696</v>
      </c>
      <c r="K592" s="1390" t="s">
        <v>770</v>
      </c>
      <c r="L592" s="1178" t="s">
        <v>994</v>
      </c>
      <c r="M592" s="1249">
        <f>180000000-1600000</f>
        <v>178400000</v>
      </c>
      <c r="N592" s="1382" t="s">
        <v>931</v>
      </c>
      <c r="O592" s="1387" t="s">
        <v>915</v>
      </c>
      <c r="P592" s="1163" t="s">
        <v>678</v>
      </c>
      <c r="Q592" s="1163"/>
      <c r="R592" s="1357">
        <v>178400000</v>
      </c>
      <c r="S592" s="1357">
        <v>178400000</v>
      </c>
      <c r="T592" s="1357">
        <f>+Tabla16[[#This Row],[CDPS A 31 JULIO 2022]]-Tabla16[[#This Row],[CDP]]</f>
        <v>0</v>
      </c>
      <c r="U592" s="1357">
        <v>178400000</v>
      </c>
      <c r="V592" s="1357"/>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105" x14ac:dyDescent="0.25">
      <c r="A593" s="1355">
        <v>2022631</v>
      </c>
      <c r="B593" s="1172">
        <v>7637</v>
      </c>
      <c r="C593" s="1356" t="s">
        <v>643</v>
      </c>
      <c r="D593" s="1190" t="s">
        <v>671</v>
      </c>
      <c r="E593" s="1202">
        <v>81112401</v>
      </c>
      <c r="F593" s="1202" t="s">
        <v>1245</v>
      </c>
      <c r="G593" s="1377">
        <v>44672</v>
      </c>
      <c r="H593" s="1377">
        <v>44680</v>
      </c>
      <c r="I593" s="1176">
        <v>2</v>
      </c>
      <c r="J593" s="1176" t="s">
        <v>720</v>
      </c>
      <c r="K593" s="1177" t="s">
        <v>674</v>
      </c>
      <c r="L593" s="1178" t="s">
        <v>729</v>
      </c>
      <c r="M593" s="1179">
        <v>26723240</v>
      </c>
      <c r="N593" s="1189" t="s">
        <v>676</v>
      </c>
      <c r="O593" s="1174" t="s">
        <v>677</v>
      </c>
      <c r="P593" s="1207" t="s">
        <v>757</v>
      </c>
      <c r="Q593" s="1163" t="s">
        <v>1246</v>
      </c>
      <c r="R593" s="1269">
        <v>26723240</v>
      </c>
      <c r="S593" s="1357">
        <v>26723240</v>
      </c>
      <c r="T593" s="1357">
        <f>+Tabla16[[#This Row],[CDPS A 31 JULIO 2022]]-Tabla16[[#This Row],[CDP]]</f>
        <v>0</v>
      </c>
      <c r="U593" s="1357">
        <v>26723240</v>
      </c>
      <c r="V593" s="1357"/>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105" x14ac:dyDescent="0.25">
      <c r="A594" s="1355">
        <v>2022632</v>
      </c>
      <c r="B594" s="1172">
        <v>7637</v>
      </c>
      <c r="C594" s="1356" t="s">
        <v>643</v>
      </c>
      <c r="D594" s="1190" t="s">
        <v>671</v>
      </c>
      <c r="E594" s="1202">
        <v>81112401</v>
      </c>
      <c r="F594" s="1202" t="s">
        <v>1247</v>
      </c>
      <c r="G594" s="1377">
        <v>44672</v>
      </c>
      <c r="H594" s="1377">
        <v>44680</v>
      </c>
      <c r="I594" s="1176">
        <v>2</v>
      </c>
      <c r="J594" s="1176" t="s">
        <v>720</v>
      </c>
      <c r="K594" s="1177" t="s">
        <v>674</v>
      </c>
      <c r="L594" s="1178" t="s">
        <v>729</v>
      </c>
      <c r="M594" s="1179">
        <v>1891777</v>
      </c>
      <c r="N594" s="1189" t="s">
        <v>676</v>
      </c>
      <c r="O594" s="1174" t="s">
        <v>677</v>
      </c>
      <c r="P594" s="1207" t="s">
        <v>757</v>
      </c>
      <c r="Q594" s="1163" t="s">
        <v>1246</v>
      </c>
      <c r="R594" s="1269">
        <v>1891776</v>
      </c>
      <c r="S594" s="1357">
        <v>1891776</v>
      </c>
      <c r="T594" s="1357">
        <f>+Tabla16[[#This Row],[CDPS A 31 JULIO 2022]]-Tabla16[[#This Row],[CDP]]</f>
        <v>0</v>
      </c>
      <c r="U594" s="1357">
        <v>1891776</v>
      </c>
      <c r="V594" s="1357"/>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ht="135" x14ac:dyDescent="0.25">
      <c r="A595" s="1355">
        <v>2022633</v>
      </c>
      <c r="B595" s="1172">
        <v>7658</v>
      </c>
      <c r="C595" s="1356" t="s">
        <v>679</v>
      </c>
      <c r="D595" s="1190" t="s">
        <v>701</v>
      </c>
      <c r="E595" s="1202" t="s">
        <v>1002</v>
      </c>
      <c r="F595" s="1378" t="s">
        <v>1003</v>
      </c>
      <c r="G595" s="1377">
        <v>44652</v>
      </c>
      <c r="H595" s="1377">
        <v>44742</v>
      </c>
      <c r="I595" s="1176">
        <v>12</v>
      </c>
      <c r="J595" s="1176" t="s">
        <v>645</v>
      </c>
      <c r="K595" s="1177" t="s">
        <v>674</v>
      </c>
      <c r="L595" s="1178" t="s">
        <v>994</v>
      </c>
      <c r="M595" s="1179">
        <f>252916670+95000000+40000000</f>
        <v>387916670</v>
      </c>
      <c r="N595" s="1382" t="s">
        <v>768</v>
      </c>
      <c r="O595" s="1174" t="s">
        <v>915</v>
      </c>
      <c r="P595" s="1207" t="s">
        <v>678</v>
      </c>
      <c r="Q595" s="1163" t="s">
        <v>1248</v>
      </c>
      <c r="R595" s="1357">
        <v>363521602</v>
      </c>
      <c r="S595" s="1357">
        <v>363521602</v>
      </c>
      <c r="T595" s="1357">
        <f>+Tabla16[[#This Row],[CDPS A 31 JULIO 2022]]-Tabla16[[#This Row],[CDP]]</f>
        <v>0</v>
      </c>
      <c r="U595" s="1357"/>
      <c r="V595" s="1357"/>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c r="AZ595" s="1207"/>
      <c r="BA595" s="1207"/>
      <c r="BB595" s="1207"/>
      <c r="BC595" s="1207"/>
      <c r="BD595" s="1207"/>
      <c r="BE595" s="1207"/>
      <c r="BF595" s="1207"/>
      <c r="BG595" s="1207"/>
      <c r="BH595" s="1207"/>
      <c r="BI595" s="1207"/>
      <c r="BJ595" s="1207"/>
      <c r="BK595" s="1207"/>
      <c r="BL595" s="1207"/>
      <c r="BM595" s="1207"/>
      <c r="BN595" s="1207"/>
      <c r="BO595" s="1207"/>
      <c r="BP595" s="1207"/>
      <c r="BQ595" s="1207"/>
      <c r="BR595" s="1207"/>
      <c r="BS595" s="1207"/>
      <c r="BT595" s="1207"/>
      <c r="BU595" s="1207"/>
      <c r="BV595" s="1207"/>
      <c r="BW595" s="1207"/>
      <c r="BX595" s="1207"/>
      <c r="BY595" s="1207"/>
      <c r="BZ595" s="1207"/>
      <c r="CA595" s="1207"/>
      <c r="CB595" s="1207"/>
      <c r="CC595" s="1207"/>
      <c r="CD595" s="1207"/>
      <c r="CE595" s="1207"/>
      <c r="CF595" s="1207"/>
    </row>
    <row r="596" spans="1:84" ht="135" x14ac:dyDescent="0.25">
      <c r="A596" s="1355">
        <v>2022634</v>
      </c>
      <c r="B596" s="1172" t="s">
        <v>97</v>
      </c>
      <c r="C596" s="1356" t="s">
        <v>97</v>
      </c>
      <c r="D596" s="1190" t="s">
        <v>689</v>
      </c>
      <c r="E596" s="1174" t="s">
        <v>97</v>
      </c>
      <c r="F596" s="1380" t="s">
        <v>1249</v>
      </c>
      <c r="G596" s="1381">
        <v>44662</v>
      </c>
      <c r="H596" s="1381" t="s">
        <v>97</v>
      </c>
      <c r="I596" s="1176">
        <v>0.5</v>
      </c>
      <c r="J596" s="1176" t="s">
        <v>673</v>
      </c>
      <c r="K596" s="1177" t="s">
        <v>97</v>
      </c>
      <c r="L596" s="1178" t="s">
        <v>97</v>
      </c>
      <c r="M596" s="1179" t="s">
        <v>97</v>
      </c>
      <c r="N596" s="1382" t="s">
        <v>97</v>
      </c>
      <c r="O596" s="1174" t="s">
        <v>97</v>
      </c>
      <c r="P596" s="1207" t="s">
        <v>678</v>
      </c>
      <c r="Q596" s="1207"/>
      <c r="R596" s="1357"/>
      <c r="S596" s="1357"/>
      <c r="T596" s="1357">
        <f>+Tabla16[[#This Row],[CDPS A 31 JULIO 2022]]-Tabla16[[#This Row],[CDP]]</f>
        <v>0</v>
      </c>
      <c r="U596" s="1357"/>
      <c r="V596" s="1357"/>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c r="AZ596" s="1207"/>
      <c r="BA596" s="1207"/>
      <c r="BB596" s="1207"/>
      <c r="BC596" s="1207"/>
      <c r="BD596" s="1207"/>
      <c r="BE596" s="1207"/>
      <c r="BF596" s="1207"/>
      <c r="BG596" s="1207"/>
      <c r="BH596" s="1207"/>
      <c r="BI596" s="1207"/>
      <c r="BJ596" s="1207"/>
      <c r="BK596" s="1207"/>
      <c r="BL596" s="1207"/>
      <c r="BM596" s="1207"/>
      <c r="BN596" s="1207"/>
      <c r="BO596" s="1207"/>
      <c r="BP596" s="1207"/>
      <c r="BQ596" s="1207"/>
      <c r="BR596" s="1207"/>
      <c r="BS596" s="1207"/>
      <c r="BT596" s="1207"/>
      <c r="BU596" s="1207"/>
      <c r="BV596" s="1207"/>
      <c r="BW596" s="1207"/>
      <c r="BX596" s="1207"/>
      <c r="BY596" s="1207"/>
      <c r="BZ596" s="1207"/>
      <c r="CA596" s="1207"/>
      <c r="CB596" s="1207"/>
      <c r="CC596" s="1207"/>
      <c r="CD596" s="1207"/>
      <c r="CE596" s="1207"/>
      <c r="CF596" s="1207"/>
    </row>
    <row r="597" spans="1:84" ht="150" x14ac:dyDescent="0.25">
      <c r="A597" s="1355">
        <v>2022635</v>
      </c>
      <c r="B597" s="1172" t="s">
        <v>97</v>
      </c>
      <c r="C597" s="1356" t="s">
        <v>97</v>
      </c>
      <c r="D597" s="1190" t="s">
        <v>689</v>
      </c>
      <c r="E597" s="1174" t="s">
        <v>97</v>
      </c>
      <c r="F597" s="1380" t="s">
        <v>1250</v>
      </c>
      <c r="G597" s="1381">
        <v>44662</v>
      </c>
      <c r="H597" s="1381" t="s">
        <v>97</v>
      </c>
      <c r="I597" s="1176">
        <v>1</v>
      </c>
      <c r="J597" s="1176" t="s">
        <v>673</v>
      </c>
      <c r="K597" s="1177" t="s">
        <v>97</v>
      </c>
      <c r="L597" s="1178" t="s">
        <v>97</v>
      </c>
      <c r="M597" s="1179" t="s">
        <v>97</v>
      </c>
      <c r="N597" s="1382" t="s">
        <v>97</v>
      </c>
      <c r="O597" s="1174" t="s">
        <v>97</v>
      </c>
      <c r="P597" s="1207" t="s">
        <v>678</v>
      </c>
      <c r="Q597" s="1207"/>
      <c r="R597" s="1357"/>
      <c r="S597" s="1357"/>
      <c r="T597" s="1357">
        <f>+Tabla16[[#This Row],[CDPS A 31 JULIO 2022]]-Tabla16[[#This Row],[CDP]]</f>
        <v>0</v>
      </c>
      <c r="U597" s="1357"/>
      <c r="V597" s="1357"/>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c r="AZ597" s="1207"/>
      <c r="BA597" s="1207"/>
      <c r="BB597" s="1207"/>
      <c r="BC597" s="1207"/>
      <c r="BD597" s="1207"/>
      <c r="BE597" s="1207"/>
      <c r="BF597" s="1207"/>
      <c r="BG597" s="1207"/>
      <c r="BH597" s="1207"/>
      <c r="BI597" s="1207"/>
      <c r="BJ597" s="1207"/>
      <c r="BK597" s="1207"/>
      <c r="BL597" s="1207"/>
      <c r="BM597" s="1207"/>
      <c r="BN597" s="1207"/>
      <c r="BO597" s="1207"/>
      <c r="BP597" s="1207"/>
      <c r="BQ597" s="1207"/>
      <c r="BR597" s="1207"/>
      <c r="BS597" s="1207"/>
      <c r="BT597" s="1207"/>
      <c r="BU597" s="1207"/>
      <c r="BV597" s="1207"/>
      <c r="BW597" s="1207"/>
      <c r="BX597" s="1207"/>
      <c r="BY597" s="1207"/>
      <c r="BZ597" s="1207"/>
      <c r="CA597" s="1207"/>
      <c r="CB597" s="1207"/>
      <c r="CC597" s="1207"/>
      <c r="CD597" s="1207"/>
      <c r="CE597" s="1207"/>
      <c r="CF597" s="1207"/>
    </row>
    <row r="598" spans="1:84" ht="135" x14ac:dyDescent="0.25">
      <c r="A598" s="1355">
        <v>2022637</v>
      </c>
      <c r="B598" s="1172">
        <v>7658</v>
      </c>
      <c r="C598" s="1356" t="s">
        <v>679</v>
      </c>
      <c r="D598" s="1190" t="s">
        <v>698</v>
      </c>
      <c r="E598" s="1202" t="s">
        <v>1251</v>
      </c>
      <c r="F598" s="1378" t="s">
        <v>1252</v>
      </c>
      <c r="G598" s="1392">
        <v>44676</v>
      </c>
      <c r="H598" s="1392">
        <v>44683</v>
      </c>
      <c r="I598" s="1176">
        <v>9</v>
      </c>
      <c r="J598" s="1176" t="s">
        <v>699</v>
      </c>
      <c r="K598" s="1177" t="s">
        <v>674</v>
      </c>
      <c r="L598" s="1178" t="s">
        <v>1085</v>
      </c>
      <c r="M598" s="1179">
        <v>10000000</v>
      </c>
      <c r="N598" s="1382" t="s">
        <v>772</v>
      </c>
      <c r="O598" s="1174" t="s">
        <v>915</v>
      </c>
      <c r="P598" s="1163" t="s">
        <v>678</v>
      </c>
      <c r="Q598" s="1207"/>
      <c r="R598" s="1357">
        <v>10000000</v>
      </c>
      <c r="S598" s="1357">
        <v>10000000</v>
      </c>
      <c r="T598" s="1357">
        <f>+Tabla16[[#This Row],[CDPS A 31 JULIO 2022]]-Tabla16[[#This Row],[CDP]]</f>
        <v>0</v>
      </c>
      <c r="U598" s="1357"/>
      <c r="V598" s="1357"/>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c r="AZ598" s="1207"/>
      <c r="BA598" s="1207"/>
      <c r="BB598" s="1207"/>
      <c r="BC598" s="1207"/>
      <c r="BD598" s="1207"/>
      <c r="BE598" s="1207"/>
      <c r="BF598" s="1207"/>
      <c r="BG598" s="1207"/>
      <c r="BH598" s="1207"/>
      <c r="BI598" s="1207"/>
      <c r="BJ598" s="1207"/>
      <c r="BK598" s="1207"/>
      <c r="BL598" s="1207"/>
      <c r="BM598" s="1207"/>
      <c r="BN598" s="1207"/>
      <c r="BO598" s="1207"/>
      <c r="BP598" s="1207"/>
      <c r="BQ598" s="1207"/>
      <c r="BR598" s="1207"/>
      <c r="BS598" s="1207"/>
      <c r="BT598" s="1207"/>
      <c r="BU598" s="1207"/>
      <c r="BV598" s="1207"/>
      <c r="BW598" s="1207"/>
      <c r="BX598" s="1207"/>
      <c r="BY598" s="1207"/>
      <c r="BZ598" s="1207"/>
      <c r="CA598" s="1207"/>
      <c r="CB598" s="1207"/>
      <c r="CC598" s="1207"/>
      <c r="CD598" s="1207"/>
      <c r="CE598" s="1207"/>
      <c r="CF598" s="1207"/>
    </row>
    <row r="599" spans="1:84" ht="90" x14ac:dyDescent="0.25">
      <c r="A599" s="1355">
        <v>2022638</v>
      </c>
      <c r="B599" s="1172">
        <v>7658</v>
      </c>
      <c r="C599" s="1356" t="s">
        <v>679</v>
      </c>
      <c r="D599" s="1190" t="s">
        <v>695</v>
      </c>
      <c r="E599" s="1202">
        <v>80111600</v>
      </c>
      <c r="F599" s="1202" t="s">
        <v>1253</v>
      </c>
      <c r="G599" s="1377">
        <v>44688</v>
      </c>
      <c r="H599" s="1377">
        <v>44688</v>
      </c>
      <c r="I599" s="1176">
        <v>2.5</v>
      </c>
      <c r="J599" s="1176" t="s">
        <v>673</v>
      </c>
      <c r="K599" s="1177" t="s">
        <v>674</v>
      </c>
      <c r="L599" s="1178" t="s">
        <v>675</v>
      </c>
      <c r="M599" s="1179">
        <v>10500000</v>
      </c>
      <c r="N599" s="1382" t="s">
        <v>765</v>
      </c>
      <c r="O599" s="1174" t="s">
        <v>764</v>
      </c>
      <c r="P599" s="1163" t="s">
        <v>748</v>
      </c>
      <c r="Q599" s="1207"/>
      <c r="R599" s="1357">
        <v>10500000</v>
      </c>
      <c r="S599" s="1357">
        <v>10500000</v>
      </c>
      <c r="T599" s="1357">
        <f>+Tabla16[[#This Row],[CDPS A 31 JULIO 2022]]-Tabla16[[#This Row],[CDP]]</f>
        <v>0</v>
      </c>
      <c r="U599" s="1357">
        <v>10500000</v>
      </c>
      <c r="V599" s="1357">
        <v>4200000</v>
      </c>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105" x14ac:dyDescent="0.25">
      <c r="A600" s="1355">
        <v>2022639</v>
      </c>
      <c r="B600" s="1172">
        <v>7658</v>
      </c>
      <c r="C600" s="1356" t="s">
        <v>679</v>
      </c>
      <c r="D600" s="1190" t="s">
        <v>692</v>
      </c>
      <c r="E600" s="1174" t="s">
        <v>1033</v>
      </c>
      <c r="F600" s="1380" t="s">
        <v>1254</v>
      </c>
      <c r="G600" s="1381">
        <v>44682</v>
      </c>
      <c r="H600" s="1381">
        <v>44711</v>
      </c>
      <c r="I600" s="1176">
        <v>1</v>
      </c>
      <c r="J600" s="1176" t="s">
        <v>645</v>
      </c>
      <c r="K600" s="1177" t="s">
        <v>674</v>
      </c>
      <c r="L600" s="1178" t="s">
        <v>675</v>
      </c>
      <c r="M600" s="1179">
        <v>66036232</v>
      </c>
      <c r="N600" s="1382" t="s">
        <v>1035</v>
      </c>
      <c r="O600" s="1174" t="s">
        <v>1036</v>
      </c>
      <c r="P600" s="1207" t="s">
        <v>748</v>
      </c>
      <c r="Q600" s="1207"/>
      <c r="R600" s="1357">
        <v>66036232</v>
      </c>
      <c r="S600" s="1357">
        <v>66036232</v>
      </c>
      <c r="T600" s="1357">
        <f>+Tabla16[[#This Row],[CDPS A 31 JULIO 2022]]-Tabla16[[#This Row],[CDP]]</f>
        <v>0</v>
      </c>
      <c r="U600" s="1357">
        <v>66036232</v>
      </c>
      <c r="V600" s="1357">
        <v>65695743</v>
      </c>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105" x14ac:dyDescent="0.25">
      <c r="A601" s="1355">
        <v>2022640</v>
      </c>
      <c r="B601" s="1172">
        <v>7637</v>
      </c>
      <c r="C601" s="1356" t="s">
        <v>643</v>
      </c>
      <c r="D601" s="1190" t="s">
        <v>671</v>
      </c>
      <c r="E601" s="1174">
        <v>43222600</v>
      </c>
      <c r="F601" s="1380" t="s">
        <v>1255</v>
      </c>
      <c r="G601" s="1381">
        <v>44682</v>
      </c>
      <c r="H601" s="1381">
        <v>44712</v>
      </c>
      <c r="I601" s="1176">
        <v>6</v>
      </c>
      <c r="J601" s="1176" t="s">
        <v>696</v>
      </c>
      <c r="K601" s="1177" t="s">
        <v>770</v>
      </c>
      <c r="L601" s="1178" t="s">
        <v>735</v>
      </c>
      <c r="M601" s="1179">
        <v>278282277</v>
      </c>
      <c r="N601" s="1189" t="s">
        <v>676</v>
      </c>
      <c r="O601" s="1174" t="s">
        <v>677</v>
      </c>
      <c r="P601" s="1207" t="s">
        <v>678</v>
      </c>
      <c r="Q601" s="1163" t="s">
        <v>1256</v>
      </c>
      <c r="R601" s="1357">
        <v>556564554</v>
      </c>
      <c r="S601" s="1357">
        <v>556564554</v>
      </c>
      <c r="T601" s="1357">
        <f>+Tabla16[[#This Row],[CDPS A 31 JULIO 2022]]-Tabla16[[#This Row],[CDP]]</f>
        <v>0</v>
      </c>
      <c r="U601" s="1357"/>
      <c r="V601" s="1357"/>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105" x14ac:dyDescent="0.25">
      <c r="A602" s="1355">
        <v>2022641</v>
      </c>
      <c r="B602" s="1172">
        <v>7658</v>
      </c>
      <c r="C602" s="1356" t="s">
        <v>679</v>
      </c>
      <c r="D602" s="1190" t="s">
        <v>692</v>
      </c>
      <c r="E602" s="1202">
        <v>80111600</v>
      </c>
      <c r="F602" s="1202" t="s">
        <v>1257</v>
      </c>
      <c r="G602" s="1381">
        <v>44682</v>
      </c>
      <c r="H602" s="1381">
        <v>44712</v>
      </c>
      <c r="I602" s="1176">
        <v>2</v>
      </c>
      <c r="J602" s="1176" t="s">
        <v>673</v>
      </c>
      <c r="K602" s="1177" t="s">
        <v>674</v>
      </c>
      <c r="L602" s="1178" t="s">
        <v>675</v>
      </c>
      <c r="M602" s="1179">
        <v>10300000</v>
      </c>
      <c r="N602" s="1382" t="s">
        <v>1035</v>
      </c>
      <c r="O602" s="1174" t="s">
        <v>1036</v>
      </c>
      <c r="P602" s="1207" t="s">
        <v>748</v>
      </c>
      <c r="Q602" s="1163" t="s">
        <v>1258</v>
      </c>
      <c r="R602" s="1357">
        <v>10300000</v>
      </c>
      <c r="S602" s="1357">
        <v>10300000</v>
      </c>
      <c r="T602" s="1357">
        <f>+Tabla16[[#This Row],[CDPS A 31 JULIO 2022]]-Tabla16[[#This Row],[CDP]]</f>
        <v>0</v>
      </c>
      <c r="U602" s="1357">
        <v>10300000</v>
      </c>
      <c r="V602" s="1357">
        <v>3948333</v>
      </c>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105" x14ac:dyDescent="0.25">
      <c r="A603" s="1355">
        <v>2022642</v>
      </c>
      <c r="B603" s="1172">
        <v>7658</v>
      </c>
      <c r="C603" s="1356" t="s">
        <v>679</v>
      </c>
      <c r="D603" s="1190" t="s">
        <v>692</v>
      </c>
      <c r="E603" s="1202">
        <v>80111600</v>
      </c>
      <c r="F603" s="1202" t="s">
        <v>1259</v>
      </c>
      <c r="G603" s="1381">
        <v>44819</v>
      </c>
      <c r="H603" s="1381">
        <v>44819</v>
      </c>
      <c r="I603" s="1176">
        <v>4</v>
      </c>
      <c r="J603" s="1176" t="s">
        <v>673</v>
      </c>
      <c r="K603" s="1177" t="s">
        <v>674</v>
      </c>
      <c r="L603" s="1178" t="s">
        <v>675</v>
      </c>
      <c r="M603" s="1179">
        <f>(6*4500000)-8950000-4550000</f>
        <v>13500000</v>
      </c>
      <c r="N603" s="1382" t="s">
        <v>1035</v>
      </c>
      <c r="O603" s="1174" t="s">
        <v>1036</v>
      </c>
      <c r="P603" s="1207" t="s">
        <v>678</v>
      </c>
      <c r="Q603" s="1163"/>
      <c r="R603" s="1357">
        <v>27000000</v>
      </c>
      <c r="S603" s="1357">
        <v>27000000</v>
      </c>
      <c r="T603" s="1357">
        <f>+Tabla16[[#This Row],[CDPS A 31 JULIO 2022]]-Tabla16[[#This Row],[CDP]]</f>
        <v>0</v>
      </c>
      <c r="U603" s="1357"/>
      <c r="V603" s="1357"/>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105" x14ac:dyDescent="0.25">
      <c r="A604" s="1355">
        <v>2022643</v>
      </c>
      <c r="B604" s="1172">
        <v>7658</v>
      </c>
      <c r="C604" s="1356" t="s">
        <v>679</v>
      </c>
      <c r="D604" s="1190" t="s">
        <v>692</v>
      </c>
      <c r="E604" s="1202">
        <v>80111600</v>
      </c>
      <c r="F604" s="1202" t="s">
        <v>1260</v>
      </c>
      <c r="G604" s="1381">
        <v>44743</v>
      </c>
      <c r="H604" s="1381">
        <v>44773</v>
      </c>
      <c r="I604" s="1176">
        <v>6</v>
      </c>
      <c r="J604" s="1176" t="s">
        <v>673</v>
      </c>
      <c r="K604" s="1177" t="s">
        <v>674</v>
      </c>
      <c r="L604" s="1178" t="s">
        <v>675</v>
      </c>
      <c r="M604" s="1179">
        <f>2750000*6</f>
        <v>16500000</v>
      </c>
      <c r="N604" s="1382" t="s">
        <v>1035</v>
      </c>
      <c r="O604" s="1174" t="s">
        <v>1036</v>
      </c>
      <c r="P604" s="1207" t="s">
        <v>678</v>
      </c>
      <c r="Q604" s="1163"/>
      <c r="R604" s="1357">
        <v>16500000</v>
      </c>
      <c r="S604" s="1357">
        <v>16500000</v>
      </c>
      <c r="T604" s="1357">
        <f>+Tabla16[[#This Row],[CDPS A 31 JULIO 2022]]-Tabla16[[#This Row],[CDP]]</f>
        <v>0</v>
      </c>
      <c r="U604" s="1357"/>
      <c r="V604" s="1357"/>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105" x14ac:dyDescent="0.25">
      <c r="A605" s="1400">
        <v>2022644</v>
      </c>
      <c r="B605" s="1401">
        <v>7658</v>
      </c>
      <c r="C605" s="1402" t="s">
        <v>679</v>
      </c>
      <c r="D605" s="1403" t="s">
        <v>692</v>
      </c>
      <c r="E605" s="1415">
        <v>80111600</v>
      </c>
      <c r="F605" s="1415" t="s">
        <v>1260</v>
      </c>
      <c r="G605" s="1406">
        <v>44743</v>
      </c>
      <c r="H605" s="1406">
        <v>44773</v>
      </c>
      <c r="I605" s="1407">
        <v>6</v>
      </c>
      <c r="J605" s="1407" t="s">
        <v>673</v>
      </c>
      <c r="K605" s="1408" t="s">
        <v>674</v>
      </c>
      <c r="L605" s="1409" t="s">
        <v>675</v>
      </c>
      <c r="M605" s="1410">
        <f>(2750000*6)-2750000</f>
        <v>13750000</v>
      </c>
      <c r="N605" s="1411" t="s">
        <v>1035</v>
      </c>
      <c r="O605" s="1404" t="s">
        <v>1036</v>
      </c>
      <c r="P605" s="1412" t="s">
        <v>678</v>
      </c>
      <c r="Q605" s="1163"/>
      <c r="R605" s="1357">
        <v>16500000</v>
      </c>
      <c r="S605" s="1357">
        <v>16500000</v>
      </c>
      <c r="T605" s="1357">
        <f>+Tabla16[[#This Row],[CDPS A 31 JULIO 2022]]-Tabla16[[#This Row],[CDP]]</f>
        <v>0</v>
      </c>
      <c r="U605" s="1357"/>
      <c r="V605" s="1357"/>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ht="105" x14ac:dyDescent="0.25">
      <c r="A606" s="1400">
        <v>2022645</v>
      </c>
      <c r="B606" s="1401">
        <v>7658</v>
      </c>
      <c r="C606" s="1402" t="s">
        <v>679</v>
      </c>
      <c r="D606" s="1403" t="s">
        <v>692</v>
      </c>
      <c r="E606" s="1415">
        <v>80111600</v>
      </c>
      <c r="F606" s="1415" t="s">
        <v>1260</v>
      </c>
      <c r="G606" s="1406">
        <v>44743</v>
      </c>
      <c r="H606" s="1406">
        <v>44773</v>
      </c>
      <c r="I606" s="1407">
        <v>6</v>
      </c>
      <c r="J606" s="1407" t="s">
        <v>673</v>
      </c>
      <c r="K606" s="1408" t="s">
        <v>674</v>
      </c>
      <c r="L606" s="1409" t="s">
        <v>675</v>
      </c>
      <c r="M606" s="1410">
        <f>(2750000*6)-2750000</f>
        <v>13750000</v>
      </c>
      <c r="N606" s="1411" t="s">
        <v>1035</v>
      </c>
      <c r="O606" s="1404" t="s">
        <v>1036</v>
      </c>
      <c r="P606" s="1412" t="s">
        <v>678</v>
      </c>
      <c r="Q606" s="1163"/>
      <c r="R606" s="1357">
        <v>16500000</v>
      </c>
      <c r="S606" s="1357">
        <v>16500000</v>
      </c>
      <c r="T606" s="1357">
        <f>+Tabla16[[#This Row],[CDPS A 31 JULIO 2022]]-Tabla16[[#This Row],[CDP]]</f>
        <v>0</v>
      </c>
      <c r="U606" s="1357"/>
      <c r="V606" s="1357"/>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c r="AZ606" s="1207"/>
      <c r="BA606" s="1207"/>
      <c r="BB606" s="1207"/>
      <c r="BC606" s="1207"/>
      <c r="BD606" s="1207"/>
      <c r="BE606" s="1207"/>
      <c r="BF606" s="1207"/>
      <c r="BG606" s="1207"/>
      <c r="BH606" s="1207"/>
      <c r="BI606" s="1207"/>
      <c r="BJ606" s="1207"/>
      <c r="BK606" s="1207"/>
      <c r="BL606" s="1207"/>
      <c r="BM606" s="1207"/>
      <c r="BN606" s="1207"/>
      <c r="BO606" s="1207"/>
      <c r="BP606" s="1207"/>
      <c r="BQ606" s="1207"/>
      <c r="BR606" s="1207"/>
      <c r="BS606" s="1207"/>
      <c r="BT606" s="1207"/>
      <c r="BU606" s="1207"/>
      <c r="BV606" s="1207"/>
      <c r="BW606" s="1207"/>
      <c r="BX606" s="1207"/>
      <c r="BY606" s="1207"/>
      <c r="BZ606" s="1207"/>
      <c r="CA606" s="1207"/>
      <c r="CB606" s="1207"/>
      <c r="CC606" s="1207"/>
      <c r="CD606" s="1207"/>
      <c r="CE606" s="1207"/>
      <c r="CF606" s="1207"/>
    </row>
    <row r="607" spans="1:84" ht="105" x14ac:dyDescent="0.25">
      <c r="A607" s="1400">
        <v>2022646</v>
      </c>
      <c r="B607" s="1401">
        <v>7658</v>
      </c>
      <c r="C607" s="1402" t="s">
        <v>679</v>
      </c>
      <c r="D607" s="1403" t="s">
        <v>692</v>
      </c>
      <c r="E607" s="1415">
        <v>80111600</v>
      </c>
      <c r="F607" s="1415" t="s">
        <v>1260</v>
      </c>
      <c r="G607" s="1406">
        <v>44743</v>
      </c>
      <c r="H607" s="1406">
        <v>44773</v>
      </c>
      <c r="I607" s="1407">
        <v>6</v>
      </c>
      <c r="J607" s="1407" t="s">
        <v>673</v>
      </c>
      <c r="K607" s="1408" t="s">
        <v>674</v>
      </c>
      <c r="L607" s="1409" t="s">
        <v>675</v>
      </c>
      <c r="M607" s="1410">
        <f>(2750000*6)-5500000</f>
        <v>11000000</v>
      </c>
      <c r="N607" s="1411" t="s">
        <v>1035</v>
      </c>
      <c r="O607" s="1404" t="s">
        <v>1036</v>
      </c>
      <c r="P607" s="1412" t="s">
        <v>678</v>
      </c>
      <c r="Q607" s="1163"/>
      <c r="R607" s="1357">
        <v>16500000</v>
      </c>
      <c r="S607" s="1357">
        <v>16500000</v>
      </c>
      <c r="T607" s="1357">
        <f>+Tabla16[[#This Row],[CDPS A 31 JULIO 2022]]-Tabla16[[#This Row],[CDP]]</f>
        <v>0</v>
      </c>
      <c r="U607" s="1357"/>
      <c r="V607" s="1357"/>
      <c r="W607" s="1357"/>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c r="AZ607" s="1207"/>
      <c r="BA607" s="1207"/>
      <c r="BB607" s="1207"/>
      <c r="BC607" s="1207"/>
      <c r="BD607" s="1207"/>
      <c r="BE607" s="1207"/>
      <c r="BF607" s="1207"/>
      <c r="BG607" s="1207"/>
      <c r="BH607" s="1207"/>
      <c r="BI607" s="1207"/>
      <c r="BJ607" s="1207"/>
      <c r="BK607" s="1207"/>
      <c r="BL607" s="1207"/>
      <c r="BM607" s="1207"/>
      <c r="BN607" s="1207"/>
      <c r="BO607" s="1207"/>
      <c r="BP607" s="1207"/>
      <c r="BQ607" s="1207"/>
      <c r="BR607" s="1207"/>
      <c r="BS607" s="1207"/>
      <c r="BT607" s="1207"/>
      <c r="BU607" s="1207"/>
      <c r="BV607" s="1207"/>
      <c r="BW607" s="1207"/>
      <c r="BX607" s="1207"/>
      <c r="BY607" s="1207"/>
      <c r="BZ607" s="1207"/>
      <c r="CA607" s="1207"/>
      <c r="CB607" s="1207"/>
      <c r="CC607" s="1207"/>
      <c r="CD607" s="1207"/>
      <c r="CE607" s="1207"/>
      <c r="CF607" s="1207"/>
    </row>
    <row r="608" spans="1:84" ht="105" x14ac:dyDescent="0.25">
      <c r="A608" s="1355">
        <v>2022647</v>
      </c>
      <c r="B608" s="1172">
        <v>7658</v>
      </c>
      <c r="C608" s="1356" t="s">
        <v>679</v>
      </c>
      <c r="D608" s="1190" t="s">
        <v>692</v>
      </c>
      <c r="E608" s="1202">
        <v>80111600</v>
      </c>
      <c r="F608" s="1202" t="s">
        <v>1260</v>
      </c>
      <c r="G608" s="1381">
        <v>44743</v>
      </c>
      <c r="H608" s="1381">
        <v>44773</v>
      </c>
      <c r="I608" s="1176">
        <v>6</v>
      </c>
      <c r="J608" s="1176" t="s">
        <v>673</v>
      </c>
      <c r="K608" s="1177" t="s">
        <v>674</v>
      </c>
      <c r="L608" s="1178" t="s">
        <v>675</v>
      </c>
      <c r="M608" s="1179">
        <f>2750000*6</f>
        <v>16500000</v>
      </c>
      <c r="N608" s="1382" t="s">
        <v>1035</v>
      </c>
      <c r="O608" s="1174" t="s">
        <v>1036</v>
      </c>
      <c r="P608" s="1207" t="s">
        <v>678</v>
      </c>
      <c r="Q608" s="1163"/>
      <c r="R608" s="1357">
        <v>16500000</v>
      </c>
      <c r="S608" s="1357">
        <v>16500000</v>
      </c>
      <c r="T608" s="1357">
        <f>+Tabla16[[#This Row],[CDPS A 31 JULIO 2022]]-Tabla16[[#This Row],[CDP]]</f>
        <v>0</v>
      </c>
      <c r="U608" s="1357"/>
      <c r="V608" s="1357"/>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105" x14ac:dyDescent="0.25">
      <c r="A609" s="1355">
        <v>2022648</v>
      </c>
      <c r="B609" s="1172">
        <v>7658</v>
      </c>
      <c r="C609" s="1356" t="s">
        <v>679</v>
      </c>
      <c r="D609" s="1190" t="s">
        <v>692</v>
      </c>
      <c r="E609" s="1202">
        <v>80111600</v>
      </c>
      <c r="F609" s="1202" t="s">
        <v>1260</v>
      </c>
      <c r="G609" s="1381">
        <v>44743</v>
      </c>
      <c r="H609" s="1381">
        <v>44773</v>
      </c>
      <c r="I609" s="1176">
        <v>6</v>
      </c>
      <c r="J609" s="1176" t="s">
        <v>673</v>
      </c>
      <c r="K609" s="1177" t="s">
        <v>674</v>
      </c>
      <c r="L609" s="1178" t="s">
        <v>675</v>
      </c>
      <c r="M609" s="1179">
        <f>2750000*6</f>
        <v>16500000</v>
      </c>
      <c r="N609" s="1382" t="s">
        <v>1035</v>
      </c>
      <c r="O609" s="1174" t="s">
        <v>1036</v>
      </c>
      <c r="P609" s="1207" t="s">
        <v>678</v>
      </c>
      <c r="Q609" s="1163"/>
      <c r="R609" s="1357">
        <v>16500000</v>
      </c>
      <c r="S609" s="1357">
        <v>16500000</v>
      </c>
      <c r="T609" s="1357">
        <f>+Tabla16[[#This Row],[CDPS A 31 JULIO 2022]]-Tabla16[[#This Row],[CDP]]</f>
        <v>0</v>
      </c>
      <c r="U609" s="1357"/>
      <c r="V609" s="1357"/>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105" x14ac:dyDescent="0.25">
      <c r="A610" s="1355">
        <v>2022649</v>
      </c>
      <c r="B610" s="1172">
        <v>7658</v>
      </c>
      <c r="C610" s="1356" t="s">
        <v>679</v>
      </c>
      <c r="D610" s="1190" t="s">
        <v>692</v>
      </c>
      <c r="E610" s="1202">
        <v>80111600</v>
      </c>
      <c r="F610" s="1202" t="s">
        <v>1260</v>
      </c>
      <c r="G610" s="1381">
        <v>44743</v>
      </c>
      <c r="H610" s="1381">
        <v>44773</v>
      </c>
      <c r="I610" s="1176">
        <v>6</v>
      </c>
      <c r="J610" s="1176" t="s">
        <v>673</v>
      </c>
      <c r="K610" s="1177" t="s">
        <v>674</v>
      </c>
      <c r="L610" s="1178" t="s">
        <v>675</v>
      </c>
      <c r="M610" s="1179">
        <f>2750000*6</f>
        <v>16500000</v>
      </c>
      <c r="N610" s="1382" t="s">
        <v>1035</v>
      </c>
      <c r="O610" s="1174" t="s">
        <v>1036</v>
      </c>
      <c r="P610" s="1207" t="s">
        <v>678</v>
      </c>
      <c r="Q610" s="1163"/>
      <c r="R610" s="1357">
        <v>16500000</v>
      </c>
      <c r="S610" s="1357">
        <v>16500000</v>
      </c>
      <c r="T610" s="1357">
        <f>+Tabla16[[#This Row],[CDPS A 31 JULIO 2022]]-Tabla16[[#This Row],[CDP]]</f>
        <v>0</v>
      </c>
      <c r="U610" s="1357"/>
      <c r="V610" s="1357"/>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105" x14ac:dyDescent="0.25">
      <c r="A611" s="1400">
        <v>2022650</v>
      </c>
      <c r="B611" s="1401">
        <v>7658</v>
      </c>
      <c r="C611" s="1402" t="s">
        <v>679</v>
      </c>
      <c r="D611" s="1403" t="s">
        <v>692</v>
      </c>
      <c r="E611" s="1415">
        <v>80111600</v>
      </c>
      <c r="F611" s="1415" t="s">
        <v>1260</v>
      </c>
      <c r="G611" s="1406">
        <v>44743</v>
      </c>
      <c r="H611" s="1406">
        <v>44773</v>
      </c>
      <c r="I611" s="1407">
        <v>6</v>
      </c>
      <c r="J611" s="1407" t="s">
        <v>673</v>
      </c>
      <c r="K611" s="1408" t="s">
        <v>674</v>
      </c>
      <c r="L611" s="1409" t="s">
        <v>675</v>
      </c>
      <c r="M611" s="1410">
        <f>(2750000*6)-5500000</f>
        <v>11000000</v>
      </c>
      <c r="N611" s="1411" t="s">
        <v>1035</v>
      </c>
      <c r="O611" s="1404" t="s">
        <v>1036</v>
      </c>
      <c r="P611" s="1412" t="s">
        <v>678</v>
      </c>
      <c r="Q611" s="1163"/>
      <c r="R611" s="1357">
        <v>16500000</v>
      </c>
      <c r="S611" s="1357">
        <v>16500000</v>
      </c>
      <c r="T611" s="1357">
        <f>+Tabla16[[#This Row],[CDPS A 31 JULIO 2022]]-Tabla16[[#This Row],[CDP]]</f>
        <v>0</v>
      </c>
      <c r="U611" s="1357"/>
      <c r="V611" s="1357"/>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105" x14ac:dyDescent="0.25">
      <c r="A612" s="1400">
        <v>2022651</v>
      </c>
      <c r="B612" s="1401">
        <v>7658</v>
      </c>
      <c r="C612" s="1402" t="s">
        <v>679</v>
      </c>
      <c r="D612" s="1403" t="s">
        <v>692</v>
      </c>
      <c r="E612" s="1415">
        <v>80111600</v>
      </c>
      <c r="F612" s="1415" t="s">
        <v>1260</v>
      </c>
      <c r="G612" s="1406">
        <v>44743</v>
      </c>
      <c r="H612" s="1406">
        <v>44773</v>
      </c>
      <c r="I612" s="1407">
        <v>6</v>
      </c>
      <c r="J612" s="1407" t="s">
        <v>673</v>
      </c>
      <c r="K612" s="1408" t="s">
        <v>674</v>
      </c>
      <c r="L612" s="1409" t="s">
        <v>675</v>
      </c>
      <c r="M612" s="1410">
        <f t="shared" ref="M612:M618" si="0">(2750000*6)-2750000</f>
        <v>13750000</v>
      </c>
      <c r="N612" s="1411" t="s">
        <v>1035</v>
      </c>
      <c r="O612" s="1404" t="s">
        <v>1036</v>
      </c>
      <c r="P612" s="1412" t="s">
        <v>678</v>
      </c>
      <c r="Q612" s="1163"/>
      <c r="R612" s="1357">
        <v>16500000</v>
      </c>
      <c r="S612" s="1357">
        <v>16500000</v>
      </c>
      <c r="T612" s="1357">
        <f>+Tabla16[[#This Row],[CDPS A 31 JULIO 2022]]-Tabla16[[#This Row],[CDP]]</f>
        <v>0</v>
      </c>
      <c r="U612" s="1357"/>
      <c r="V612" s="1357"/>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105" x14ac:dyDescent="0.25">
      <c r="A613" s="1400">
        <v>2022652</v>
      </c>
      <c r="B613" s="1401">
        <v>7658</v>
      </c>
      <c r="C613" s="1402" t="s">
        <v>679</v>
      </c>
      <c r="D613" s="1403" t="s">
        <v>692</v>
      </c>
      <c r="E613" s="1415">
        <v>80111600</v>
      </c>
      <c r="F613" s="1415" t="s">
        <v>1260</v>
      </c>
      <c r="G613" s="1406">
        <v>44743</v>
      </c>
      <c r="H613" s="1406">
        <v>44773</v>
      </c>
      <c r="I613" s="1407">
        <v>6</v>
      </c>
      <c r="J613" s="1407" t="s">
        <v>673</v>
      </c>
      <c r="K613" s="1408" t="s">
        <v>674</v>
      </c>
      <c r="L613" s="1409" t="s">
        <v>675</v>
      </c>
      <c r="M613" s="1410">
        <f t="shared" si="0"/>
        <v>13750000</v>
      </c>
      <c r="N613" s="1411" t="s">
        <v>1035</v>
      </c>
      <c r="O613" s="1404" t="s">
        <v>1036</v>
      </c>
      <c r="P613" s="1412" t="s">
        <v>678</v>
      </c>
      <c r="Q613" s="1163"/>
      <c r="R613" s="1357">
        <v>16500000</v>
      </c>
      <c r="S613" s="1357">
        <v>16500000</v>
      </c>
      <c r="T613" s="1357">
        <f>+Tabla16[[#This Row],[CDPS A 31 JULIO 2022]]-Tabla16[[#This Row],[CDP]]</f>
        <v>0</v>
      </c>
      <c r="U613" s="1357"/>
      <c r="V613" s="1357"/>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105" x14ac:dyDescent="0.25">
      <c r="A614" s="1400">
        <v>2022653</v>
      </c>
      <c r="B614" s="1401">
        <v>7658</v>
      </c>
      <c r="C614" s="1402" t="s">
        <v>679</v>
      </c>
      <c r="D614" s="1403" t="s">
        <v>692</v>
      </c>
      <c r="E614" s="1415">
        <v>80111600</v>
      </c>
      <c r="F614" s="1415" t="s">
        <v>1260</v>
      </c>
      <c r="G614" s="1406">
        <v>44743</v>
      </c>
      <c r="H614" s="1406">
        <v>44773</v>
      </c>
      <c r="I614" s="1407">
        <v>6</v>
      </c>
      <c r="J614" s="1407" t="s">
        <v>673</v>
      </c>
      <c r="K614" s="1408" t="s">
        <v>674</v>
      </c>
      <c r="L614" s="1409" t="s">
        <v>675</v>
      </c>
      <c r="M614" s="1410">
        <f t="shared" si="0"/>
        <v>13750000</v>
      </c>
      <c r="N614" s="1411" t="s">
        <v>1035</v>
      </c>
      <c r="O614" s="1404" t="s">
        <v>1036</v>
      </c>
      <c r="P614" s="1412" t="s">
        <v>678</v>
      </c>
      <c r="Q614" s="1163"/>
      <c r="R614" s="1357">
        <v>16500000</v>
      </c>
      <c r="S614" s="1357">
        <v>16500000</v>
      </c>
      <c r="T614" s="1357">
        <f>+Tabla16[[#This Row],[CDPS A 31 JULIO 2022]]-Tabla16[[#This Row],[CDP]]</f>
        <v>0</v>
      </c>
      <c r="U614" s="1357"/>
      <c r="V614" s="1357"/>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105" x14ac:dyDescent="0.25">
      <c r="A615" s="1400">
        <v>2022654</v>
      </c>
      <c r="B615" s="1401">
        <v>7658</v>
      </c>
      <c r="C615" s="1402" t="s">
        <v>679</v>
      </c>
      <c r="D615" s="1403" t="s">
        <v>692</v>
      </c>
      <c r="E615" s="1415">
        <v>80111600</v>
      </c>
      <c r="F615" s="1415" t="s">
        <v>1260</v>
      </c>
      <c r="G615" s="1406">
        <v>44743</v>
      </c>
      <c r="H615" s="1406">
        <v>44773</v>
      </c>
      <c r="I615" s="1407">
        <v>6</v>
      </c>
      <c r="J615" s="1407" t="s">
        <v>673</v>
      </c>
      <c r="K615" s="1408" t="s">
        <v>674</v>
      </c>
      <c r="L615" s="1409" t="s">
        <v>675</v>
      </c>
      <c r="M615" s="1410">
        <f t="shared" si="0"/>
        <v>13750000</v>
      </c>
      <c r="N615" s="1411" t="s">
        <v>1035</v>
      </c>
      <c r="O615" s="1404" t="s">
        <v>1036</v>
      </c>
      <c r="P615" s="1412" t="s">
        <v>678</v>
      </c>
      <c r="Q615" s="1163"/>
      <c r="R615" s="1357">
        <v>16500000</v>
      </c>
      <c r="S615" s="1357">
        <v>16500000</v>
      </c>
      <c r="T615" s="1357">
        <f>+Tabla16[[#This Row],[CDPS A 31 JULIO 2022]]-Tabla16[[#This Row],[CDP]]</f>
        <v>0</v>
      </c>
      <c r="U615" s="1357"/>
      <c r="V615" s="1357"/>
      <c r="W615" s="1357"/>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105" x14ac:dyDescent="0.25">
      <c r="A616" s="1400">
        <v>2022655</v>
      </c>
      <c r="B616" s="1401">
        <v>7658</v>
      </c>
      <c r="C616" s="1402" t="s">
        <v>679</v>
      </c>
      <c r="D616" s="1403" t="s">
        <v>692</v>
      </c>
      <c r="E616" s="1415">
        <v>80111600</v>
      </c>
      <c r="F616" s="1415" t="s">
        <v>1260</v>
      </c>
      <c r="G616" s="1406">
        <v>44743</v>
      </c>
      <c r="H616" s="1406">
        <v>44773</v>
      </c>
      <c r="I616" s="1407">
        <v>6</v>
      </c>
      <c r="J616" s="1407" t="s">
        <v>673</v>
      </c>
      <c r="K616" s="1408" t="s">
        <v>674</v>
      </c>
      <c r="L616" s="1409" t="s">
        <v>675</v>
      </c>
      <c r="M616" s="1410">
        <f t="shared" si="0"/>
        <v>13750000</v>
      </c>
      <c r="N616" s="1411" t="s">
        <v>1035</v>
      </c>
      <c r="O616" s="1404" t="s">
        <v>1036</v>
      </c>
      <c r="P616" s="1412" t="s">
        <v>678</v>
      </c>
      <c r="Q616" s="1163"/>
      <c r="R616" s="1357">
        <v>16500000</v>
      </c>
      <c r="S616" s="1357">
        <v>16500000</v>
      </c>
      <c r="T616" s="1357">
        <f>+Tabla16[[#This Row],[CDPS A 31 JULIO 2022]]-Tabla16[[#This Row],[CDP]]</f>
        <v>0</v>
      </c>
      <c r="U616" s="1357"/>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105" x14ac:dyDescent="0.25">
      <c r="A617" s="1400">
        <v>2022656</v>
      </c>
      <c r="B617" s="1401">
        <v>7658</v>
      </c>
      <c r="C617" s="1402" t="s">
        <v>679</v>
      </c>
      <c r="D617" s="1403" t="s">
        <v>692</v>
      </c>
      <c r="E617" s="1415">
        <v>80111600</v>
      </c>
      <c r="F617" s="1415" t="s">
        <v>1260</v>
      </c>
      <c r="G617" s="1406">
        <v>44743</v>
      </c>
      <c r="H617" s="1406">
        <v>44773</v>
      </c>
      <c r="I617" s="1407">
        <v>6</v>
      </c>
      <c r="J617" s="1407" t="s">
        <v>673</v>
      </c>
      <c r="K617" s="1408" t="s">
        <v>674</v>
      </c>
      <c r="L617" s="1409" t="s">
        <v>675</v>
      </c>
      <c r="M617" s="1410">
        <f t="shared" si="0"/>
        <v>13750000</v>
      </c>
      <c r="N617" s="1411" t="s">
        <v>1035</v>
      </c>
      <c r="O617" s="1404" t="s">
        <v>1036</v>
      </c>
      <c r="P617" s="1412" t="s">
        <v>678</v>
      </c>
      <c r="Q617" s="1163"/>
      <c r="R617" s="1357">
        <v>16500000</v>
      </c>
      <c r="S617" s="1357">
        <v>16500000</v>
      </c>
      <c r="T617" s="1357">
        <f>+Tabla16[[#This Row],[CDPS A 31 JULIO 2022]]-Tabla16[[#This Row],[CDP]]</f>
        <v>0</v>
      </c>
      <c r="U617" s="1357"/>
      <c r="V617" s="1357"/>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105" x14ac:dyDescent="0.25">
      <c r="A618" s="1400">
        <v>2022657</v>
      </c>
      <c r="B618" s="1401">
        <v>7658</v>
      </c>
      <c r="C618" s="1402" t="s">
        <v>679</v>
      </c>
      <c r="D618" s="1403" t="s">
        <v>692</v>
      </c>
      <c r="E618" s="1415">
        <v>80111600</v>
      </c>
      <c r="F618" s="1415" t="s">
        <v>1260</v>
      </c>
      <c r="G618" s="1406">
        <v>44743</v>
      </c>
      <c r="H618" s="1406">
        <v>44773</v>
      </c>
      <c r="I618" s="1407">
        <v>6</v>
      </c>
      <c r="J618" s="1407" t="s">
        <v>673</v>
      </c>
      <c r="K618" s="1408" t="s">
        <v>674</v>
      </c>
      <c r="L618" s="1409" t="s">
        <v>675</v>
      </c>
      <c r="M618" s="1410">
        <f t="shared" si="0"/>
        <v>13750000</v>
      </c>
      <c r="N618" s="1411" t="s">
        <v>1035</v>
      </c>
      <c r="O618" s="1404" t="s">
        <v>1036</v>
      </c>
      <c r="P618" s="1412" t="s">
        <v>678</v>
      </c>
      <c r="Q618" s="1163"/>
      <c r="R618" s="1357">
        <v>16500000</v>
      </c>
      <c r="S618" s="1357">
        <v>16500000</v>
      </c>
      <c r="T618" s="1357">
        <f>+Tabla16[[#This Row],[CDPS A 31 JULIO 2022]]-Tabla16[[#This Row],[CDP]]</f>
        <v>0</v>
      </c>
      <c r="U618" s="1357"/>
      <c r="V618" s="1357"/>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105" x14ac:dyDescent="0.25">
      <c r="A619" s="1355">
        <v>2022658</v>
      </c>
      <c r="B619" s="1172">
        <v>7658</v>
      </c>
      <c r="C619" s="1356" t="s">
        <v>679</v>
      </c>
      <c r="D619" s="1190" t="s">
        <v>692</v>
      </c>
      <c r="E619" s="1202">
        <v>80111600</v>
      </c>
      <c r="F619" s="1202" t="s">
        <v>1260</v>
      </c>
      <c r="G619" s="1381">
        <v>44743</v>
      </c>
      <c r="H619" s="1381">
        <v>44773</v>
      </c>
      <c r="I619" s="1176">
        <v>6</v>
      </c>
      <c r="J619" s="1176" t="s">
        <v>673</v>
      </c>
      <c r="K619" s="1177" t="s">
        <v>674</v>
      </c>
      <c r="L619" s="1178" t="s">
        <v>675</v>
      </c>
      <c r="M619" s="1179">
        <f>2750000*6</f>
        <v>16500000</v>
      </c>
      <c r="N619" s="1382" t="s">
        <v>1035</v>
      </c>
      <c r="O619" s="1174" t="s">
        <v>1036</v>
      </c>
      <c r="P619" s="1207" t="s">
        <v>678</v>
      </c>
      <c r="Q619" s="1163"/>
      <c r="R619" s="1357">
        <v>16500000</v>
      </c>
      <c r="S619" s="1357">
        <v>16500000</v>
      </c>
      <c r="T619" s="1357">
        <f>+Tabla16[[#This Row],[CDPS A 31 JULIO 2022]]-Tabla16[[#This Row],[CDP]]</f>
        <v>0</v>
      </c>
      <c r="U619" s="1357"/>
      <c r="V619" s="1357"/>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105" x14ac:dyDescent="0.25">
      <c r="A620" s="1355">
        <v>2022659</v>
      </c>
      <c r="B620" s="1172">
        <v>7658</v>
      </c>
      <c r="C620" s="1356" t="s">
        <v>679</v>
      </c>
      <c r="D620" s="1190" t="s">
        <v>692</v>
      </c>
      <c r="E620" s="1202">
        <v>80111600</v>
      </c>
      <c r="F620" s="1190" t="s">
        <v>1261</v>
      </c>
      <c r="G620" s="1381">
        <v>44682</v>
      </c>
      <c r="H620" s="1381">
        <v>44712</v>
      </c>
      <c r="I620" s="1176">
        <v>10</v>
      </c>
      <c r="J620" s="1176" t="s">
        <v>673</v>
      </c>
      <c r="K620" s="1177" t="s">
        <v>674</v>
      </c>
      <c r="L620" s="1178" t="s">
        <v>675</v>
      </c>
      <c r="M620" s="1179">
        <f>(4850000*2)-6305000</f>
        <v>3395000</v>
      </c>
      <c r="N620" s="1382" t="s">
        <v>1035</v>
      </c>
      <c r="O620" s="1174" t="s">
        <v>1036</v>
      </c>
      <c r="P620" s="1207" t="s">
        <v>748</v>
      </c>
      <c r="Q620" s="1163" t="s">
        <v>1262</v>
      </c>
      <c r="R620" s="1357">
        <v>9700000</v>
      </c>
      <c r="S620" s="1357">
        <v>9700000</v>
      </c>
      <c r="T620" s="1357">
        <f>+Tabla16[[#This Row],[CDPS A 31 JULIO 2022]]-Tabla16[[#This Row],[CDP]]</f>
        <v>0</v>
      </c>
      <c r="U620" s="1357">
        <v>9700000</v>
      </c>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30" x14ac:dyDescent="0.25">
      <c r="A621" s="1355">
        <v>2022661</v>
      </c>
      <c r="B621" s="1172" t="s">
        <v>459</v>
      </c>
      <c r="C621" s="1356"/>
      <c r="D621" s="1190" t="s">
        <v>689</v>
      </c>
      <c r="E621" s="1174" t="s">
        <v>97</v>
      </c>
      <c r="F621" s="1380" t="s">
        <v>1263</v>
      </c>
      <c r="G621" s="1381">
        <v>44722</v>
      </c>
      <c r="H621" s="1381">
        <v>44697</v>
      </c>
      <c r="I621" s="1176">
        <v>2</v>
      </c>
      <c r="J621" s="1176" t="s">
        <v>645</v>
      </c>
      <c r="K621" s="1177" t="s">
        <v>674</v>
      </c>
      <c r="L621" s="1178" t="s">
        <v>97</v>
      </c>
      <c r="M621" s="1179">
        <f>225179326+82565753+110037631+22517933+45035865+10058010</f>
        <v>495394518</v>
      </c>
      <c r="N621" s="1382"/>
      <c r="O621" s="1174"/>
      <c r="P621" s="1207" t="s">
        <v>757</v>
      </c>
      <c r="Q621" s="1207"/>
      <c r="R621" s="1357"/>
      <c r="S621" s="1357"/>
      <c r="T621" s="1357">
        <f>+Tabla16[[#This Row],[CDPS A 31 JULIO 2022]]-Tabla16[[#This Row],[CDP]]</f>
        <v>0</v>
      </c>
      <c r="U621" s="1357"/>
      <c r="V621" s="1357"/>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90" x14ac:dyDescent="0.25">
      <c r="A622" s="1355">
        <v>2022662</v>
      </c>
      <c r="B622" s="1172" t="s">
        <v>459</v>
      </c>
      <c r="C622" s="1356"/>
      <c r="D622" s="1190" t="s">
        <v>689</v>
      </c>
      <c r="E622" s="1202" t="s">
        <v>1264</v>
      </c>
      <c r="F622" s="1190" t="s">
        <v>1265</v>
      </c>
      <c r="G622" s="1377">
        <v>44774</v>
      </c>
      <c r="H622" s="1377">
        <v>44742</v>
      </c>
      <c r="I622" s="1176">
        <v>8</v>
      </c>
      <c r="J622" s="1176" t="s">
        <v>699</v>
      </c>
      <c r="K622" s="1177" t="s">
        <v>674</v>
      </c>
      <c r="L622" s="1178"/>
      <c r="M622" s="1179">
        <v>41115467</v>
      </c>
      <c r="N622" s="1382"/>
      <c r="O622" s="1174"/>
      <c r="P622" s="1207" t="s">
        <v>678</v>
      </c>
      <c r="Q622" s="1207"/>
      <c r="R622" s="1357"/>
      <c r="S622" s="1357"/>
      <c r="T622" s="1357">
        <f>+Tabla16[[#This Row],[CDPS A 31 JULIO 2022]]-Tabla16[[#This Row],[CDP]]</f>
        <v>0</v>
      </c>
      <c r="U622" s="1357"/>
      <c r="V622" s="1357"/>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150" x14ac:dyDescent="0.25">
      <c r="A623" s="1355">
        <v>2022663</v>
      </c>
      <c r="B623" s="1172">
        <v>7658</v>
      </c>
      <c r="C623" s="1356" t="s">
        <v>679</v>
      </c>
      <c r="D623" s="1190" t="s">
        <v>689</v>
      </c>
      <c r="E623" s="1202" t="s">
        <v>1266</v>
      </c>
      <c r="F623" s="1378" t="s">
        <v>1267</v>
      </c>
      <c r="G623" s="1377">
        <v>44795</v>
      </c>
      <c r="H623" s="1377">
        <v>44711</v>
      </c>
      <c r="I623" s="1176">
        <v>6</v>
      </c>
      <c r="J623" s="1176" t="s">
        <v>696</v>
      </c>
      <c r="K623" s="1177" t="s">
        <v>674</v>
      </c>
      <c r="L623" s="1178" t="s">
        <v>994</v>
      </c>
      <c r="M623" s="1179">
        <f>500000000-200000000-79859613</f>
        <v>220140387</v>
      </c>
      <c r="N623" s="1382" t="s">
        <v>931</v>
      </c>
      <c r="O623" s="1174" t="s">
        <v>915</v>
      </c>
      <c r="P623" s="1163" t="s">
        <v>678</v>
      </c>
      <c r="Q623" s="1207"/>
      <c r="R623" s="1269">
        <v>0</v>
      </c>
      <c r="S623" s="1357"/>
      <c r="T623" s="1357">
        <f>+Tabla16[[#This Row],[CDPS A 31 JULIO 2022]]-Tabla16[[#This Row],[CDP]]</f>
        <v>0</v>
      </c>
      <c r="U623" s="1357"/>
      <c r="V623" s="1357"/>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135" x14ac:dyDescent="0.25">
      <c r="A624" s="1355">
        <v>2022664</v>
      </c>
      <c r="B624" s="1172">
        <v>7658</v>
      </c>
      <c r="C624" s="1356" t="s">
        <v>679</v>
      </c>
      <c r="D624" s="1190" t="s">
        <v>689</v>
      </c>
      <c r="E624" s="1202" t="s">
        <v>1268</v>
      </c>
      <c r="F624" s="1378" t="s">
        <v>1269</v>
      </c>
      <c r="G624" s="1377">
        <v>44732</v>
      </c>
      <c r="H624" s="1377">
        <v>44711</v>
      </c>
      <c r="I624" s="1176">
        <v>2</v>
      </c>
      <c r="J624" s="1176" t="s">
        <v>699</v>
      </c>
      <c r="K624" s="1177" t="s">
        <v>674</v>
      </c>
      <c r="L624" s="1178" t="s">
        <v>994</v>
      </c>
      <c r="M624" s="1179">
        <v>14000000</v>
      </c>
      <c r="N624" s="1382" t="s">
        <v>931</v>
      </c>
      <c r="O624" s="1174" t="s">
        <v>915</v>
      </c>
      <c r="P624" s="1163" t="s">
        <v>678</v>
      </c>
      <c r="Q624" s="1207"/>
      <c r="R624" s="1357">
        <v>14000000</v>
      </c>
      <c r="S624" s="1357">
        <v>14000000</v>
      </c>
      <c r="T624" s="1357">
        <f>+Tabla16[[#This Row],[CDPS A 31 JULIO 2022]]-Tabla16[[#This Row],[CDP]]</f>
        <v>0</v>
      </c>
      <c r="U624" s="1357"/>
      <c r="V624" s="1357"/>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105" x14ac:dyDescent="0.25">
      <c r="A625" s="1355">
        <v>2022665</v>
      </c>
      <c r="B625" s="1172">
        <v>7658</v>
      </c>
      <c r="C625" s="1356" t="s">
        <v>679</v>
      </c>
      <c r="D625" s="1190" t="s">
        <v>692</v>
      </c>
      <c r="E625" s="1202" t="s">
        <v>1270</v>
      </c>
      <c r="F625" s="1190" t="s">
        <v>1271</v>
      </c>
      <c r="G625" s="1377">
        <v>44748</v>
      </c>
      <c r="H625" s="1377">
        <v>44774</v>
      </c>
      <c r="I625" s="1176">
        <v>1</v>
      </c>
      <c r="J625" s="1176" t="s">
        <v>699</v>
      </c>
      <c r="K625" s="1177" t="s">
        <v>674</v>
      </c>
      <c r="L625" s="1178" t="s">
        <v>675</v>
      </c>
      <c r="M625" s="1179">
        <f>45000000-2280785</f>
        <v>42719215</v>
      </c>
      <c r="N625" s="1383" t="s">
        <v>1035</v>
      </c>
      <c r="O625" s="1202" t="s">
        <v>1036</v>
      </c>
      <c r="P625" s="1163" t="s">
        <v>678</v>
      </c>
      <c r="Q625" s="1207"/>
      <c r="R625" s="1357">
        <v>42719215</v>
      </c>
      <c r="S625" s="1357">
        <v>45000000</v>
      </c>
      <c r="T625" s="1357">
        <f>+Tabla16[[#This Row],[CDPS A 31 JULIO 2022]]-Tabla16[[#This Row],[CDP]]</f>
        <v>-2280785</v>
      </c>
      <c r="U625" s="1357"/>
      <c r="V625" s="1357"/>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135" x14ac:dyDescent="0.25">
      <c r="A626" s="1355">
        <v>2022666</v>
      </c>
      <c r="B626" s="1172">
        <v>7658</v>
      </c>
      <c r="C626" s="1356" t="s">
        <v>679</v>
      </c>
      <c r="D626" s="1190" t="s">
        <v>698</v>
      </c>
      <c r="E626" s="1174">
        <v>50192700</v>
      </c>
      <c r="F626" s="1380" t="s">
        <v>1272</v>
      </c>
      <c r="G626" s="1381">
        <v>44722</v>
      </c>
      <c r="H626" s="1381">
        <v>44722</v>
      </c>
      <c r="I626" s="1176">
        <v>3</v>
      </c>
      <c r="J626" s="1176" t="s">
        <v>699</v>
      </c>
      <c r="K626" s="1177" t="s">
        <v>674</v>
      </c>
      <c r="L626" s="1178" t="s">
        <v>1091</v>
      </c>
      <c r="M626" s="1179">
        <v>10000000</v>
      </c>
      <c r="N626" s="1382" t="s">
        <v>772</v>
      </c>
      <c r="O626" s="1174" t="s">
        <v>915</v>
      </c>
      <c r="P626" s="1163" t="s">
        <v>678</v>
      </c>
      <c r="Q626" s="1207"/>
      <c r="R626" s="1357">
        <v>10000000</v>
      </c>
      <c r="S626" s="1357">
        <v>10000000</v>
      </c>
      <c r="T626" s="1357">
        <f>+Tabla16[[#This Row],[CDPS A 31 JULIO 2022]]-Tabla16[[#This Row],[CDP]]</f>
        <v>0</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135" x14ac:dyDescent="0.25">
      <c r="A627" s="1355">
        <v>2022667</v>
      </c>
      <c r="B627" s="1172">
        <v>7658</v>
      </c>
      <c r="C627" s="1356" t="s">
        <v>679</v>
      </c>
      <c r="D627" s="1190" t="s">
        <v>698</v>
      </c>
      <c r="E627" s="1174">
        <v>80111600</v>
      </c>
      <c r="F627" s="1380" t="s">
        <v>1273</v>
      </c>
      <c r="G627" s="1381">
        <v>44743</v>
      </c>
      <c r="H627" s="1381">
        <v>44757</v>
      </c>
      <c r="I627" s="1176">
        <v>6</v>
      </c>
      <c r="J627" s="1176" t="s">
        <v>673</v>
      </c>
      <c r="K627" s="1177" t="s">
        <v>674</v>
      </c>
      <c r="L627" s="1178" t="s">
        <v>675</v>
      </c>
      <c r="M627" s="1179">
        <v>15400000</v>
      </c>
      <c r="N627" s="1382" t="s">
        <v>775</v>
      </c>
      <c r="O627" s="1174" t="s">
        <v>915</v>
      </c>
      <c r="P627" s="1163" t="s">
        <v>678</v>
      </c>
      <c r="Q627" s="1207"/>
      <c r="R627" s="1357">
        <v>15400000</v>
      </c>
      <c r="S627" s="1357"/>
      <c r="T627" s="1357">
        <f>+Tabla16[[#This Row],[CDPS A 31 JULIO 2022]]-Tabla16[[#This Row],[CDP]]</f>
        <v>15400000</v>
      </c>
      <c r="U627" s="1357"/>
      <c r="V627" s="1357"/>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105" x14ac:dyDescent="0.25">
      <c r="A628" s="1355">
        <v>2022668</v>
      </c>
      <c r="B628" s="1172">
        <v>7637</v>
      </c>
      <c r="C628" s="1356" t="s">
        <v>643</v>
      </c>
      <c r="D628" s="1190" t="s">
        <v>671</v>
      </c>
      <c r="E628" s="1202">
        <v>81112401</v>
      </c>
      <c r="F628" s="1202" t="s">
        <v>1245</v>
      </c>
      <c r="G628" s="1377">
        <v>44713</v>
      </c>
      <c r="H628" s="1377">
        <v>44727</v>
      </c>
      <c r="I628" s="1176">
        <v>1</v>
      </c>
      <c r="J628" s="1176" t="s">
        <v>720</v>
      </c>
      <c r="K628" s="1177" t="s">
        <v>674</v>
      </c>
      <c r="L628" s="1178" t="s">
        <v>729</v>
      </c>
      <c r="M628" s="1179">
        <v>13361620</v>
      </c>
      <c r="N628" s="1189" t="s">
        <v>676</v>
      </c>
      <c r="O628" s="1174" t="s">
        <v>677</v>
      </c>
      <c r="P628" s="1163" t="s">
        <v>748</v>
      </c>
      <c r="Q628" s="1207"/>
      <c r="R628" s="1269">
        <v>13361620</v>
      </c>
      <c r="S628" s="1357">
        <v>13361620</v>
      </c>
      <c r="T628" s="1357">
        <f>+Tabla16[[#This Row],[CDPS A 31 JULIO 2022]]-Tabla16[[#This Row],[CDP]]</f>
        <v>0</v>
      </c>
      <c r="U628" s="1357"/>
      <c r="V628" s="1357"/>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105" x14ac:dyDescent="0.25">
      <c r="A629" s="1355">
        <v>2022669</v>
      </c>
      <c r="B629" s="1172">
        <v>7637</v>
      </c>
      <c r="C629" s="1356" t="s">
        <v>643</v>
      </c>
      <c r="D629" s="1190" t="s">
        <v>671</v>
      </c>
      <c r="E629" s="1174">
        <v>81112401</v>
      </c>
      <c r="F629" s="1380" t="s">
        <v>1274</v>
      </c>
      <c r="G629" s="1381">
        <v>44713</v>
      </c>
      <c r="H629" s="1381">
        <v>44727</v>
      </c>
      <c r="I629" s="1176">
        <v>1</v>
      </c>
      <c r="J629" s="1176" t="s">
        <v>720</v>
      </c>
      <c r="K629" s="1177" t="s">
        <v>674</v>
      </c>
      <c r="L629" s="1178" t="s">
        <v>729</v>
      </c>
      <c r="M629" s="1179">
        <v>945888</v>
      </c>
      <c r="N629" s="1189" t="s">
        <v>676</v>
      </c>
      <c r="O629" s="1174" t="s">
        <v>677</v>
      </c>
      <c r="P629" s="1163" t="s">
        <v>748</v>
      </c>
      <c r="Q629" s="1207"/>
      <c r="R629" s="1269">
        <v>945888</v>
      </c>
      <c r="S629" s="1357">
        <v>945888</v>
      </c>
      <c r="T629" s="1357">
        <f>+Tabla16[[#This Row],[CDPS A 31 JULIO 2022]]-Tabla16[[#This Row],[CDP]]</f>
        <v>0</v>
      </c>
      <c r="U629" s="1357"/>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105" x14ac:dyDescent="0.25">
      <c r="A630" s="1355">
        <v>2022670</v>
      </c>
      <c r="B630" s="1172">
        <v>7637</v>
      </c>
      <c r="C630" s="1356" t="s">
        <v>643</v>
      </c>
      <c r="D630" s="1173" t="s">
        <v>671</v>
      </c>
      <c r="E630" s="1174" t="s">
        <v>1275</v>
      </c>
      <c r="F630" s="1380" t="s">
        <v>1276</v>
      </c>
      <c r="G630" s="1381">
        <v>44774</v>
      </c>
      <c r="H630" s="1381">
        <v>44804</v>
      </c>
      <c r="I630" s="1176">
        <v>4</v>
      </c>
      <c r="J630" s="1176" t="s">
        <v>673</v>
      </c>
      <c r="K630" s="1177" t="s">
        <v>674</v>
      </c>
      <c r="L630" s="1178" t="s">
        <v>729</v>
      </c>
      <c r="M630" s="1179">
        <f>1281233+848867</f>
        <v>2130100</v>
      </c>
      <c r="N630" s="1189" t="s">
        <v>676</v>
      </c>
      <c r="O630" s="1174" t="s">
        <v>677</v>
      </c>
      <c r="P630" s="1163" t="s">
        <v>757</v>
      </c>
      <c r="Q630" s="1207"/>
      <c r="R630" s="1269">
        <v>2130100</v>
      </c>
      <c r="S630" s="1357">
        <v>1281233</v>
      </c>
      <c r="T630" s="1357">
        <f>+Tabla16[[#This Row],[CDPS A 31 JULIO 2022]]-Tabla16[[#This Row],[CDP]]</f>
        <v>848867</v>
      </c>
      <c r="U630" s="1357"/>
      <c r="V630" s="1357"/>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105" x14ac:dyDescent="0.25">
      <c r="A631" s="1355">
        <v>2022671</v>
      </c>
      <c r="B631" s="1172">
        <v>7637</v>
      </c>
      <c r="C631" s="1356" t="s">
        <v>643</v>
      </c>
      <c r="D631" s="1173" t="s">
        <v>671</v>
      </c>
      <c r="E631" s="1202">
        <v>40101701</v>
      </c>
      <c r="F631" s="1202" t="s">
        <v>1277</v>
      </c>
      <c r="G631" s="1377">
        <v>44727</v>
      </c>
      <c r="H631" s="1377">
        <v>44757</v>
      </c>
      <c r="I631" s="1176">
        <v>2</v>
      </c>
      <c r="J631" s="1176" t="s">
        <v>720</v>
      </c>
      <c r="K631" s="1177" t="s">
        <v>674</v>
      </c>
      <c r="L631" s="1268" t="s">
        <v>729</v>
      </c>
      <c r="M631" s="1179">
        <v>5000000</v>
      </c>
      <c r="N631" s="1189" t="s">
        <v>676</v>
      </c>
      <c r="O631" s="1174" t="s">
        <v>677</v>
      </c>
      <c r="P631" s="1163" t="s">
        <v>678</v>
      </c>
      <c r="Q631" s="1207"/>
      <c r="R631" s="1269">
        <v>5000000</v>
      </c>
      <c r="S631" s="1357">
        <v>5000000</v>
      </c>
      <c r="T631" s="1357">
        <f>+Tabla16[[#This Row],[CDPS A 31 JULIO 2022]]-Tabla16[[#This Row],[CDP]]</f>
        <v>0</v>
      </c>
      <c r="U631" s="1357"/>
      <c r="V631" s="1357"/>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105" x14ac:dyDescent="0.25">
      <c r="A632" s="1355">
        <v>2022672</v>
      </c>
      <c r="B632" s="1172">
        <v>7658</v>
      </c>
      <c r="C632" s="1356" t="s">
        <v>679</v>
      </c>
      <c r="D632" s="1190" t="s">
        <v>692</v>
      </c>
      <c r="E632" s="1202">
        <v>80111600</v>
      </c>
      <c r="F632" s="1190" t="s">
        <v>1278</v>
      </c>
      <c r="G632" s="1377">
        <v>44743</v>
      </c>
      <c r="H632" s="1377">
        <v>44926</v>
      </c>
      <c r="I632" s="1176">
        <v>5</v>
      </c>
      <c r="J632" s="1176" t="s">
        <v>673</v>
      </c>
      <c r="K632" s="1177" t="s">
        <v>674</v>
      </c>
      <c r="L632" s="1178" t="s">
        <v>675</v>
      </c>
      <c r="M632" s="1179">
        <f>8000000*5</f>
        <v>40000000</v>
      </c>
      <c r="N632" s="1383" t="s">
        <v>1035</v>
      </c>
      <c r="O632" s="1202" t="s">
        <v>1036</v>
      </c>
      <c r="P632" s="1163" t="s">
        <v>678</v>
      </c>
      <c r="Q632" s="1207" t="s">
        <v>1279</v>
      </c>
      <c r="R632" s="1357">
        <v>40000000</v>
      </c>
      <c r="S632" s="1357"/>
      <c r="T632" s="1357">
        <f>+Tabla16[[#This Row],[CDPS A 31 JULIO 2022]]-Tabla16[[#This Row],[CDP]]</f>
        <v>40000000</v>
      </c>
      <c r="U632" s="1357"/>
      <c r="V632" s="1357"/>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105" x14ac:dyDescent="0.25">
      <c r="A633" s="1355">
        <v>2022673</v>
      </c>
      <c r="B633" s="1172">
        <v>7637</v>
      </c>
      <c r="C633" s="1356" t="s">
        <v>643</v>
      </c>
      <c r="D633" s="1190" t="s">
        <v>671</v>
      </c>
      <c r="E633" s="1202">
        <v>80111600</v>
      </c>
      <c r="F633" s="1202" t="s">
        <v>1280</v>
      </c>
      <c r="G633" s="1377">
        <v>44743</v>
      </c>
      <c r="H633" s="1377">
        <v>44773</v>
      </c>
      <c r="I633" s="1176">
        <v>3</v>
      </c>
      <c r="J633" s="1176" t="s">
        <v>673</v>
      </c>
      <c r="K633" s="1177" t="s">
        <v>674</v>
      </c>
      <c r="L633" s="1178" t="s">
        <v>675</v>
      </c>
      <c r="M633" s="1179">
        <v>20400000</v>
      </c>
      <c r="N633" s="1189" t="s">
        <v>676</v>
      </c>
      <c r="O633" s="1174" t="s">
        <v>677</v>
      </c>
      <c r="P633" s="1163" t="s">
        <v>757</v>
      </c>
      <c r="Q633" s="1207"/>
      <c r="R633" s="1269">
        <v>20400000</v>
      </c>
      <c r="S633" s="1357"/>
      <c r="T633" s="1357">
        <f>+Tabla16[[#This Row],[CDPS A 31 JULIO 2022]]-Tabla16[[#This Row],[CDP]]</f>
        <v>20400000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105" x14ac:dyDescent="0.25">
      <c r="A634" s="1355">
        <v>2022674</v>
      </c>
      <c r="B634" s="1172">
        <v>7637</v>
      </c>
      <c r="C634" s="1356" t="s">
        <v>643</v>
      </c>
      <c r="D634" s="1190" t="s">
        <v>671</v>
      </c>
      <c r="E634" s="1202">
        <v>80111600</v>
      </c>
      <c r="F634" s="1202" t="s">
        <v>1281</v>
      </c>
      <c r="G634" s="1377">
        <v>44743</v>
      </c>
      <c r="H634" s="1377">
        <v>44773</v>
      </c>
      <c r="I634" s="1176">
        <v>3</v>
      </c>
      <c r="J634" s="1176" t="s">
        <v>673</v>
      </c>
      <c r="K634" s="1177" t="s">
        <v>674</v>
      </c>
      <c r="L634" s="1178" t="s">
        <v>675</v>
      </c>
      <c r="M634" s="1179">
        <v>15000000</v>
      </c>
      <c r="N634" s="1382" t="s">
        <v>704</v>
      </c>
      <c r="O634" s="1174" t="s">
        <v>677</v>
      </c>
      <c r="P634" s="1163" t="s">
        <v>757</v>
      </c>
      <c r="Q634" s="1207"/>
      <c r="R634" s="1269">
        <v>15000000</v>
      </c>
      <c r="S634" s="1357"/>
      <c r="T634" s="1357">
        <f>+Tabla16[[#This Row],[CDPS A 31 JULIO 2022]]-Tabla16[[#This Row],[CDP]]</f>
        <v>15000000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105" x14ac:dyDescent="0.25">
      <c r="A635" s="1355">
        <v>2022675</v>
      </c>
      <c r="B635" s="1172">
        <v>7637</v>
      </c>
      <c r="C635" s="1356" t="s">
        <v>643</v>
      </c>
      <c r="D635" s="1190" t="s">
        <v>671</v>
      </c>
      <c r="E635" s="1202">
        <v>72151600</v>
      </c>
      <c r="F635" s="1202" t="s">
        <v>1282</v>
      </c>
      <c r="G635" s="1377">
        <v>44819</v>
      </c>
      <c r="H635" s="1377">
        <v>44848</v>
      </c>
      <c r="I635" s="1176">
        <v>2</v>
      </c>
      <c r="J635" s="1176" t="s">
        <v>673</v>
      </c>
      <c r="K635" s="1177" t="s">
        <v>674</v>
      </c>
      <c r="L635" s="1178" t="s">
        <v>735</v>
      </c>
      <c r="M635" s="1179">
        <v>29100000</v>
      </c>
      <c r="N635" s="1189" t="s">
        <v>676</v>
      </c>
      <c r="O635" s="1174" t="s">
        <v>677</v>
      </c>
      <c r="P635" s="1163" t="s">
        <v>678</v>
      </c>
      <c r="Q635" s="1207"/>
      <c r="R635" s="1269">
        <v>0</v>
      </c>
      <c r="S635" s="1357"/>
      <c r="T635" s="1357">
        <f>+Tabla16[[#This Row],[CDPS A 31 JULIO 2022]]-Tabla16[[#This Row],[CDP]]</f>
        <v>0</v>
      </c>
      <c r="U635" s="1357"/>
      <c r="V635" s="1357"/>
      <c r="W635" s="1357"/>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105" x14ac:dyDescent="0.25">
      <c r="A636" s="1355">
        <v>2022676</v>
      </c>
      <c r="B636" s="1172">
        <v>7637</v>
      </c>
      <c r="C636" s="1356" t="s">
        <v>643</v>
      </c>
      <c r="D636" s="1190" t="s">
        <v>671</v>
      </c>
      <c r="E636" s="1202" t="s">
        <v>1283</v>
      </c>
      <c r="F636" s="1202" t="s">
        <v>1284</v>
      </c>
      <c r="G636" s="1377">
        <v>44732</v>
      </c>
      <c r="H636" s="1377">
        <v>44752</v>
      </c>
      <c r="I636" s="1176">
        <v>4</v>
      </c>
      <c r="J636" s="1176" t="s">
        <v>696</v>
      </c>
      <c r="K636" s="1177" t="s">
        <v>674</v>
      </c>
      <c r="L636" s="1178" t="s">
        <v>735</v>
      </c>
      <c r="M636" s="1179">
        <v>23150000</v>
      </c>
      <c r="N636" s="1189" t="s">
        <v>676</v>
      </c>
      <c r="O636" s="1174" t="s">
        <v>677</v>
      </c>
      <c r="P636" s="1163" t="s">
        <v>757</v>
      </c>
      <c r="Q636" s="1207"/>
      <c r="R636" s="1269">
        <v>23150000</v>
      </c>
      <c r="S636" s="1357"/>
      <c r="T636" s="1357">
        <f>+Tabla16[[#This Row],[CDPS A 31 JULIO 2022]]-Tabla16[[#This Row],[CDP]]</f>
        <v>23150000</v>
      </c>
      <c r="U636" s="1357"/>
      <c r="V636" s="1357"/>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105" x14ac:dyDescent="0.25">
      <c r="A637" s="1400">
        <v>2022677</v>
      </c>
      <c r="B637" s="1401">
        <v>7637</v>
      </c>
      <c r="C637" s="1402" t="s">
        <v>643</v>
      </c>
      <c r="D637" s="1403" t="s">
        <v>671</v>
      </c>
      <c r="E637" s="1415" t="s">
        <v>1285</v>
      </c>
      <c r="F637" s="1435" t="s">
        <v>1286</v>
      </c>
      <c r="G637" s="1416">
        <v>44839</v>
      </c>
      <c r="H637" s="1416">
        <v>44869</v>
      </c>
      <c r="I637" s="1407">
        <v>12</v>
      </c>
      <c r="J637" s="1407" t="s">
        <v>683</v>
      </c>
      <c r="K637" s="1408" t="s">
        <v>674</v>
      </c>
      <c r="L637" s="1409" t="s">
        <v>735</v>
      </c>
      <c r="M637" s="1410">
        <f>120000000+10000000+55735449+12095659+7332250+146454551+1433712-35000000-10750000-230901243+24300000</f>
        <v>100700378</v>
      </c>
      <c r="N637" s="1414" t="s">
        <v>676</v>
      </c>
      <c r="O637" s="1404" t="s">
        <v>677</v>
      </c>
      <c r="P637" s="1413" t="s">
        <v>678</v>
      </c>
      <c r="Q637" s="1207"/>
      <c r="R637" s="1269">
        <v>0</v>
      </c>
      <c r="S637" s="1357"/>
      <c r="T637" s="1357">
        <f>+Tabla16[[#This Row],[CDPS A 31 JULIO 2022]]-Tabla16[[#This Row],[CDP]]</f>
        <v>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ht="105" x14ac:dyDescent="0.25">
      <c r="A638" s="1400">
        <v>2022678</v>
      </c>
      <c r="B638" s="1401">
        <v>7655</v>
      </c>
      <c r="C638" s="1402" t="s">
        <v>668</v>
      </c>
      <c r="D638" s="1403" t="s">
        <v>695</v>
      </c>
      <c r="E638" s="1415">
        <v>80111600</v>
      </c>
      <c r="F638" s="1415" t="s">
        <v>861</v>
      </c>
      <c r="G638" s="1416">
        <v>44725</v>
      </c>
      <c r="H638" s="1416">
        <v>44732</v>
      </c>
      <c r="I638" s="1407">
        <v>5</v>
      </c>
      <c r="J638" s="1407" t="s">
        <v>673</v>
      </c>
      <c r="K638" s="1408" t="s">
        <v>674</v>
      </c>
      <c r="L638" s="1409" t="s">
        <v>675</v>
      </c>
      <c r="M638" s="1410">
        <f>25000000-3265000</f>
        <v>21735000</v>
      </c>
      <c r="N638" s="1417" t="s">
        <v>781</v>
      </c>
      <c r="O638" s="1415" t="s">
        <v>771</v>
      </c>
      <c r="P638" s="1413" t="s">
        <v>678</v>
      </c>
      <c r="Q638" s="1207"/>
      <c r="R638" s="1269">
        <v>25000000</v>
      </c>
      <c r="S638" s="1357"/>
      <c r="T638" s="1357">
        <f>+Tabla16[[#This Row],[CDPS A 31 JULIO 2022]]-Tabla16[[#This Row],[CDP]]</f>
        <v>25000000</v>
      </c>
      <c r="U638" s="1357"/>
      <c r="V638" s="1357"/>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c r="AZ638" s="1207"/>
      <c r="BA638" s="1207"/>
      <c r="BB638" s="1207"/>
      <c r="BC638" s="1207"/>
      <c r="BD638" s="1207"/>
      <c r="BE638" s="1207"/>
      <c r="BF638" s="1207"/>
      <c r="BG638" s="1207"/>
      <c r="BH638" s="1207"/>
      <c r="BI638" s="1207"/>
      <c r="BJ638" s="1207"/>
      <c r="BK638" s="1207"/>
      <c r="BL638" s="1207"/>
      <c r="BM638" s="1207"/>
      <c r="BN638" s="1207"/>
      <c r="BO638" s="1207"/>
      <c r="BP638" s="1207"/>
      <c r="BQ638" s="1207"/>
      <c r="BR638" s="1207"/>
      <c r="BS638" s="1207"/>
      <c r="BT638" s="1207"/>
      <c r="BU638" s="1207"/>
      <c r="BV638" s="1207"/>
      <c r="BW638" s="1207"/>
      <c r="BX638" s="1207"/>
      <c r="BY638" s="1207"/>
      <c r="BZ638" s="1207"/>
      <c r="CA638" s="1207"/>
      <c r="CB638" s="1207"/>
      <c r="CC638" s="1207"/>
      <c r="CD638" s="1207"/>
      <c r="CE638" s="1207"/>
      <c r="CF638" s="1207"/>
    </row>
    <row r="639" spans="1:84" ht="90" x14ac:dyDescent="0.25">
      <c r="A639" s="1355">
        <v>2022679</v>
      </c>
      <c r="B639" s="1172">
        <v>7658</v>
      </c>
      <c r="C639" s="1356" t="s">
        <v>679</v>
      </c>
      <c r="D639" s="1190" t="s">
        <v>695</v>
      </c>
      <c r="E639" s="1202">
        <v>80111600</v>
      </c>
      <c r="F639" s="1190" t="s">
        <v>1287</v>
      </c>
      <c r="G639" s="1377">
        <v>44725</v>
      </c>
      <c r="H639" s="1377">
        <v>44732</v>
      </c>
      <c r="I639" s="1176">
        <v>5</v>
      </c>
      <c r="J639" s="1176" t="s">
        <v>673</v>
      </c>
      <c r="K639" s="1177" t="s">
        <v>674</v>
      </c>
      <c r="L639" s="1178" t="s">
        <v>675</v>
      </c>
      <c r="M639" s="1179">
        <f>4200000*5</f>
        <v>21000000</v>
      </c>
      <c r="N639" s="1383" t="s">
        <v>765</v>
      </c>
      <c r="O639" s="1202" t="s">
        <v>764</v>
      </c>
      <c r="P639" s="1163" t="s">
        <v>678</v>
      </c>
      <c r="Q639" s="1207"/>
      <c r="R639" s="1357">
        <v>21000000</v>
      </c>
      <c r="S639" s="1357"/>
      <c r="T639" s="1357">
        <f>+Tabla16[[#This Row],[CDPS A 31 JULIO 2022]]-Tabla16[[#This Row],[CDP]]</f>
        <v>21000000</v>
      </c>
      <c r="U639" s="1357"/>
      <c r="V639" s="1357"/>
      <c r="W639" s="1357" t="s">
        <v>1061</v>
      </c>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135" x14ac:dyDescent="0.25">
      <c r="A640" s="1355">
        <v>2022681</v>
      </c>
      <c r="B640" s="1172">
        <v>7658</v>
      </c>
      <c r="C640" s="1356" t="s">
        <v>679</v>
      </c>
      <c r="D640" s="1190" t="s">
        <v>701</v>
      </c>
      <c r="E640" s="1174">
        <v>80111600</v>
      </c>
      <c r="F640" s="1380" t="s">
        <v>1288</v>
      </c>
      <c r="G640" s="1381">
        <v>44743</v>
      </c>
      <c r="H640" s="1381">
        <v>44757</v>
      </c>
      <c r="I640" s="1176">
        <v>3</v>
      </c>
      <c r="J640" s="1176" t="s">
        <v>673</v>
      </c>
      <c r="K640" s="1177" t="s">
        <v>674</v>
      </c>
      <c r="L640" s="1178" t="s">
        <v>675</v>
      </c>
      <c r="M640" s="1179">
        <f>18000000-6000000</f>
        <v>12000000</v>
      </c>
      <c r="N640" s="1382" t="s">
        <v>1006</v>
      </c>
      <c r="O640" s="1174" t="s">
        <v>915</v>
      </c>
      <c r="P640" s="1207" t="s">
        <v>678</v>
      </c>
      <c r="Q640" s="1207"/>
      <c r="R640" s="1357">
        <v>12000000</v>
      </c>
      <c r="S640" s="1357"/>
      <c r="T640" s="1357">
        <f>+Tabla16[[#This Row],[CDPS A 31 JULIO 2022]]-Tabla16[[#This Row],[CDP]]</f>
        <v>12000000</v>
      </c>
      <c r="U640" s="1357"/>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135" x14ac:dyDescent="0.25">
      <c r="A641" s="1400">
        <v>2022682</v>
      </c>
      <c r="B641" s="1401">
        <v>7658</v>
      </c>
      <c r="C641" s="1402" t="s">
        <v>679</v>
      </c>
      <c r="D641" s="1403" t="s">
        <v>701</v>
      </c>
      <c r="E641" s="1404">
        <v>80111600</v>
      </c>
      <c r="F641" s="1405" t="s">
        <v>1289</v>
      </c>
      <c r="G641" s="1406">
        <v>44778</v>
      </c>
      <c r="H641" s="1406">
        <v>44788</v>
      </c>
      <c r="I641" s="1407">
        <v>4.5</v>
      </c>
      <c r="J641" s="1407" t="s">
        <v>673</v>
      </c>
      <c r="K641" s="1408" t="s">
        <v>674</v>
      </c>
      <c r="L641" s="1409" t="s">
        <v>675</v>
      </c>
      <c r="M641" s="1410">
        <f>15075000-2250000-750000-558333-750000</f>
        <v>10766667</v>
      </c>
      <c r="N641" s="1411" t="s">
        <v>1006</v>
      </c>
      <c r="O641" s="1404" t="s">
        <v>915</v>
      </c>
      <c r="P641" s="1412" t="s">
        <v>678</v>
      </c>
      <c r="Q641" s="1207"/>
      <c r="R641" s="1357">
        <v>15075000</v>
      </c>
      <c r="S641" s="1357"/>
      <c r="T641" s="1357">
        <f>+Tabla16[[#This Row],[CDPS A 31 JULIO 2022]]-Tabla16[[#This Row],[CDP]]</f>
        <v>15075000</v>
      </c>
      <c r="U641" s="1357"/>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105" x14ac:dyDescent="0.25">
      <c r="A642" s="1355">
        <v>2022683</v>
      </c>
      <c r="B642" s="1172">
        <v>7658</v>
      </c>
      <c r="C642" s="1356" t="s">
        <v>679</v>
      </c>
      <c r="D642" s="1190" t="s">
        <v>692</v>
      </c>
      <c r="E642" s="1174">
        <v>80111600</v>
      </c>
      <c r="F642" s="1380" t="s">
        <v>1290</v>
      </c>
      <c r="G642" s="1381">
        <v>44743</v>
      </c>
      <c r="H642" s="1381">
        <v>44743</v>
      </c>
      <c r="I642" s="1176">
        <v>6</v>
      </c>
      <c r="J642" s="1176" t="s">
        <v>673</v>
      </c>
      <c r="K642" s="1177" t="s">
        <v>674</v>
      </c>
      <c r="L642" s="1178" t="s">
        <v>675</v>
      </c>
      <c r="M642" s="1179">
        <v>39000000</v>
      </c>
      <c r="N642" s="1382" t="s">
        <v>1035</v>
      </c>
      <c r="O642" s="1174" t="s">
        <v>1036</v>
      </c>
      <c r="P642" s="1163" t="s">
        <v>678</v>
      </c>
      <c r="Q642" s="1207"/>
      <c r="R642" s="1357">
        <v>39000000</v>
      </c>
      <c r="S642" s="1357"/>
      <c r="T642" s="1357">
        <f>+Tabla16[[#This Row],[CDPS A 31 JULIO 2022]]-Tabla16[[#This Row],[CDP]]</f>
        <v>39000000</v>
      </c>
      <c r="U642" s="1357"/>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105" x14ac:dyDescent="0.25">
      <c r="A643" s="1400">
        <v>2022684</v>
      </c>
      <c r="B643" s="1401">
        <v>7658</v>
      </c>
      <c r="C643" s="1402" t="s">
        <v>679</v>
      </c>
      <c r="D643" s="1403" t="s">
        <v>692</v>
      </c>
      <c r="E643" s="1404">
        <v>80111600</v>
      </c>
      <c r="F643" s="1405" t="s">
        <v>1065</v>
      </c>
      <c r="G643" s="1406">
        <v>44743</v>
      </c>
      <c r="H643" s="1406">
        <v>44743</v>
      </c>
      <c r="I643" s="1407">
        <v>6</v>
      </c>
      <c r="J643" s="1407" t="s">
        <v>673</v>
      </c>
      <c r="K643" s="1408" t="s">
        <v>674</v>
      </c>
      <c r="L643" s="1409" t="s">
        <v>675</v>
      </c>
      <c r="M643" s="1410">
        <f>16800000-2800000</f>
        <v>14000000</v>
      </c>
      <c r="N643" s="1411" t="s">
        <v>1035</v>
      </c>
      <c r="O643" s="1404" t="s">
        <v>1036</v>
      </c>
      <c r="P643" s="1413" t="s">
        <v>678</v>
      </c>
      <c r="Q643" s="1207"/>
      <c r="R643" s="1357">
        <v>14000000</v>
      </c>
      <c r="S643" s="1357"/>
      <c r="T643" s="1357">
        <f>+Tabla16[[#This Row],[CDPS A 31 JULIO 2022]]-Tabla16[[#This Row],[CDP]]</f>
        <v>14000000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105" x14ac:dyDescent="0.25">
      <c r="A644" s="1400">
        <v>2022685</v>
      </c>
      <c r="B644" s="1401">
        <v>7658</v>
      </c>
      <c r="C644" s="1402" t="s">
        <v>679</v>
      </c>
      <c r="D644" s="1403" t="s">
        <v>692</v>
      </c>
      <c r="E644" s="1404">
        <v>80111600</v>
      </c>
      <c r="F644" s="1405" t="s">
        <v>1065</v>
      </c>
      <c r="G644" s="1406">
        <v>44743</v>
      </c>
      <c r="H644" s="1406">
        <v>44743</v>
      </c>
      <c r="I644" s="1407">
        <v>6</v>
      </c>
      <c r="J644" s="1407" t="s">
        <v>673</v>
      </c>
      <c r="K644" s="1408" t="s">
        <v>674</v>
      </c>
      <c r="L644" s="1409" t="s">
        <v>675</v>
      </c>
      <c r="M644" s="1410">
        <f>16800000-2800000</f>
        <v>14000000</v>
      </c>
      <c r="N644" s="1411" t="s">
        <v>1035</v>
      </c>
      <c r="O644" s="1404" t="s">
        <v>1036</v>
      </c>
      <c r="P644" s="1413" t="s">
        <v>678</v>
      </c>
      <c r="Q644" s="1207"/>
      <c r="R644" s="1357">
        <v>14000000</v>
      </c>
      <c r="S644" s="1357"/>
      <c r="T644" s="1357">
        <f>+Tabla16[[#This Row],[CDPS A 31 JULIO 2022]]-Tabla16[[#This Row],[CDP]]</f>
        <v>14000000</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105" x14ac:dyDescent="0.25">
      <c r="A645" s="1400">
        <v>2022686</v>
      </c>
      <c r="B645" s="1401">
        <v>7658</v>
      </c>
      <c r="C645" s="1402" t="s">
        <v>679</v>
      </c>
      <c r="D645" s="1403" t="s">
        <v>692</v>
      </c>
      <c r="E645" s="1404">
        <v>80111600</v>
      </c>
      <c r="F645" s="1405" t="s">
        <v>1065</v>
      </c>
      <c r="G645" s="1406">
        <v>44743</v>
      </c>
      <c r="H645" s="1406">
        <v>44743</v>
      </c>
      <c r="I645" s="1407">
        <v>6</v>
      </c>
      <c r="J645" s="1407" t="s">
        <v>673</v>
      </c>
      <c r="K645" s="1408" t="s">
        <v>674</v>
      </c>
      <c r="L645" s="1409" t="s">
        <v>675</v>
      </c>
      <c r="M645" s="1410">
        <f>16800000-2800000</f>
        <v>14000000</v>
      </c>
      <c r="N645" s="1411" t="s">
        <v>1035</v>
      </c>
      <c r="O645" s="1404" t="s">
        <v>1036</v>
      </c>
      <c r="P645" s="1413" t="s">
        <v>678</v>
      </c>
      <c r="Q645" s="1207"/>
      <c r="R645" s="1357">
        <v>14000000</v>
      </c>
      <c r="S645" s="1357"/>
      <c r="T645" s="1357">
        <f>+Tabla16[[#This Row],[CDPS A 31 JULIO 2022]]-Tabla16[[#This Row],[CDP]]</f>
        <v>14000000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105" x14ac:dyDescent="0.25">
      <c r="A646" s="1355">
        <v>2022687</v>
      </c>
      <c r="B646" s="1172">
        <v>7637</v>
      </c>
      <c r="C646" s="1356" t="s">
        <v>643</v>
      </c>
      <c r="D646" s="1190" t="s">
        <v>671</v>
      </c>
      <c r="E646" s="1174">
        <v>45111616</v>
      </c>
      <c r="F646" s="1380" t="s">
        <v>1291</v>
      </c>
      <c r="G646" s="1381">
        <v>44757</v>
      </c>
      <c r="H646" s="1381">
        <v>44771</v>
      </c>
      <c r="I646" s="1176">
        <v>1</v>
      </c>
      <c r="J646" s="1176" t="s">
        <v>720</v>
      </c>
      <c r="K646" s="1177" t="s">
        <v>770</v>
      </c>
      <c r="L646" s="1178" t="s">
        <v>735</v>
      </c>
      <c r="M646" s="1179">
        <f>15317646</f>
        <v>15317646</v>
      </c>
      <c r="N646" s="1189" t="s">
        <v>676</v>
      </c>
      <c r="O646" s="1174" t="s">
        <v>677</v>
      </c>
      <c r="P646" s="1163" t="s">
        <v>678</v>
      </c>
      <c r="Q646" s="1207"/>
      <c r="R646" s="1269">
        <v>0</v>
      </c>
      <c r="S646" s="1357"/>
      <c r="T646" s="1357">
        <f>+Tabla16[[#This Row],[CDPS A 31 JULIO 2022]]-Tabla16[[#This Row],[CDP]]</f>
        <v>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90" x14ac:dyDescent="0.25">
      <c r="A647" s="1355">
        <v>2022688</v>
      </c>
      <c r="B647" s="1172">
        <v>7658</v>
      </c>
      <c r="C647" s="1356" t="s">
        <v>679</v>
      </c>
      <c r="D647" s="1190" t="s">
        <v>695</v>
      </c>
      <c r="E647" s="1174">
        <v>80111600</v>
      </c>
      <c r="F647" s="1380" t="s">
        <v>989</v>
      </c>
      <c r="G647" s="1381">
        <v>44739</v>
      </c>
      <c r="H647" s="1381">
        <v>44746</v>
      </c>
      <c r="I647" s="1176">
        <v>5</v>
      </c>
      <c r="J647" s="1176" t="s">
        <v>673</v>
      </c>
      <c r="K647" s="1177" t="s">
        <v>674</v>
      </c>
      <c r="L647" s="1178" t="s">
        <v>675</v>
      </c>
      <c r="M647" s="1179">
        <f>11550000+7700000</f>
        <v>19250000</v>
      </c>
      <c r="N647" s="1382" t="s">
        <v>765</v>
      </c>
      <c r="O647" s="1174" t="s">
        <v>764</v>
      </c>
      <c r="P647" s="1221" t="s">
        <v>678</v>
      </c>
      <c r="Q647" s="1207"/>
      <c r="R647" s="1357">
        <v>19250000</v>
      </c>
      <c r="S647" s="1357"/>
      <c r="T647" s="1357">
        <f>+Tabla16[[#This Row],[CDPS A 31 JULIO 2022]]-Tabla16[[#This Row],[CDP]]</f>
        <v>19250000</v>
      </c>
      <c r="U647" s="1357"/>
      <c r="V647" s="1357"/>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105" x14ac:dyDescent="0.25">
      <c r="A648" s="1355">
        <v>2022689</v>
      </c>
      <c r="B648" s="1172">
        <v>7655</v>
      </c>
      <c r="C648" s="1356" t="s">
        <v>668</v>
      </c>
      <c r="D648" s="1190" t="s">
        <v>669</v>
      </c>
      <c r="E648" s="1174">
        <v>80111600</v>
      </c>
      <c r="F648" s="1380" t="s">
        <v>907</v>
      </c>
      <c r="G648" s="1381">
        <v>44743</v>
      </c>
      <c r="H648" s="1381">
        <v>44760</v>
      </c>
      <c r="I648" s="1176">
        <v>5</v>
      </c>
      <c r="J648" s="1176" t="s">
        <v>673</v>
      </c>
      <c r="K648" s="1177" t="s">
        <v>674</v>
      </c>
      <c r="L648" s="1178" t="s">
        <v>675</v>
      </c>
      <c r="M648" s="1179">
        <v>35600000</v>
      </c>
      <c r="N648" s="1382" t="s">
        <v>781</v>
      </c>
      <c r="O648" s="1174" t="s">
        <v>771</v>
      </c>
      <c r="P648" s="1221" t="s">
        <v>678</v>
      </c>
      <c r="Q648" s="1207"/>
      <c r="R648" s="1269">
        <v>35600000</v>
      </c>
      <c r="S648" s="1357"/>
      <c r="T648" s="1357">
        <f>+Tabla16[[#This Row],[CDPS A 31 JULIO 2022]]-Tabla16[[#This Row],[CDP]]</f>
        <v>35600000</v>
      </c>
      <c r="U648" s="1357"/>
      <c r="V648" s="1357"/>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105" x14ac:dyDescent="0.25">
      <c r="A649" s="1355">
        <v>2022690</v>
      </c>
      <c r="B649" s="1172">
        <v>7655</v>
      </c>
      <c r="C649" s="1356" t="s">
        <v>668</v>
      </c>
      <c r="D649" s="1190" t="s">
        <v>669</v>
      </c>
      <c r="E649" s="1174">
        <v>80111600</v>
      </c>
      <c r="F649" s="1380" t="s">
        <v>917</v>
      </c>
      <c r="G649" s="1381">
        <v>44767</v>
      </c>
      <c r="H649" s="1381">
        <v>44775</v>
      </c>
      <c r="I649" s="1176">
        <v>5</v>
      </c>
      <c r="J649" s="1176" t="s">
        <v>673</v>
      </c>
      <c r="K649" s="1177" t="s">
        <v>674</v>
      </c>
      <c r="L649" s="1178" t="s">
        <v>675</v>
      </c>
      <c r="M649" s="1179">
        <v>24000000</v>
      </c>
      <c r="N649" s="1382" t="s">
        <v>781</v>
      </c>
      <c r="O649" s="1174" t="s">
        <v>771</v>
      </c>
      <c r="P649" s="1221" t="s">
        <v>678</v>
      </c>
      <c r="Q649" s="1207"/>
      <c r="R649" s="1269">
        <v>24000000</v>
      </c>
      <c r="S649" s="1357"/>
      <c r="T649" s="1357">
        <f>+Tabla16[[#This Row],[CDPS A 31 JULIO 2022]]-Tabla16[[#This Row],[CDP]]</f>
        <v>24000000</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105" x14ac:dyDescent="0.25">
      <c r="A650" s="1355">
        <v>2022691</v>
      </c>
      <c r="B650" s="1172">
        <v>7655</v>
      </c>
      <c r="C650" s="1356" t="s">
        <v>668</v>
      </c>
      <c r="D650" s="1190" t="s">
        <v>669</v>
      </c>
      <c r="E650" s="1174">
        <v>80111600</v>
      </c>
      <c r="F650" s="1380" t="s">
        <v>1292</v>
      </c>
      <c r="G650" s="1381">
        <v>44767</v>
      </c>
      <c r="H650" s="1381">
        <v>44775</v>
      </c>
      <c r="I650" s="1176">
        <v>5</v>
      </c>
      <c r="J650" s="1176" t="s">
        <v>673</v>
      </c>
      <c r="K650" s="1177" t="s">
        <v>674</v>
      </c>
      <c r="L650" s="1178" t="s">
        <v>675</v>
      </c>
      <c r="M650" s="1179">
        <v>11500000</v>
      </c>
      <c r="N650" s="1382" t="s">
        <v>781</v>
      </c>
      <c r="O650" s="1174" t="s">
        <v>771</v>
      </c>
      <c r="P650" s="1163" t="s">
        <v>678</v>
      </c>
      <c r="Q650" s="1207"/>
      <c r="R650" s="1269">
        <v>11500000</v>
      </c>
      <c r="S650" s="1357"/>
      <c r="T650" s="1357">
        <f>+Tabla16[[#This Row],[CDPS A 31 JULIO 2022]]-Tabla16[[#This Row],[CDP]]</f>
        <v>11500000</v>
      </c>
      <c r="U650" s="1357"/>
      <c r="V650" s="1357"/>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105" x14ac:dyDescent="0.25">
      <c r="A651" s="1363">
        <v>2022692</v>
      </c>
      <c r="B651" s="1191">
        <v>7655</v>
      </c>
      <c r="C651" s="1364" t="s">
        <v>668</v>
      </c>
      <c r="D651" s="1393" t="s">
        <v>669</v>
      </c>
      <c r="E651" s="1284">
        <v>80111600</v>
      </c>
      <c r="F651" s="1394" t="s">
        <v>1293</v>
      </c>
      <c r="G651" s="1395">
        <v>44848</v>
      </c>
      <c r="H651" s="1395">
        <v>44848</v>
      </c>
      <c r="I651" s="1285">
        <v>2.5</v>
      </c>
      <c r="J651" s="1285" t="s">
        <v>673</v>
      </c>
      <c r="K651" s="1396" t="s">
        <v>674</v>
      </c>
      <c r="L651" s="1286" t="s">
        <v>675</v>
      </c>
      <c r="M651" s="1196">
        <v>8400000</v>
      </c>
      <c r="N651" s="1418" t="s">
        <v>781</v>
      </c>
      <c r="O651" s="1284" t="s">
        <v>771</v>
      </c>
      <c r="P651" s="1163" t="s">
        <v>678</v>
      </c>
      <c r="Q651" s="1207"/>
      <c r="R651" s="1269">
        <v>0</v>
      </c>
      <c r="S651" s="1357"/>
      <c r="T651" s="1357">
        <f>+Tabla16[[#This Row],[CDPS A 31 JULIO 2022]]-Tabla16[[#This Row],[CDP]]</f>
        <v>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105" x14ac:dyDescent="0.25">
      <c r="A652" s="1363">
        <v>2022693</v>
      </c>
      <c r="B652" s="1172">
        <v>7655</v>
      </c>
      <c r="C652" s="1356" t="s">
        <v>668</v>
      </c>
      <c r="D652" s="1190" t="s">
        <v>695</v>
      </c>
      <c r="E652" s="1174">
        <v>80111600</v>
      </c>
      <c r="F652" s="1380" t="s">
        <v>854</v>
      </c>
      <c r="G652" s="1381">
        <v>44755</v>
      </c>
      <c r="H652" s="1381">
        <v>44763</v>
      </c>
      <c r="I652" s="1176">
        <v>5</v>
      </c>
      <c r="J652" s="1176" t="s">
        <v>673</v>
      </c>
      <c r="K652" s="1177" t="s">
        <v>674</v>
      </c>
      <c r="L652" s="1178" t="s">
        <v>675</v>
      </c>
      <c r="M652" s="1179">
        <f>7350000+4900000</f>
        <v>12250000</v>
      </c>
      <c r="N652" s="1382" t="s">
        <v>781</v>
      </c>
      <c r="O652" s="1174" t="s">
        <v>771</v>
      </c>
      <c r="P652" s="1221" t="s">
        <v>678</v>
      </c>
      <c r="Q652" s="1207"/>
      <c r="R652" s="1269">
        <v>12250000</v>
      </c>
      <c r="S652" s="1357"/>
      <c r="T652" s="1357">
        <f>+Tabla16[[#This Row],[CDPS A 31 JULIO 2022]]-Tabla16[[#This Row],[CDP]]</f>
        <v>12250000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105" x14ac:dyDescent="0.25">
      <c r="A653" s="1363">
        <v>2022694</v>
      </c>
      <c r="B653" s="1172">
        <v>7655</v>
      </c>
      <c r="C653" s="1356" t="s">
        <v>668</v>
      </c>
      <c r="D653" s="1190" t="s">
        <v>695</v>
      </c>
      <c r="E653" s="1174">
        <v>80111600</v>
      </c>
      <c r="F653" s="1380" t="s">
        <v>861</v>
      </c>
      <c r="G653" s="1381">
        <v>44760</v>
      </c>
      <c r="H653" s="1381">
        <v>44767</v>
      </c>
      <c r="I653" s="1176">
        <v>4</v>
      </c>
      <c r="J653" s="1176" t="s">
        <v>673</v>
      </c>
      <c r="K653" s="1177" t="s">
        <v>674</v>
      </c>
      <c r="L653" s="1178" t="s">
        <v>675</v>
      </c>
      <c r="M653" s="1179">
        <v>17388000</v>
      </c>
      <c r="N653" s="1382" t="s">
        <v>781</v>
      </c>
      <c r="O653" s="1174" t="s">
        <v>771</v>
      </c>
      <c r="P653" s="1221" t="s">
        <v>678</v>
      </c>
      <c r="Q653" s="1207"/>
      <c r="R653" s="1269">
        <v>17388000</v>
      </c>
      <c r="S653" s="1357"/>
      <c r="T653" s="1357">
        <f>+Tabla16[[#This Row],[CDPS A 31 JULIO 2022]]-Tabla16[[#This Row],[CDP]]</f>
        <v>17388000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105" x14ac:dyDescent="0.25">
      <c r="A654" s="1363">
        <v>2022695</v>
      </c>
      <c r="B654" s="1172">
        <v>7655</v>
      </c>
      <c r="C654" s="1356" t="s">
        <v>668</v>
      </c>
      <c r="D654" s="1190" t="s">
        <v>695</v>
      </c>
      <c r="E654" s="1174">
        <v>80111600</v>
      </c>
      <c r="F654" s="1380" t="s">
        <v>864</v>
      </c>
      <c r="G654" s="1381">
        <v>44767</v>
      </c>
      <c r="H654" s="1381">
        <v>44774</v>
      </c>
      <c r="I654" s="1176">
        <v>4</v>
      </c>
      <c r="J654" s="1176" t="s">
        <v>673</v>
      </c>
      <c r="K654" s="1177" t="s">
        <v>674</v>
      </c>
      <c r="L654" s="1178" t="s">
        <v>675</v>
      </c>
      <c r="M654" s="1179">
        <f>6800000+550000</f>
        <v>7350000</v>
      </c>
      <c r="N654" s="1382" t="s">
        <v>781</v>
      </c>
      <c r="O654" s="1174" t="s">
        <v>771</v>
      </c>
      <c r="P654" s="1221" t="s">
        <v>678</v>
      </c>
      <c r="Q654" s="1207"/>
      <c r="R654" s="1269">
        <v>6800000</v>
      </c>
      <c r="S654" s="1357"/>
      <c r="T654" s="1357">
        <f>+Tabla16[[#This Row],[CDPS A 31 JULIO 2022]]-Tabla16[[#This Row],[CDP]]</f>
        <v>6800000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135" x14ac:dyDescent="0.25">
      <c r="A655" s="1363">
        <v>2022696</v>
      </c>
      <c r="B655" s="1172">
        <v>7658</v>
      </c>
      <c r="C655" s="1356" t="s">
        <v>679</v>
      </c>
      <c r="D655" s="1190" t="s">
        <v>698</v>
      </c>
      <c r="E655" s="1174">
        <v>72101500</v>
      </c>
      <c r="F655" s="1380" t="s">
        <v>1294</v>
      </c>
      <c r="G655" s="1381">
        <v>44774</v>
      </c>
      <c r="H655" s="1381">
        <v>44788</v>
      </c>
      <c r="I655" s="1397">
        <v>6</v>
      </c>
      <c r="J655" s="1176" t="s">
        <v>673</v>
      </c>
      <c r="K655" s="1177" t="s">
        <v>674</v>
      </c>
      <c r="L655" s="1178" t="s">
        <v>948</v>
      </c>
      <c r="M655" s="1179">
        <v>28798000</v>
      </c>
      <c r="N655" s="1382" t="s">
        <v>775</v>
      </c>
      <c r="O655" s="1174" t="s">
        <v>915</v>
      </c>
      <c r="P655" s="1163" t="s">
        <v>678</v>
      </c>
      <c r="Q655" s="1207"/>
      <c r="R655" s="1269">
        <v>0</v>
      </c>
      <c r="S655" s="1357"/>
      <c r="T655" s="1357">
        <f>+Tabla16[[#This Row],[CDPS A 31 JULIO 2022]]-Tabla16[[#This Row],[CDP]]</f>
        <v>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135" x14ac:dyDescent="0.25">
      <c r="A656" s="1355">
        <v>2022697</v>
      </c>
      <c r="B656" s="1172">
        <v>7658</v>
      </c>
      <c r="C656" s="1356" t="s">
        <v>679</v>
      </c>
      <c r="D656" s="1190" t="s">
        <v>698</v>
      </c>
      <c r="E656" s="1174" t="s">
        <v>1295</v>
      </c>
      <c r="F656" s="1380" t="s">
        <v>1296</v>
      </c>
      <c r="G656" s="1381">
        <v>44774</v>
      </c>
      <c r="H656" s="1381">
        <v>44788</v>
      </c>
      <c r="I656" s="1176">
        <v>6</v>
      </c>
      <c r="J656" s="1176" t="s">
        <v>673</v>
      </c>
      <c r="K656" s="1177" t="s">
        <v>674</v>
      </c>
      <c r="L656" s="1178" t="s">
        <v>948</v>
      </c>
      <c r="M656" s="1179">
        <v>46278754</v>
      </c>
      <c r="N656" s="1382" t="s">
        <v>775</v>
      </c>
      <c r="O656" s="1174" t="s">
        <v>915</v>
      </c>
      <c r="P656" s="1163" t="s">
        <v>678</v>
      </c>
      <c r="Q656" s="1207"/>
      <c r="R656" s="1269">
        <v>0</v>
      </c>
      <c r="S656" s="1357"/>
      <c r="T656" s="1357">
        <f>+Tabla16[[#This Row],[CDPS A 31 JULIO 2022]]-Tabla16[[#This Row],[CDP]]</f>
        <v>0</v>
      </c>
      <c r="U656" s="1357"/>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135" x14ac:dyDescent="0.25">
      <c r="A657" s="1355">
        <v>2022698</v>
      </c>
      <c r="B657" s="1172">
        <v>7658</v>
      </c>
      <c r="C657" s="1356" t="s">
        <v>679</v>
      </c>
      <c r="D657" s="1190" t="s">
        <v>698</v>
      </c>
      <c r="E657" s="1174" t="s">
        <v>1105</v>
      </c>
      <c r="F657" s="1380" t="s">
        <v>1297</v>
      </c>
      <c r="G657" s="1381">
        <v>44774</v>
      </c>
      <c r="H657" s="1381">
        <v>44788</v>
      </c>
      <c r="I657" s="1176">
        <v>6</v>
      </c>
      <c r="J657" s="1176" t="s">
        <v>673</v>
      </c>
      <c r="K657" s="1177" t="s">
        <v>674</v>
      </c>
      <c r="L657" s="1178" t="s">
        <v>948</v>
      </c>
      <c r="M657" s="1179">
        <f>80000000+19000000+1000000</f>
        <v>100000000</v>
      </c>
      <c r="N657" s="1382" t="s">
        <v>775</v>
      </c>
      <c r="O657" s="1174" t="s">
        <v>915</v>
      </c>
      <c r="P657" s="1163" t="s">
        <v>678</v>
      </c>
      <c r="Q657" s="1207"/>
      <c r="R657" s="1269">
        <v>0</v>
      </c>
      <c r="S657" s="1357"/>
      <c r="T657" s="1357">
        <f>+Tabla16[[#This Row],[CDPS A 31 JULIO 2022]]-Tabla16[[#This Row],[CDP]]</f>
        <v>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135" x14ac:dyDescent="0.25">
      <c r="A658" s="1355">
        <v>2022699</v>
      </c>
      <c r="B658" s="1172">
        <v>7658</v>
      </c>
      <c r="C658" s="1356" t="s">
        <v>679</v>
      </c>
      <c r="D658" s="1190" t="s">
        <v>698</v>
      </c>
      <c r="E658" s="1174">
        <v>72101509</v>
      </c>
      <c r="F658" s="1380" t="s">
        <v>1298</v>
      </c>
      <c r="G658" s="1381">
        <v>44774</v>
      </c>
      <c r="H658" s="1381">
        <v>44788</v>
      </c>
      <c r="I658" s="1176">
        <v>6</v>
      </c>
      <c r="J658" s="1176" t="s">
        <v>673</v>
      </c>
      <c r="K658" s="1177" t="s">
        <v>674</v>
      </c>
      <c r="L658" s="1178" t="s">
        <v>948</v>
      </c>
      <c r="M658" s="1179">
        <f>40000000+30148267</f>
        <v>70148267</v>
      </c>
      <c r="N658" s="1382" t="s">
        <v>775</v>
      </c>
      <c r="O658" s="1174" t="s">
        <v>915</v>
      </c>
      <c r="P658" s="1163" t="s">
        <v>678</v>
      </c>
      <c r="Q658" s="1207"/>
      <c r="R658" s="1269">
        <v>0</v>
      </c>
      <c r="S658" s="1357"/>
      <c r="T658" s="1357">
        <f>+Tabla16[[#This Row],[CDPS A 31 JULIO 2022]]-Tabla16[[#This Row],[CDP]]</f>
        <v>0</v>
      </c>
      <c r="U658" s="1357"/>
      <c r="V658" s="1357"/>
      <c r="W658" s="1357"/>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135" x14ac:dyDescent="0.25">
      <c r="A659" s="1355">
        <v>2022700</v>
      </c>
      <c r="B659" s="1172">
        <v>7658</v>
      </c>
      <c r="C659" s="1356" t="s">
        <v>679</v>
      </c>
      <c r="D659" s="1190" t="s">
        <v>698</v>
      </c>
      <c r="E659" s="1174">
        <v>80111600</v>
      </c>
      <c r="F659" s="1380" t="s">
        <v>1299</v>
      </c>
      <c r="G659" s="1381">
        <v>44757</v>
      </c>
      <c r="H659" s="1381">
        <v>44762</v>
      </c>
      <c r="I659" s="1176">
        <v>6</v>
      </c>
      <c r="J659" s="1176" t="s">
        <v>673</v>
      </c>
      <c r="K659" s="1177" t="s">
        <v>674</v>
      </c>
      <c r="L659" s="1178" t="s">
        <v>675</v>
      </c>
      <c r="M659" s="1179">
        <v>20100000</v>
      </c>
      <c r="N659" s="1382" t="s">
        <v>772</v>
      </c>
      <c r="O659" s="1174" t="s">
        <v>915</v>
      </c>
      <c r="P659" s="1163" t="s">
        <v>678</v>
      </c>
      <c r="Q659" s="1207"/>
      <c r="R659" s="1269">
        <v>0</v>
      </c>
      <c r="S659" s="1357"/>
      <c r="T659" s="1357">
        <f>+Tabla16[[#This Row],[CDPS A 31 JULIO 2022]]-Tabla16[[#This Row],[CDP]]</f>
        <v>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135" x14ac:dyDescent="0.25">
      <c r="A660" s="1355">
        <v>2022701</v>
      </c>
      <c r="B660" s="1172">
        <v>7658</v>
      </c>
      <c r="C660" s="1356" t="s">
        <v>679</v>
      </c>
      <c r="D660" s="1190" t="s">
        <v>698</v>
      </c>
      <c r="E660" s="1174">
        <v>80111600</v>
      </c>
      <c r="F660" s="1380" t="s">
        <v>1300</v>
      </c>
      <c r="G660" s="1381">
        <v>44757</v>
      </c>
      <c r="H660" s="1381">
        <v>44762</v>
      </c>
      <c r="I660" s="1176">
        <v>6</v>
      </c>
      <c r="J660" s="1176" t="s">
        <v>673</v>
      </c>
      <c r="K660" s="1177" t="s">
        <v>674</v>
      </c>
      <c r="L660" s="1178" t="s">
        <v>675</v>
      </c>
      <c r="M660" s="1179">
        <v>30000000</v>
      </c>
      <c r="N660" s="1382" t="s">
        <v>772</v>
      </c>
      <c r="O660" s="1174" t="s">
        <v>915</v>
      </c>
      <c r="P660" s="1163" t="s">
        <v>678</v>
      </c>
      <c r="Q660" s="1207"/>
      <c r="R660" s="1357">
        <v>30000000</v>
      </c>
      <c r="S660" s="1357"/>
      <c r="T660" s="1357">
        <f>+Tabla16[[#This Row],[CDPS A 31 JULIO 2022]]-Tabla16[[#This Row],[CDP]]</f>
        <v>30000000</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135" x14ac:dyDescent="0.25">
      <c r="A661" s="1355">
        <v>2022704</v>
      </c>
      <c r="B661" s="1172">
        <v>7658</v>
      </c>
      <c r="C661" s="1356" t="s">
        <v>679</v>
      </c>
      <c r="D661" s="1190" t="s">
        <v>689</v>
      </c>
      <c r="E661" s="1174">
        <v>80111600</v>
      </c>
      <c r="F661" s="1380" t="s">
        <v>1301</v>
      </c>
      <c r="G661" s="1381">
        <v>44770</v>
      </c>
      <c r="H661" s="1381">
        <v>44757</v>
      </c>
      <c r="I661" s="1176">
        <v>6</v>
      </c>
      <c r="J661" s="1176" t="s">
        <v>673</v>
      </c>
      <c r="K661" s="1177" t="s">
        <v>674</v>
      </c>
      <c r="L661" s="1178" t="s">
        <v>675</v>
      </c>
      <c r="M661" s="1179">
        <v>49200000</v>
      </c>
      <c r="N661" s="1382" t="s">
        <v>931</v>
      </c>
      <c r="O661" s="1174" t="s">
        <v>915</v>
      </c>
      <c r="P661" s="1163" t="s">
        <v>678</v>
      </c>
      <c r="Q661" s="1207"/>
      <c r="R661" s="1357">
        <v>49200000</v>
      </c>
      <c r="S661" s="1357"/>
      <c r="T661" s="1357">
        <f>+Tabla16[[#This Row],[CDPS A 31 JULIO 2022]]-Tabla16[[#This Row],[CDP]]</f>
        <v>49200000</v>
      </c>
      <c r="U661" s="1357"/>
      <c r="V661" s="1357"/>
      <c r="W661" s="1357"/>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135" x14ac:dyDescent="0.25">
      <c r="A662" s="1355">
        <v>2022705</v>
      </c>
      <c r="B662" s="1172">
        <v>7658</v>
      </c>
      <c r="C662" s="1356" t="s">
        <v>679</v>
      </c>
      <c r="D662" s="1190" t="s">
        <v>689</v>
      </c>
      <c r="E662" s="1174">
        <v>80111600</v>
      </c>
      <c r="F662" s="1380" t="s">
        <v>1302</v>
      </c>
      <c r="G662" s="1381">
        <v>44770</v>
      </c>
      <c r="H662" s="1381">
        <v>44757</v>
      </c>
      <c r="I662" s="1176">
        <v>6</v>
      </c>
      <c r="J662" s="1176" t="s">
        <v>673</v>
      </c>
      <c r="K662" s="1177" t="s">
        <v>674</v>
      </c>
      <c r="L662" s="1178" t="s">
        <v>675</v>
      </c>
      <c r="M662" s="1179">
        <v>36000000</v>
      </c>
      <c r="N662" s="1382" t="s">
        <v>931</v>
      </c>
      <c r="O662" s="1174" t="s">
        <v>915</v>
      </c>
      <c r="P662" s="1163" t="s">
        <v>678</v>
      </c>
      <c r="Q662" s="1207"/>
      <c r="R662" s="1357">
        <v>36000000</v>
      </c>
      <c r="S662" s="1357"/>
      <c r="T662" s="1357">
        <f>+Tabla16[[#This Row],[CDPS A 31 JULIO 2022]]-Tabla16[[#This Row],[CDP]]</f>
        <v>36000000</v>
      </c>
      <c r="U662" s="1357"/>
      <c r="V662" s="1357"/>
      <c r="W662" s="1357"/>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60" x14ac:dyDescent="0.25">
      <c r="A663" s="1400">
        <v>2022706</v>
      </c>
      <c r="B663" s="1401">
        <v>7658</v>
      </c>
      <c r="C663" s="1402" t="s">
        <v>679</v>
      </c>
      <c r="D663" s="1403" t="s">
        <v>689</v>
      </c>
      <c r="E663" s="1404" t="s">
        <v>1303</v>
      </c>
      <c r="F663" s="1405" t="s">
        <v>1304</v>
      </c>
      <c r="G663" s="1406">
        <v>44859</v>
      </c>
      <c r="H663" s="1406">
        <v>44859</v>
      </c>
      <c r="I663" s="1407">
        <v>2</v>
      </c>
      <c r="J663" s="1407" t="s">
        <v>645</v>
      </c>
      <c r="K663" s="1408" t="s">
        <v>770</v>
      </c>
      <c r="L663" s="1409" t="s">
        <v>955</v>
      </c>
      <c r="M663" s="1410">
        <f>559000000+230000000+43007367+15000000+51183595+537358+1600000+179356748</f>
        <v>1079685068</v>
      </c>
      <c r="N663" s="1420" t="s">
        <v>782</v>
      </c>
      <c r="O663" s="1404" t="s">
        <v>767</v>
      </c>
      <c r="P663" s="1413" t="s">
        <v>757</v>
      </c>
      <c r="Q663" s="1207"/>
      <c r="R663" s="1269">
        <v>0</v>
      </c>
      <c r="S663" s="1357"/>
      <c r="T663" s="1357">
        <f>+Tabla16[[#This Row],[CDPS A 31 JULIO 2022]]-Tabla16[[#This Row],[CDP]]</f>
        <v>0</v>
      </c>
      <c r="U663" s="1357"/>
      <c r="V663" s="1357"/>
      <c r="W663" s="1357"/>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105" x14ac:dyDescent="0.25">
      <c r="A664" s="1355">
        <v>2022707</v>
      </c>
      <c r="B664" s="1172">
        <v>7655</v>
      </c>
      <c r="C664" s="1356" t="s">
        <v>668</v>
      </c>
      <c r="D664" s="1190" t="s">
        <v>689</v>
      </c>
      <c r="E664" s="1174" t="s">
        <v>778</v>
      </c>
      <c r="F664" s="1380" t="s">
        <v>1305</v>
      </c>
      <c r="G664" s="1381">
        <v>44762</v>
      </c>
      <c r="H664" s="1381">
        <v>44762</v>
      </c>
      <c r="I664" s="1176">
        <v>6</v>
      </c>
      <c r="J664" s="1176" t="s">
        <v>673</v>
      </c>
      <c r="K664" s="1177" t="s">
        <v>674</v>
      </c>
      <c r="L664" s="1178" t="s">
        <v>675</v>
      </c>
      <c r="M664" s="1179">
        <v>16800000</v>
      </c>
      <c r="N664" s="1382" t="s">
        <v>781</v>
      </c>
      <c r="O664" s="1174" t="s">
        <v>771</v>
      </c>
      <c r="P664" s="1298" t="s">
        <v>678</v>
      </c>
      <c r="Q664" s="1207"/>
      <c r="R664" s="1269">
        <v>16800000</v>
      </c>
      <c r="S664" s="1357"/>
      <c r="T664" s="1357">
        <f>+Tabla16[[#This Row],[CDPS A 31 JULIO 2022]]-Tabla16[[#This Row],[CDP]]</f>
        <v>16800000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105" x14ac:dyDescent="0.25">
      <c r="A665" s="1355">
        <v>2022708</v>
      </c>
      <c r="B665" s="1172">
        <v>7658</v>
      </c>
      <c r="C665" s="1356" t="s">
        <v>679</v>
      </c>
      <c r="D665" s="1190" t="s">
        <v>692</v>
      </c>
      <c r="E665" s="1174">
        <v>80111600</v>
      </c>
      <c r="F665" s="1380" t="s">
        <v>1065</v>
      </c>
      <c r="G665" s="1381">
        <v>44774</v>
      </c>
      <c r="H665" s="1381">
        <v>44804</v>
      </c>
      <c r="I665" s="1176">
        <v>4</v>
      </c>
      <c r="J665" s="1176" t="s">
        <v>673</v>
      </c>
      <c r="K665" s="1177" t="s">
        <v>674</v>
      </c>
      <c r="L665" s="1178" t="s">
        <v>675</v>
      </c>
      <c r="M665" s="1179">
        <v>13400000</v>
      </c>
      <c r="N665" s="1382" t="s">
        <v>1035</v>
      </c>
      <c r="O665" s="1174" t="s">
        <v>1036</v>
      </c>
      <c r="P665" s="1207" t="s">
        <v>678</v>
      </c>
      <c r="Q665" s="1207"/>
      <c r="R665" s="1357">
        <v>13400000</v>
      </c>
      <c r="S665" s="1357"/>
      <c r="T665" s="1357">
        <f>+Tabla16[[#This Row],[CDPS A 31 JULIO 2022]]-Tabla16[[#This Row],[CDP]]</f>
        <v>13400000</v>
      </c>
      <c r="U665" s="1357"/>
      <c r="V665" s="1357"/>
      <c r="W665" s="1357" t="s">
        <v>1306</v>
      </c>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105" x14ac:dyDescent="0.25">
      <c r="A666" s="1355">
        <v>2022709</v>
      </c>
      <c r="B666" s="1172">
        <v>7658</v>
      </c>
      <c r="C666" s="1356" t="s">
        <v>679</v>
      </c>
      <c r="D666" s="1190" t="s">
        <v>692</v>
      </c>
      <c r="E666" s="1174">
        <v>80111600</v>
      </c>
      <c r="F666" s="1380" t="s">
        <v>1065</v>
      </c>
      <c r="G666" s="1381">
        <v>44774</v>
      </c>
      <c r="H666" s="1381">
        <v>44804</v>
      </c>
      <c r="I666" s="1176">
        <v>4</v>
      </c>
      <c r="J666" s="1176" t="s">
        <v>673</v>
      </c>
      <c r="K666" s="1177" t="s">
        <v>674</v>
      </c>
      <c r="L666" s="1178" t="s">
        <v>675</v>
      </c>
      <c r="M666" s="1179">
        <v>13200000</v>
      </c>
      <c r="N666" s="1382" t="s">
        <v>1035</v>
      </c>
      <c r="O666" s="1174" t="s">
        <v>1036</v>
      </c>
      <c r="P666" s="1207" t="s">
        <v>678</v>
      </c>
      <c r="Q666" s="1207"/>
      <c r="R666" s="1357">
        <v>13200000</v>
      </c>
      <c r="S666" s="1357"/>
      <c r="T666" s="1357">
        <f>+Tabla16[[#This Row],[CDPS A 31 JULIO 2022]]-Tabla16[[#This Row],[CDP]]</f>
        <v>13200000</v>
      </c>
      <c r="U666" s="1357"/>
      <c r="V666" s="1357"/>
      <c r="W666" s="1357" t="s">
        <v>1306</v>
      </c>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105" x14ac:dyDescent="0.25">
      <c r="A667" s="1355">
        <v>2022710</v>
      </c>
      <c r="B667" s="1172">
        <v>7658</v>
      </c>
      <c r="C667" s="1356" t="s">
        <v>679</v>
      </c>
      <c r="D667" s="1190" t="s">
        <v>692</v>
      </c>
      <c r="E667" s="1174">
        <v>80111600</v>
      </c>
      <c r="F667" s="1380" t="s">
        <v>1072</v>
      </c>
      <c r="G667" s="1381">
        <v>44774</v>
      </c>
      <c r="H667" s="1381">
        <v>44804</v>
      </c>
      <c r="I667" s="1176">
        <v>4</v>
      </c>
      <c r="J667" s="1176" t="s">
        <v>673</v>
      </c>
      <c r="K667" s="1177" t="s">
        <v>674</v>
      </c>
      <c r="L667" s="1178" t="s">
        <v>675</v>
      </c>
      <c r="M667" s="1179">
        <v>19400000</v>
      </c>
      <c r="N667" s="1382" t="s">
        <v>1035</v>
      </c>
      <c r="O667" s="1174" t="s">
        <v>1036</v>
      </c>
      <c r="P667" s="1207" t="s">
        <v>678</v>
      </c>
      <c r="Q667" s="1207"/>
      <c r="R667" s="1357">
        <v>19400000</v>
      </c>
      <c r="S667" s="1357"/>
      <c r="T667" s="1357">
        <f>+Tabla16[[#This Row],[CDPS A 31 JULIO 2022]]-Tabla16[[#This Row],[CDP]]</f>
        <v>19400000</v>
      </c>
      <c r="U667" s="1357"/>
      <c r="V667" s="1357"/>
      <c r="W667" s="1357" t="s">
        <v>1306</v>
      </c>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105" x14ac:dyDescent="0.25">
      <c r="A668" s="1355">
        <v>2022711</v>
      </c>
      <c r="B668" s="1172">
        <v>7658</v>
      </c>
      <c r="C668" s="1356" t="s">
        <v>679</v>
      </c>
      <c r="D668" s="1190" t="s">
        <v>692</v>
      </c>
      <c r="E668" s="1174">
        <v>80111600</v>
      </c>
      <c r="F668" s="1380" t="s">
        <v>1072</v>
      </c>
      <c r="G668" s="1381">
        <v>44774</v>
      </c>
      <c r="H668" s="1381">
        <v>44804</v>
      </c>
      <c r="I668" s="1176">
        <v>4</v>
      </c>
      <c r="J668" s="1176" t="s">
        <v>673</v>
      </c>
      <c r="K668" s="1177" t="s">
        <v>674</v>
      </c>
      <c r="L668" s="1178" t="s">
        <v>675</v>
      </c>
      <c r="M668" s="1179">
        <v>14000000</v>
      </c>
      <c r="N668" s="1382" t="s">
        <v>1035</v>
      </c>
      <c r="O668" s="1174" t="s">
        <v>1036</v>
      </c>
      <c r="P668" s="1207" t="s">
        <v>678</v>
      </c>
      <c r="Q668" s="1207"/>
      <c r="R668" s="1357">
        <v>14000000</v>
      </c>
      <c r="S668" s="1357"/>
      <c r="T668" s="1357">
        <f>+Tabla16[[#This Row],[CDPS A 31 JULIO 2022]]-Tabla16[[#This Row],[CDP]]</f>
        <v>14000000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105" x14ac:dyDescent="0.25">
      <c r="A669" s="1355">
        <v>2022712</v>
      </c>
      <c r="B669" s="1172">
        <v>7658</v>
      </c>
      <c r="C669" s="1356" t="s">
        <v>679</v>
      </c>
      <c r="D669" s="1190" t="s">
        <v>692</v>
      </c>
      <c r="E669" s="1174">
        <v>80111600</v>
      </c>
      <c r="F669" s="1380" t="s">
        <v>1075</v>
      </c>
      <c r="G669" s="1381">
        <v>44774</v>
      </c>
      <c r="H669" s="1381">
        <v>44804</v>
      </c>
      <c r="I669" s="1176">
        <v>4</v>
      </c>
      <c r="J669" s="1176" t="s">
        <v>673</v>
      </c>
      <c r="K669" s="1177" t="s">
        <v>674</v>
      </c>
      <c r="L669" s="1178" t="s">
        <v>675</v>
      </c>
      <c r="M669" s="1179">
        <v>20000000</v>
      </c>
      <c r="N669" s="1382" t="s">
        <v>1035</v>
      </c>
      <c r="O669" s="1174" t="s">
        <v>1036</v>
      </c>
      <c r="P669" s="1207" t="s">
        <v>678</v>
      </c>
      <c r="Q669" s="1207"/>
      <c r="R669" s="1357">
        <v>20000000</v>
      </c>
      <c r="S669" s="1357"/>
      <c r="T669" s="1357">
        <f>+Tabla16[[#This Row],[CDPS A 31 JULIO 2022]]-Tabla16[[#This Row],[CDP]]</f>
        <v>20000000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105" x14ac:dyDescent="0.25">
      <c r="A670" s="1355">
        <v>2022713</v>
      </c>
      <c r="B670" s="1172">
        <v>7658</v>
      </c>
      <c r="C670" s="1356" t="s">
        <v>679</v>
      </c>
      <c r="D670" s="1190" t="s">
        <v>692</v>
      </c>
      <c r="E670" s="1174">
        <v>80111600</v>
      </c>
      <c r="F670" s="1380" t="s">
        <v>1081</v>
      </c>
      <c r="G670" s="1381">
        <v>44774</v>
      </c>
      <c r="H670" s="1381">
        <v>44804</v>
      </c>
      <c r="I670" s="1176">
        <v>4</v>
      </c>
      <c r="J670" s="1176" t="s">
        <v>673</v>
      </c>
      <c r="K670" s="1177" t="s">
        <v>674</v>
      </c>
      <c r="L670" s="1178" t="s">
        <v>675</v>
      </c>
      <c r="M670" s="1179">
        <v>32000000</v>
      </c>
      <c r="N670" s="1382" t="s">
        <v>1035</v>
      </c>
      <c r="O670" s="1174" t="s">
        <v>1036</v>
      </c>
      <c r="P670" s="1207" t="s">
        <v>678</v>
      </c>
      <c r="Q670" s="1207"/>
      <c r="R670" s="1357">
        <v>32000000</v>
      </c>
      <c r="S670" s="1357"/>
      <c r="T670" s="1357">
        <f>+Tabla16[[#This Row],[CDPS A 31 JULIO 2022]]-Tabla16[[#This Row],[CDP]]</f>
        <v>32000000</v>
      </c>
      <c r="U670" s="1357"/>
      <c r="V670" s="1357"/>
      <c r="W670" s="1357" t="s">
        <v>1053</v>
      </c>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105" x14ac:dyDescent="0.25">
      <c r="A671" s="1355">
        <v>2022714</v>
      </c>
      <c r="B671" s="1172">
        <v>7658</v>
      </c>
      <c r="C671" s="1356" t="s">
        <v>679</v>
      </c>
      <c r="D671" s="1190" t="s">
        <v>692</v>
      </c>
      <c r="E671" s="1174">
        <v>80111600</v>
      </c>
      <c r="F671" s="1380" t="s">
        <v>1082</v>
      </c>
      <c r="G671" s="1381">
        <v>44774</v>
      </c>
      <c r="H671" s="1381">
        <v>44804</v>
      </c>
      <c r="I671" s="1176">
        <v>4</v>
      </c>
      <c r="J671" s="1176" t="s">
        <v>673</v>
      </c>
      <c r="K671" s="1177" t="s">
        <v>674</v>
      </c>
      <c r="L671" s="1178" t="s">
        <v>675</v>
      </c>
      <c r="M671" s="1179">
        <v>18800000</v>
      </c>
      <c r="N671" s="1382" t="s">
        <v>1035</v>
      </c>
      <c r="O671" s="1174" t="s">
        <v>1036</v>
      </c>
      <c r="P671" s="1207" t="s">
        <v>678</v>
      </c>
      <c r="Q671" s="1207"/>
      <c r="R671" s="1357">
        <v>18800000</v>
      </c>
      <c r="S671" s="1357"/>
      <c r="T671" s="1357">
        <f>+Tabla16[[#This Row],[CDPS A 31 JULIO 2022]]-Tabla16[[#This Row],[CDP]]</f>
        <v>18800000</v>
      </c>
      <c r="U671" s="1357"/>
      <c r="V671" s="1357"/>
      <c r="W671" s="1357" t="s">
        <v>1053</v>
      </c>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105" x14ac:dyDescent="0.25">
      <c r="A672" s="1400">
        <v>2022715</v>
      </c>
      <c r="B672" s="1401">
        <v>7637</v>
      </c>
      <c r="C672" s="1402" t="s">
        <v>643</v>
      </c>
      <c r="D672" s="1403" t="s">
        <v>671</v>
      </c>
      <c r="E672" s="1404" t="s">
        <v>1307</v>
      </c>
      <c r="F672" s="1405" t="s">
        <v>1308</v>
      </c>
      <c r="G672" s="1406">
        <v>44820</v>
      </c>
      <c r="H672" s="1406">
        <v>44849</v>
      </c>
      <c r="I672" s="1407">
        <v>3</v>
      </c>
      <c r="J672" s="1407" t="s">
        <v>699</v>
      </c>
      <c r="K672" s="1408" t="s">
        <v>770</v>
      </c>
      <c r="L672" s="1409" t="s">
        <v>735</v>
      </c>
      <c r="M672" s="1410">
        <f>15000000+5430000</f>
        <v>20430000</v>
      </c>
      <c r="N672" s="1414" t="s">
        <v>676</v>
      </c>
      <c r="O672" s="1404" t="s">
        <v>677</v>
      </c>
      <c r="P672" s="1412" t="s">
        <v>678</v>
      </c>
      <c r="Q672" s="1207"/>
      <c r="R672" s="1269">
        <v>15000000</v>
      </c>
      <c r="S672" s="1357"/>
      <c r="T672" s="1357">
        <f>+Tabla16[[#This Row],[CDPS A 31 JULIO 2022]]-Tabla16[[#This Row],[CDP]]</f>
        <v>15000000</v>
      </c>
      <c r="U672" s="1357"/>
      <c r="V672" s="1357"/>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105" x14ac:dyDescent="0.25">
      <c r="A673" s="1355">
        <v>2022716</v>
      </c>
      <c r="B673" s="1172">
        <v>7637</v>
      </c>
      <c r="C673" s="1356" t="s">
        <v>643</v>
      </c>
      <c r="D673" s="1190" t="s">
        <v>671</v>
      </c>
      <c r="E673" s="1174" t="s">
        <v>1309</v>
      </c>
      <c r="F673" s="1380" t="s">
        <v>1310</v>
      </c>
      <c r="G673" s="1381">
        <v>44782</v>
      </c>
      <c r="H673" s="1381">
        <v>44802</v>
      </c>
      <c r="I673" s="1176">
        <v>12</v>
      </c>
      <c r="J673" s="1176" t="s">
        <v>720</v>
      </c>
      <c r="K673" s="1177" t="s">
        <v>770</v>
      </c>
      <c r="L673" s="1178" t="s">
        <v>735</v>
      </c>
      <c r="M673" s="1179">
        <v>132000000</v>
      </c>
      <c r="N673" s="1189" t="s">
        <v>676</v>
      </c>
      <c r="O673" s="1174" t="s">
        <v>677</v>
      </c>
      <c r="P673" s="1207" t="s">
        <v>678</v>
      </c>
      <c r="Q673" s="1207"/>
      <c r="R673" s="1269">
        <v>132000000</v>
      </c>
      <c r="S673" s="1357"/>
      <c r="T673" s="1357">
        <f>+Tabla16[[#This Row],[CDPS A 31 JULIO 2022]]-Tabla16[[#This Row],[CDP]]</f>
        <v>132000000</v>
      </c>
      <c r="U673" s="1357"/>
      <c r="V673" s="1357"/>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105" x14ac:dyDescent="0.25">
      <c r="A674" s="1355">
        <v>2022717</v>
      </c>
      <c r="B674" s="1172">
        <v>7637</v>
      </c>
      <c r="C674" s="1356" t="s">
        <v>643</v>
      </c>
      <c r="D674" s="1190" t="s">
        <v>671</v>
      </c>
      <c r="E674" s="1174" t="s">
        <v>1311</v>
      </c>
      <c r="F674" s="1380" t="s">
        <v>1312</v>
      </c>
      <c r="G674" s="1381">
        <v>44820</v>
      </c>
      <c r="H674" s="1381">
        <v>44849</v>
      </c>
      <c r="I674" s="1176">
        <v>3</v>
      </c>
      <c r="J674" s="1176" t="s">
        <v>720</v>
      </c>
      <c r="K674" s="1177" t="s">
        <v>770</v>
      </c>
      <c r="L674" s="1178" t="s">
        <v>735</v>
      </c>
      <c r="M674" s="1179">
        <v>4000000</v>
      </c>
      <c r="N674" s="1189" t="s">
        <v>676</v>
      </c>
      <c r="O674" s="1174" t="s">
        <v>677</v>
      </c>
      <c r="P674" s="1207" t="s">
        <v>678</v>
      </c>
      <c r="Q674" s="1207"/>
      <c r="R674" s="1269">
        <v>4000000</v>
      </c>
      <c r="S674" s="1357"/>
      <c r="T674" s="1357">
        <f>+Tabla16[[#This Row],[CDPS A 31 JULIO 2022]]-Tabla16[[#This Row],[CDP]]</f>
        <v>4000000</v>
      </c>
      <c r="U674" s="1357"/>
      <c r="V674" s="1357"/>
      <c r="W674" s="1357"/>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05" x14ac:dyDescent="0.25">
      <c r="A675" s="1355">
        <v>2022718</v>
      </c>
      <c r="B675" s="1172">
        <v>7655</v>
      </c>
      <c r="C675" s="1356" t="s">
        <v>668</v>
      </c>
      <c r="D675" s="1190" t="s">
        <v>689</v>
      </c>
      <c r="E675" s="1174">
        <v>80111600</v>
      </c>
      <c r="F675" s="1380" t="s">
        <v>1313</v>
      </c>
      <c r="G675" s="1381">
        <v>44757</v>
      </c>
      <c r="H675" s="1381" t="s">
        <v>97</v>
      </c>
      <c r="I675" s="1176">
        <v>1</v>
      </c>
      <c r="J675" s="1176" t="s">
        <v>673</v>
      </c>
      <c r="K675" s="1177" t="s">
        <v>674</v>
      </c>
      <c r="L675" s="1178" t="s">
        <v>675</v>
      </c>
      <c r="M675" s="1179">
        <v>2750000</v>
      </c>
      <c r="N675" s="1382" t="s">
        <v>781</v>
      </c>
      <c r="O675" s="1174" t="s">
        <v>771</v>
      </c>
      <c r="P675" s="1207" t="s">
        <v>748</v>
      </c>
      <c r="Q675" s="1207"/>
      <c r="R675" s="1269">
        <v>2750000</v>
      </c>
      <c r="S675" s="1357"/>
      <c r="T675" s="1357">
        <f>+Tabla16[[#This Row],[CDPS A 31 JULIO 2022]]-Tabla16[[#This Row],[CDP]]</f>
        <v>2750000</v>
      </c>
      <c r="U675" s="1357"/>
      <c r="V675" s="1357"/>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05" x14ac:dyDescent="0.25">
      <c r="A676" s="1355">
        <v>2022719</v>
      </c>
      <c r="B676" s="1172">
        <v>7655</v>
      </c>
      <c r="C676" s="1356" t="s">
        <v>668</v>
      </c>
      <c r="D676" s="1190" t="s">
        <v>689</v>
      </c>
      <c r="E676" s="1174" t="s">
        <v>778</v>
      </c>
      <c r="F676" s="1380" t="s">
        <v>1314</v>
      </c>
      <c r="G676" s="1381">
        <v>44757</v>
      </c>
      <c r="H676" s="1381" t="s">
        <v>97</v>
      </c>
      <c r="I676" s="1176">
        <v>3</v>
      </c>
      <c r="J676" s="1176" t="s">
        <v>673</v>
      </c>
      <c r="K676" s="1177" t="s">
        <v>674</v>
      </c>
      <c r="L676" s="1178" t="s">
        <v>675</v>
      </c>
      <c r="M676" s="1179">
        <v>13500000</v>
      </c>
      <c r="N676" s="1382" t="s">
        <v>781</v>
      </c>
      <c r="O676" s="1174" t="s">
        <v>771</v>
      </c>
      <c r="P676" s="1207" t="s">
        <v>748</v>
      </c>
      <c r="Q676" s="1207"/>
      <c r="R676" s="1269">
        <v>13500000</v>
      </c>
      <c r="S676" s="1357"/>
      <c r="T676" s="1357">
        <f>+Tabla16[[#This Row],[CDPS A 31 JULIO 2022]]-Tabla16[[#This Row],[CDP]]</f>
        <v>13500000</v>
      </c>
      <c r="U676" s="1357"/>
      <c r="V676" s="1357"/>
      <c r="W676" s="1357"/>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105" x14ac:dyDescent="0.25">
      <c r="A677" s="1355">
        <v>2022720</v>
      </c>
      <c r="B677" s="1172">
        <v>7637</v>
      </c>
      <c r="C677" s="1356" t="s">
        <v>643</v>
      </c>
      <c r="D677" s="1190" t="s">
        <v>671</v>
      </c>
      <c r="E677" s="1174">
        <v>43233200</v>
      </c>
      <c r="F677" s="1380" t="s">
        <v>1315</v>
      </c>
      <c r="G677" s="1381">
        <v>44713</v>
      </c>
      <c r="H677" s="1381">
        <v>44772</v>
      </c>
      <c r="I677" s="1176">
        <v>3</v>
      </c>
      <c r="J677" s="1176" t="s">
        <v>720</v>
      </c>
      <c r="K677" s="1177" t="s">
        <v>674</v>
      </c>
      <c r="L677" s="1178" t="s">
        <v>735</v>
      </c>
      <c r="M677" s="1179">
        <v>35000000</v>
      </c>
      <c r="N677" s="1382" t="s">
        <v>704</v>
      </c>
      <c r="O677" s="1174" t="s">
        <v>677</v>
      </c>
      <c r="P677" s="1163" t="s">
        <v>678</v>
      </c>
      <c r="Q677" s="1207"/>
      <c r="R677" s="1269">
        <v>35000000</v>
      </c>
      <c r="S677" s="1357"/>
      <c r="T677" s="1357">
        <f>+Tabla16[[#This Row],[CDPS A 31 JULIO 2022]]-Tabla16[[#This Row],[CDP]]</f>
        <v>35000000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05" x14ac:dyDescent="0.25">
      <c r="A678" s="1355">
        <v>2022721</v>
      </c>
      <c r="B678" s="1172">
        <v>7655</v>
      </c>
      <c r="C678" s="1356" t="s">
        <v>668</v>
      </c>
      <c r="D678" s="1190" t="s">
        <v>671</v>
      </c>
      <c r="E678" s="1174">
        <v>80111600</v>
      </c>
      <c r="F678" s="1380" t="s">
        <v>1316</v>
      </c>
      <c r="G678" s="1381">
        <v>44743</v>
      </c>
      <c r="H678" s="1381">
        <v>44773</v>
      </c>
      <c r="I678" s="1176">
        <v>3</v>
      </c>
      <c r="J678" s="1176" t="s">
        <v>673</v>
      </c>
      <c r="K678" s="1177" t="s">
        <v>674</v>
      </c>
      <c r="L678" s="1178" t="s">
        <v>675</v>
      </c>
      <c r="M678" s="1179">
        <v>13500000</v>
      </c>
      <c r="N678" s="1382" t="s">
        <v>781</v>
      </c>
      <c r="O678" s="1174" t="s">
        <v>771</v>
      </c>
      <c r="P678" s="1163" t="s">
        <v>757</v>
      </c>
      <c r="Q678" s="1207"/>
      <c r="R678" s="1269">
        <v>13500000</v>
      </c>
      <c r="S678" s="1357"/>
      <c r="T678" s="1357">
        <f>+Tabla16[[#This Row],[CDPS A 31 JULIO 2022]]-Tabla16[[#This Row],[CDP]]</f>
        <v>13500000</v>
      </c>
      <c r="U678" s="1357"/>
      <c r="V678" s="1357"/>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35" x14ac:dyDescent="0.25">
      <c r="A679" s="1355">
        <v>2022722</v>
      </c>
      <c r="B679" s="1172">
        <v>7658</v>
      </c>
      <c r="C679" s="1356" t="s">
        <v>679</v>
      </c>
      <c r="D679" s="1190" t="s">
        <v>698</v>
      </c>
      <c r="E679" s="1174">
        <v>80111600</v>
      </c>
      <c r="F679" s="1380" t="s">
        <v>1317</v>
      </c>
      <c r="G679" s="1381">
        <v>44774</v>
      </c>
      <c r="H679" s="1381">
        <v>44774</v>
      </c>
      <c r="I679" s="1176">
        <v>6</v>
      </c>
      <c r="J679" s="1176" t="s">
        <v>673</v>
      </c>
      <c r="K679" s="1177" t="s">
        <v>674</v>
      </c>
      <c r="L679" s="1178" t="s">
        <v>675</v>
      </c>
      <c r="M679" s="1179">
        <v>33000000</v>
      </c>
      <c r="N679" s="1382" t="s">
        <v>772</v>
      </c>
      <c r="O679" s="1174" t="s">
        <v>915</v>
      </c>
      <c r="P679" s="1163" t="s">
        <v>678</v>
      </c>
      <c r="Q679" s="1207"/>
      <c r="R679" s="1269">
        <v>0</v>
      </c>
      <c r="S679" s="1357"/>
      <c r="T679" s="1357">
        <f>+Tabla16[[#This Row],[CDPS A 31 JULIO 2022]]-Tabla16[[#This Row],[CDP]]</f>
        <v>0</v>
      </c>
      <c r="U679" s="1357"/>
      <c r="V679" s="1357"/>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ht="105" x14ac:dyDescent="0.25">
      <c r="A680" s="1355">
        <v>2022723</v>
      </c>
      <c r="B680" s="1172">
        <v>7655</v>
      </c>
      <c r="C680" s="1356" t="s">
        <v>668</v>
      </c>
      <c r="D680" s="1190" t="s">
        <v>682</v>
      </c>
      <c r="E680" s="1174">
        <v>80111600</v>
      </c>
      <c r="F680" s="1380" t="s">
        <v>1318</v>
      </c>
      <c r="G680" s="1381">
        <v>44774</v>
      </c>
      <c r="H680" s="1381">
        <v>44774</v>
      </c>
      <c r="I680" s="1176">
        <v>0.4</v>
      </c>
      <c r="J680" s="1176" t="s">
        <v>673</v>
      </c>
      <c r="K680" s="1177" t="s">
        <v>674</v>
      </c>
      <c r="L680" s="1178" t="s">
        <v>675</v>
      </c>
      <c r="M680" s="1179">
        <v>1363000</v>
      </c>
      <c r="N680" s="1382" t="s">
        <v>781</v>
      </c>
      <c r="O680" s="1174" t="s">
        <v>771</v>
      </c>
      <c r="P680" s="1163" t="s">
        <v>757</v>
      </c>
      <c r="Q680" s="1207"/>
      <c r="R680" s="1269">
        <v>1363000</v>
      </c>
      <c r="S680" s="1357"/>
      <c r="T680" s="1357">
        <f>+Tabla16[[#This Row],[CDPS A 31 JULIO 2022]]-Tabla16[[#This Row],[CDP]]</f>
        <v>1363000</v>
      </c>
      <c r="U680" s="1357"/>
      <c r="V680" s="1357"/>
      <c r="W680" s="1357" t="s">
        <v>1319</v>
      </c>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c r="AZ680" s="1207"/>
      <c r="BA680" s="1207"/>
      <c r="BB680" s="1207"/>
      <c r="BC680" s="1207"/>
      <c r="BD680" s="1207"/>
      <c r="BE680" s="1207"/>
      <c r="BF680" s="1207"/>
      <c r="BG680" s="1207"/>
      <c r="BH680" s="1207"/>
      <c r="BI680" s="1207"/>
      <c r="BJ680" s="1207"/>
      <c r="BK680" s="1207"/>
      <c r="BL680" s="1207"/>
      <c r="BM680" s="1207"/>
      <c r="BN680" s="1207"/>
      <c r="BO680" s="1207"/>
      <c r="BP680" s="1207"/>
      <c r="BQ680" s="1207"/>
      <c r="BR680" s="1207"/>
      <c r="BS680" s="1207"/>
      <c r="BT680" s="1207"/>
      <c r="BU680" s="1207"/>
      <c r="BV680" s="1207"/>
      <c r="BW680" s="1207"/>
      <c r="BX680" s="1207"/>
      <c r="BY680" s="1207"/>
      <c r="BZ680" s="1207"/>
      <c r="CA680" s="1207"/>
      <c r="CB680" s="1207"/>
      <c r="CC680" s="1207"/>
      <c r="CD680" s="1207"/>
      <c r="CE680" s="1207"/>
      <c r="CF680" s="1207"/>
    </row>
    <row r="681" spans="1:84" ht="135" x14ac:dyDescent="0.25">
      <c r="A681" s="1355">
        <v>2022724</v>
      </c>
      <c r="B681" s="1172">
        <v>7658</v>
      </c>
      <c r="C681" s="1356" t="s">
        <v>679</v>
      </c>
      <c r="D681" s="1190" t="s">
        <v>689</v>
      </c>
      <c r="E681" s="1174">
        <v>80111600</v>
      </c>
      <c r="F681" s="1380" t="s">
        <v>936</v>
      </c>
      <c r="G681" s="1381">
        <v>44788</v>
      </c>
      <c r="H681" s="1381">
        <v>44783</v>
      </c>
      <c r="I681" s="1176">
        <v>6</v>
      </c>
      <c r="J681" s="1176" t="s">
        <v>673</v>
      </c>
      <c r="K681" s="1177" t="s">
        <v>674</v>
      </c>
      <c r="L681" s="1178" t="s">
        <v>675</v>
      </c>
      <c r="M681" s="1179">
        <v>43800000</v>
      </c>
      <c r="N681" s="1382" t="s">
        <v>931</v>
      </c>
      <c r="O681" s="1174" t="s">
        <v>915</v>
      </c>
      <c r="P681" s="1163" t="s">
        <v>678</v>
      </c>
      <c r="Q681" s="1207"/>
      <c r="R681" s="1269">
        <v>0</v>
      </c>
      <c r="S681" s="1357"/>
      <c r="T681" s="1357">
        <f>+Tabla16[[#This Row],[CDPS A 31 JULIO 2022]]-Tabla16[[#This Row],[CDP]]</f>
        <v>0</v>
      </c>
      <c r="U681" s="1357"/>
      <c r="V681" s="1357"/>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135" x14ac:dyDescent="0.25">
      <c r="A682" s="1355">
        <v>2022725</v>
      </c>
      <c r="B682" s="1172">
        <v>7658</v>
      </c>
      <c r="C682" s="1356" t="s">
        <v>679</v>
      </c>
      <c r="D682" s="1190" t="s">
        <v>689</v>
      </c>
      <c r="E682" s="1174">
        <v>80111600</v>
      </c>
      <c r="F682" s="1380" t="s">
        <v>936</v>
      </c>
      <c r="G682" s="1381">
        <v>44788</v>
      </c>
      <c r="H682" s="1381">
        <v>44783</v>
      </c>
      <c r="I682" s="1176">
        <v>6</v>
      </c>
      <c r="J682" s="1176" t="s">
        <v>673</v>
      </c>
      <c r="K682" s="1177" t="s">
        <v>674</v>
      </c>
      <c r="L682" s="1178" t="s">
        <v>675</v>
      </c>
      <c r="M682" s="1179">
        <v>43800000</v>
      </c>
      <c r="N682" s="1382" t="s">
        <v>931</v>
      </c>
      <c r="O682" s="1174" t="s">
        <v>915</v>
      </c>
      <c r="P682" s="1163" t="s">
        <v>678</v>
      </c>
      <c r="Q682" s="1207"/>
      <c r="R682" s="1269">
        <v>0</v>
      </c>
      <c r="S682" s="1357"/>
      <c r="T682" s="1357">
        <f>+Tabla16[[#This Row],[CDPS A 31 JULIO 2022]]-Tabla16[[#This Row],[CDP]]</f>
        <v>0</v>
      </c>
      <c r="U682" s="1357"/>
      <c r="V682" s="1357"/>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135" x14ac:dyDescent="0.25">
      <c r="A683" s="1355">
        <v>2022726</v>
      </c>
      <c r="B683" s="1172">
        <v>7658</v>
      </c>
      <c r="C683" s="1356" t="s">
        <v>679</v>
      </c>
      <c r="D683" s="1190" t="s">
        <v>689</v>
      </c>
      <c r="E683" s="1174">
        <v>80111600</v>
      </c>
      <c r="F683" s="1380" t="s">
        <v>936</v>
      </c>
      <c r="G683" s="1381">
        <v>44788</v>
      </c>
      <c r="H683" s="1381">
        <v>44783</v>
      </c>
      <c r="I683" s="1176">
        <v>6</v>
      </c>
      <c r="J683" s="1176" t="s">
        <v>673</v>
      </c>
      <c r="K683" s="1177" t="s">
        <v>674</v>
      </c>
      <c r="L683" s="1178" t="s">
        <v>675</v>
      </c>
      <c r="M683" s="1179">
        <v>43800000</v>
      </c>
      <c r="N683" s="1382" t="s">
        <v>931</v>
      </c>
      <c r="O683" s="1174" t="s">
        <v>915</v>
      </c>
      <c r="P683" s="1163" t="s">
        <v>678</v>
      </c>
      <c r="Q683" s="1207"/>
      <c r="R683" s="1269">
        <v>0</v>
      </c>
      <c r="S683" s="1357"/>
      <c r="T683" s="1357">
        <f>+Tabla16[[#This Row],[CDPS A 31 JULIO 2022]]-Tabla16[[#This Row],[CDP]]</f>
        <v>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135" x14ac:dyDescent="0.25">
      <c r="A684" s="1355">
        <v>2022727</v>
      </c>
      <c r="B684" s="1172">
        <v>7658</v>
      </c>
      <c r="C684" s="1356" t="s">
        <v>679</v>
      </c>
      <c r="D684" s="1190" t="s">
        <v>689</v>
      </c>
      <c r="E684" s="1174">
        <v>80111600</v>
      </c>
      <c r="F684" s="1380" t="s">
        <v>936</v>
      </c>
      <c r="G684" s="1381">
        <v>44788</v>
      </c>
      <c r="H684" s="1381">
        <v>44783</v>
      </c>
      <c r="I684" s="1176">
        <v>6</v>
      </c>
      <c r="J684" s="1176" t="s">
        <v>673</v>
      </c>
      <c r="K684" s="1177" t="s">
        <v>674</v>
      </c>
      <c r="L684" s="1178" t="s">
        <v>675</v>
      </c>
      <c r="M684" s="1179">
        <v>43800000</v>
      </c>
      <c r="N684" s="1382" t="s">
        <v>931</v>
      </c>
      <c r="O684" s="1174" t="s">
        <v>915</v>
      </c>
      <c r="P684" s="1163" t="s">
        <v>678</v>
      </c>
      <c r="Q684" s="1207"/>
      <c r="R684" s="1269">
        <v>0</v>
      </c>
      <c r="S684" s="1357"/>
      <c r="T684" s="1357">
        <f>+Tabla16[[#This Row],[CDPS A 31 JULIO 2022]]-Tabla16[[#This Row],[CDP]]</f>
        <v>0</v>
      </c>
      <c r="U684" s="1357"/>
      <c r="V684" s="1357"/>
      <c r="W684" s="1357"/>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135" x14ac:dyDescent="0.25">
      <c r="A685" s="1355">
        <v>2022728</v>
      </c>
      <c r="B685" s="1172">
        <v>7658</v>
      </c>
      <c r="C685" s="1356" t="s">
        <v>679</v>
      </c>
      <c r="D685" s="1190" t="s">
        <v>689</v>
      </c>
      <c r="E685" s="1174">
        <v>80111600</v>
      </c>
      <c r="F685" s="1380" t="s">
        <v>936</v>
      </c>
      <c r="G685" s="1381">
        <v>44788</v>
      </c>
      <c r="H685" s="1381">
        <v>44783</v>
      </c>
      <c r="I685" s="1176">
        <v>6</v>
      </c>
      <c r="J685" s="1176" t="s">
        <v>673</v>
      </c>
      <c r="K685" s="1177" t="s">
        <v>674</v>
      </c>
      <c r="L685" s="1178" t="s">
        <v>675</v>
      </c>
      <c r="M685" s="1179">
        <v>43800000</v>
      </c>
      <c r="N685" s="1382" t="s">
        <v>931</v>
      </c>
      <c r="O685" s="1174" t="s">
        <v>915</v>
      </c>
      <c r="P685" s="1163" t="s">
        <v>678</v>
      </c>
      <c r="Q685" s="1207"/>
      <c r="R685" s="1269">
        <v>0</v>
      </c>
      <c r="S685" s="1357"/>
      <c r="T685" s="1357">
        <f>+Tabla16[[#This Row],[CDPS A 31 JULIO 2022]]-Tabla16[[#This Row],[CDP]]</f>
        <v>0</v>
      </c>
      <c r="U685" s="1357"/>
      <c r="V685" s="1357"/>
      <c r="W685" s="1357"/>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135" x14ac:dyDescent="0.25">
      <c r="A686" s="1355">
        <v>2022729</v>
      </c>
      <c r="B686" s="1172">
        <v>7658</v>
      </c>
      <c r="C686" s="1356" t="s">
        <v>679</v>
      </c>
      <c r="D686" s="1190" t="s">
        <v>689</v>
      </c>
      <c r="E686" s="1174">
        <v>80111600</v>
      </c>
      <c r="F686" s="1380" t="s">
        <v>936</v>
      </c>
      <c r="G686" s="1381">
        <v>44788</v>
      </c>
      <c r="H686" s="1381">
        <v>44783</v>
      </c>
      <c r="I686" s="1176">
        <v>6</v>
      </c>
      <c r="J686" s="1176" t="s">
        <v>673</v>
      </c>
      <c r="K686" s="1177" t="s">
        <v>674</v>
      </c>
      <c r="L686" s="1178" t="s">
        <v>675</v>
      </c>
      <c r="M686" s="1179">
        <f>43800000-7675000</f>
        <v>36125000</v>
      </c>
      <c r="N686" s="1382" t="s">
        <v>931</v>
      </c>
      <c r="O686" s="1174" t="s">
        <v>915</v>
      </c>
      <c r="P686" s="1163" t="s">
        <v>678</v>
      </c>
      <c r="Q686" s="1207"/>
      <c r="R686" s="1269">
        <v>0</v>
      </c>
      <c r="S686" s="1357"/>
      <c r="T686" s="1357">
        <f>+Tabla16[[#This Row],[CDPS A 31 JULIO 2022]]-Tabla16[[#This Row],[CDP]]</f>
        <v>0</v>
      </c>
      <c r="U686" s="1357"/>
      <c r="V686" s="1357"/>
      <c r="W686" s="1357"/>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135" x14ac:dyDescent="0.25">
      <c r="A687" s="1355">
        <v>2022730</v>
      </c>
      <c r="B687" s="1172">
        <v>7658</v>
      </c>
      <c r="C687" s="1356" t="s">
        <v>679</v>
      </c>
      <c r="D687" s="1190" t="s">
        <v>689</v>
      </c>
      <c r="E687" s="1174">
        <v>80111600</v>
      </c>
      <c r="F687" s="1380" t="s">
        <v>1320</v>
      </c>
      <c r="G687" s="1381">
        <v>44788</v>
      </c>
      <c r="H687" s="1381">
        <v>44783</v>
      </c>
      <c r="I687" s="1176">
        <v>1</v>
      </c>
      <c r="J687" s="1176" t="s">
        <v>673</v>
      </c>
      <c r="K687" s="1177" t="s">
        <v>674</v>
      </c>
      <c r="L687" s="1178" t="s">
        <v>675</v>
      </c>
      <c r="M687" s="1179">
        <v>9500000</v>
      </c>
      <c r="N687" s="1382" t="s">
        <v>931</v>
      </c>
      <c r="O687" s="1174" t="s">
        <v>915</v>
      </c>
      <c r="P687" s="1163" t="s">
        <v>678</v>
      </c>
      <c r="Q687" s="1207"/>
      <c r="R687" s="1269">
        <v>0</v>
      </c>
      <c r="S687" s="1357"/>
      <c r="T687" s="1357">
        <f>+Tabla16[[#This Row],[CDPS A 31 JULIO 2022]]-Tabla16[[#This Row],[CDP]]</f>
        <v>0</v>
      </c>
      <c r="U687" s="1357"/>
      <c r="V687" s="1357"/>
      <c r="W687" s="1357"/>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120" x14ac:dyDescent="0.25">
      <c r="A688" s="1355">
        <v>2022731</v>
      </c>
      <c r="B688" s="1172" t="s">
        <v>459</v>
      </c>
      <c r="C688" s="1356"/>
      <c r="D688" s="1190" t="s">
        <v>689</v>
      </c>
      <c r="E688" s="1174" t="s">
        <v>1157</v>
      </c>
      <c r="F688" s="1380" t="s">
        <v>1321</v>
      </c>
      <c r="G688" s="1381">
        <v>44788</v>
      </c>
      <c r="H688" s="1381">
        <v>44783</v>
      </c>
      <c r="I688" s="1176">
        <v>3</v>
      </c>
      <c r="J688" s="1176" t="s">
        <v>699</v>
      </c>
      <c r="K688" s="1177" t="s">
        <v>674</v>
      </c>
      <c r="L688" s="1178"/>
      <c r="M688" s="1179">
        <v>15000000</v>
      </c>
      <c r="N688" s="1382"/>
      <c r="O688" s="1174"/>
      <c r="P688" s="1163" t="s">
        <v>757</v>
      </c>
      <c r="Q688" s="1207"/>
      <c r="R688" s="1357"/>
      <c r="S688" s="1357"/>
      <c r="T688" s="1357">
        <f>+Tabla16[[#This Row],[CDPS A 31 JULIO 2022]]-Tabla16[[#This Row],[CDP]]</f>
        <v>0</v>
      </c>
      <c r="U688" s="1357"/>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ht="45" x14ac:dyDescent="0.25">
      <c r="A689" s="1355">
        <v>2022732</v>
      </c>
      <c r="B689" s="1172" t="s">
        <v>459</v>
      </c>
      <c r="C689" s="1356"/>
      <c r="D689" s="1190" t="s">
        <v>689</v>
      </c>
      <c r="E689" s="1174" t="s">
        <v>1165</v>
      </c>
      <c r="F689" s="1380" t="s">
        <v>1322</v>
      </c>
      <c r="G689" s="1381">
        <v>44782</v>
      </c>
      <c r="H689" s="1381">
        <v>44770</v>
      </c>
      <c r="I689" s="1176" t="s">
        <v>1323</v>
      </c>
      <c r="J689" s="1176" t="s">
        <v>645</v>
      </c>
      <c r="K689" s="1177" t="s">
        <v>43</v>
      </c>
      <c r="L689" s="1178"/>
      <c r="M689" s="1179">
        <v>348435865</v>
      </c>
      <c r="N689" s="1382"/>
      <c r="O689" s="1174"/>
      <c r="P689" s="1163" t="s">
        <v>757</v>
      </c>
      <c r="Q689" s="1207"/>
      <c r="R689" s="1357"/>
      <c r="S689" s="1357"/>
      <c r="T689" s="1357">
        <f>+Tabla16[[#This Row],[CDPS A 31 JULIO 2022]]-Tabla16[[#This Row],[CDP]]</f>
        <v>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c r="AZ689" s="1207"/>
      <c r="BA689" s="1207"/>
      <c r="BB689" s="1207"/>
      <c r="BC689" s="1207"/>
      <c r="BD689" s="1207"/>
      <c r="BE689" s="1207"/>
      <c r="BF689" s="1207"/>
      <c r="BG689" s="1207"/>
      <c r="BH689" s="1207"/>
      <c r="BI689" s="1207"/>
      <c r="BJ689" s="1207"/>
      <c r="BK689" s="1207"/>
      <c r="BL689" s="1207"/>
      <c r="BM689" s="1207"/>
      <c r="BN689" s="1207"/>
      <c r="BO689" s="1207"/>
      <c r="BP689" s="1207"/>
      <c r="BQ689" s="1207"/>
      <c r="BR689" s="1207"/>
      <c r="BS689" s="1207"/>
      <c r="BT689" s="1207"/>
      <c r="BU689" s="1207"/>
      <c r="BV689" s="1207"/>
      <c r="BW689" s="1207"/>
      <c r="BX689" s="1207"/>
      <c r="BY689" s="1207"/>
      <c r="BZ689" s="1207"/>
      <c r="CA689" s="1207"/>
      <c r="CB689" s="1207"/>
      <c r="CC689" s="1207"/>
      <c r="CD689" s="1207"/>
      <c r="CE689" s="1207"/>
      <c r="CF689" s="1207"/>
    </row>
    <row r="690" spans="1:84" ht="105" x14ac:dyDescent="0.25">
      <c r="A690" s="1355">
        <v>2022733</v>
      </c>
      <c r="B690" s="1172">
        <v>7637</v>
      </c>
      <c r="C690" s="1356" t="s">
        <v>643</v>
      </c>
      <c r="D690" s="1190" t="s">
        <v>671</v>
      </c>
      <c r="E690" s="1174">
        <v>72151500</v>
      </c>
      <c r="F690" s="1380" t="s">
        <v>1324</v>
      </c>
      <c r="G690" s="1381">
        <v>44778</v>
      </c>
      <c r="H690" s="1381">
        <v>44788</v>
      </c>
      <c r="I690" s="1176">
        <v>1</v>
      </c>
      <c r="J690" s="1176" t="s">
        <v>696</v>
      </c>
      <c r="K690" s="1177" t="s">
        <v>674</v>
      </c>
      <c r="L690" s="1178" t="s">
        <v>735</v>
      </c>
      <c r="M690" s="1179">
        <f>6500000+17750000+10750000</f>
        <v>35000000</v>
      </c>
      <c r="N690" s="1189" t="s">
        <v>676</v>
      </c>
      <c r="O690" s="1174" t="s">
        <v>677</v>
      </c>
      <c r="P690" s="1207" t="s">
        <v>757</v>
      </c>
      <c r="Q690" s="1207"/>
      <c r="R690" s="1269">
        <v>0</v>
      </c>
      <c r="S690" s="1357"/>
      <c r="T690" s="1357">
        <f>+Tabla16[[#This Row],[CDPS A 31 JULIO 2022]]-Tabla16[[#This Row],[CDP]]</f>
        <v>0</v>
      </c>
      <c r="U690" s="1357"/>
      <c r="V690" s="1357"/>
      <c r="W690" s="1357"/>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105" x14ac:dyDescent="0.25">
      <c r="A691" s="1355">
        <v>2022734</v>
      </c>
      <c r="B691" s="1172">
        <v>7655</v>
      </c>
      <c r="C691" s="1356" t="s">
        <v>668</v>
      </c>
      <c r="D691" s="1190" t="s">
        <v>671</v>
      </c>
      <c r="E691" s="1174">
        <v>80111600</v>
      </c>
      <c r="F691" s="1380" t="s">
        <v>1325</v>
      </c>
      <c r="G691" s="1381">
        <v>44788</v>
      </c>
      <c r="H691" s="1381">
        <v>44819</v>
      </c>
      <c r="I691" s="1176">
        <v>4.5</v>
      </c>
      <c r="J691" s="1176" t="s">
        <v>673</v>
      </c>
      <c r="K691" s="1177" t="s">
        <v>674</v>
      </c>
      <c r="L691" s="1178" t="s">
        <v>675</v>
      </c>
      <c r="M691" s="1179">
        <v>14400000</v>
      </c>
      <c r="N691" s="1382" t="s">
        <v>781</v>
      </c>
      <c r="O691" s="1174" t="s">
        <v>771</v>
      </c>
      <c r="P691" s="1207" t="s">
        <v>678</v>
      </c>
      <c r="Q691" s="1207"/>
      <c r="R691" s="1269">
        <v>0</v>
      </c>
      <c r="S691" s="1357"/>
      <c r="T691" s="1357">
        <f>+Tabla16[[#This Row],[CDPS A 31 JULIO 2022]]-Tabla16[[#This Row],[CDP]]</f>
        <v>0</v>
      </c>
      <c r="U691" s="1357"/>
      <c r="V691" s="1357"/>
      <c r="W691" s="1357"/>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105" x14ac:dyDescent="0.25">
      <c r="A692" s="1355">
        <v>2022735</v>
      </c>
      <c r="B692" s="1172">
        <v>7637</v>
      </c>
      <c r="C692" s="1356" t="s">
        <v>643</v>
      </c>
      <c r="D692" s="1190" t="s">
        <v>671</v>
      </c>
      <c r="E692" s="1174">
        <v>80111600</v>
      </c>
      <c r="F692" s="1380" t="s">
        <v>1326</v>
      </c>
      <c r="G692" s="1381">
        <v>44788</v>
      </c>
      <c r="H692" s="1381">
        <v>44819</v>
      </c>
      <c r="I692" s="1176">
        <v>4</v>
      </c>
      <c r="J692" s="1176" t="s">
        <v>673</v>
      </c>
      <c r="K692" s="1177" t="s">
        <v>674</v>
      </c>
      <c r="L692" s="1178" t="s">
        <v>675</v>
      </c>
      <c r="M692" s="1179">
        <v>15600000</v>
      </c>
      <c r="N692" s="1189" t="s">
        <v>676</v>
      </c>
      <c r="O692" s="1174" t="s">
        <v>677</v>
      </c>
      <c r="P692" s="1163" t="s">
        <v>678</v>
      </c>
      <c r="Q692" s="1207"/>
      <c r="R692" s="1269">
        <v>0</v>
      </c>
      <c r="S692" s="1357"/>
      <c r="T692" s="1357">
        <f>+Tabla16[[#This Row],[CDPS A 31 JULIO 2022]]-Tabla16[[#This Row],[CDP]]</f>
        <v>0</v>
      </c>
      <c r="U692" s="1357"/>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105" x14ac:dyDescent="0.25">
      <c r="A693" s="1400">
        <v>2022736</v>
      </c>
      <c r="B693" s="1401">
        <v>7655</v>
      </c>
      <c r="C693" s="1402" t="s">
        <v>668</v>
      </c>
      <c r="D693" s="1403" t="s">
        <v>671</v>
      </c>
      <c r="E693" s="1404" t="s">
        <v>1327</v>
      </c>
      <c r="F693" s="1405" t="s">
        <v>1328</v>
      </c>
      <c r="G693" s="1406">
        <v>44774</v>
      </c>
      <c r="H693" s="1406">
        <v>44804</v>
      </c>
      <c r="I693" s="1407">
        <v>2</v>
      </c>
      <c r="J693" s="1407" t="s">
        <v>699</v>
      </c>
      <c r="K693" s="1408" t="s">
        <v>674</v>
      </c>
      <c r="L693" s="1409" t="s">
        <v>675</v>
      </c>
      <c r="M693" s="1410">
        <v>45000000</v>
      </c>
      <c r="N693" s="1411" t="s">
        <v>781</v>
      </c>
      <c r="O693" s="1404" t="s">
        <v>771</v>
      </c>
      <c r="P693" s="1413" t="s">
        <v>678</v>
      </c>
      <c r="Q693" s="1207"/>
      <c r="R693" s="1269">
        <v>0</v>
      </c>
      <c r="S693" s="1357"/>
      <c r="T693" s="1357">
        <f>+Tabla16[[#This Row],[CDPS A 31 JULIO 2022]]-Tabla16[[#This Row],[CDP]]</f>
        <v>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135" x14ac:dyDescent="0.25">
      <c r="A694" s="1355">
        <v>2022737</v>
      </c>
      <c r="B694" s="1172">
        <v>7658</v>
      </c>
      <c r="C694" s="1356" t="s">
        <v>679</v>
      </c>
      <c r="D694" s="1190" t="s">
        <v>698</v>
      </c>
      <c r="E694" s="1174">
        <v>80111600</v>
      </c>
      <c r="F694" s="1380" t="s">
        <v>1329</v>
      </c>
      <c r="G694" s="1381">
        <v>44774</v>
      </c>
      <c r="H694" s="1381">
        <v>44774</v>
      </c>
      <c r="I694" s="1176">
        <v>5</v>
      </c>
      <c r="J694" s="1176" t="s">
        <v>673</v>
      </c>
      <c r="K694" s="1177" t="s">
        <v>674</v>
      </c>
      <c r="L694" s="1178" t="s">
        <v>675</v>
      </c>
      <c r="M694" s="1179">
        <v>30000000</v>
      </c>
      <c r="N694" s="1382" t="s">
        <v>772</v>
      </c>
      <c r="O694" s="1174" t="s">
        <v>915</v>
      </c>
      <c r="P694" s="1163" t="s">
        <v>678</v>
      </c>
      <c r="Q694" s="1207"/>
      <c r="R694" s="1269">
        <v>0</v>
      </c>
      <c r="S694" s="1357"/>
      <c r="T694" s="1357">
        <f>+Tabla16[[#This Row],[CDPS A 31 JULIO 2022]]-Tabla16[[#This Row],[CDP]]</f>
        <v>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90" x14ac:dyDescent="0.25">
      <c r="A695" s="1355">
        <v>2022738</v>
      </c>
      <c r="B695" s="1172">
        <v>7658</v>
      </c>
      <c r="C695" s="1356" t="s">
        <v>679</v>
      </c>
      <c r="D695" s="1190" t="s">
        <v>695</v>
      </c>
      <c r="E695" s="1174">
        <v>80111600</v>
      </c>
      <c r="F695" s="1380" t="s">
        <v>988</v>
      </c>
      <c r="G695" s="1381">
        <v>44784</v>
      </c>
      <c r="H695" s="1381">
        <v>44791</v>
      </c>
      <c r="I695" s="1176">
        <v>4</v>
      </c>
      <c r="J695" s="1176" t="s">
        <v>673</v>
      </c>
      <c r="K695" s="1177" t="s">
        <v>674</v>
      </c>
      <c r="L695" s="1178" t="s">
        <v>675</v>
      </c>
      <c r="M695" s="1179">
        <v>20700000</v>
      </c>
      <c r="N695" s="1382" t="s">
        <v>765</v>
      </c>
      <c r="O695" s="1174" t="s">
        <v>764</v>
      </c>
      <c r="P695" s="1207" t="s">
        <v>678</v>
      </c>
      <c r="Q695" s="1207"/>
      <c r="R695" s="1269">
        <v>0</v>
      </c>
      <c r="S695" s="1357"/>
      <c r="T695" s="1357">
        <f>+Tabla16[[#This Row],[CDPS A 31 JULIO 2022]]-Tabla16[[#This Row],[CDP]]</f>
        <v>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90" x14ac:dyDescent="0.25">
      <c r="A696" s="1355">
        <v>2022739</v>
      </c>
      <c r="B696" s="1172">
        <v>7658</v>
      </c>
      <c r="C696" s="1356" t="s">
        <v>679</v>
      </c>
      <c r="D696" s="1190" t="s">
        <v>695</v>
      </c>
      <c r="E696" s="1174">
        <v>80111600</v>
      </c>
      <c r="F696" s="1380" t="s">
        <v>980</v>
      </c>
      <c r="G696" s="1381">
        <v>44789</v>
      </c>
      <c r="H696" s="1381">
        <v>44797</v>
      </c>
      <c r="I696" s="1176">
        <v>4</v>
      </c>
      <c r="J696" s="1176" t="s">
        <v>673</v>
      </c>
      <c r="K696" s="1177" t="s">
        <v>674</v>
      </c>
      <c r="L696" s="1178" t="s">
        <v>675</v>
      </c>
      <c r="M696" s="1179">
        <v>9800000</v>
      </c>
      <c r="N696" s="1382" t="s">
        <v>765</v>
      </c>
      <c r="O696" s="1174" t="s">
        <v>764</v>
      </c>
      <c r="P696" s="1207" t="s">
        <v>678</v>
      </c>
      <c r="Q696" s="1207"/>
      <c r="R696" s="1269">
        <v>0</v>
      </c>
      <c r="S696" s="1357"/>
      <c r="T696" s="1357">
        <f>+Tabla16[[#This Row],[CDPS A 31 JULIO 2022]]-Tabla16[[#This Row],[CDP]]</f>
        <v>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90" x14ac:dyDescent="0.25">
      <c r="A697" s="1355">
        <v>2022740</v>
      </c>
      <c r="B697" s="1172">
        <v>7658</v>
      </c>
      <c r="C697" s="1356" t="s">
        <v>679</v>
      </c>
      <c r="D697" s="1190" t="s">
        <v>695</v>
      </c>
      <c r="E697" s="1174">
        <v>80111600</v>
      </c>
      <c r="F697" s="1380" t="s">
        <v>1330</v>
      </c>
      <c r="G697" s="1381">
        <v>44784</v>
      </c>
      <c r="H697" s="1381">
        <v>44793</v>
      </c>
      <c r="I697" s="1176">
        <v>3</v>
      </c>
      <c r="J697" s="1176" t="s">
        <v>673</v>
      </c>
      <c r="K697" s="1177" t="s">
        <v>674</v>
      </c>
      <c r="L697" s="1178" t="s">
        <v>675</v>
      </c>
      <c r="M697" s="1179">
        <f>16953300-3912300</f>
        <v>13041000</v>
      </c>
      <c r="N697" s="1382" t="s">
        <v>765</v>
      </c>
      <c r="O697" s="1174" t="s">
        <v>764</v>
      </c>
      <c r="P697" s="1207" t="s">
        <v>678</v>
      </c>
      <c r="Q697" s="1207"/>
      <c r="R697" s="1269">
        <v>0</v>
      </c>
      <c r="S697" s="1357"/>
      <c r="T697" s="1357">
        <f>+Tabla16[[#This Row],[CDPS A 31 JULIO 2022]]-Tabla16[[#This Row],[CDP]]</f>
        <v>0</v>
      </c>
      <c r="U697" s="1357"/>
      <c r="V697" s="1357"/>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90" x14ac:dyDescent="0.25">
      <c r="A698" s="1355">
        <v>2022741</v>
      </c>
      <c r="B698" s="1172">
        <v>7658</v>
      </c>
      <c r="C698" s="1356" t="s">
        <v>679</v>
      </c>
      <c r="D698" s="1190" t="s">
        <v>695</v>
      </c>
      <c r="E698" s="1174">
        <v>80111600</v>
      </c>
      <c r="F698" s="1380" t="s">
        <v>1331</v>
      </c>
      <c r="G698" s="1381">
        <v>44796</v>
      </c>
      <c r="H698" s="1381">
        <v>44804</v>
      </c>
      <c r="I698" s="1176">
        <v>3.5</v>
      </c>
      <c r="J698" s="1176" t="s">
        <v>673</v>
      </c>
      <c r="K698" s="1177" t="s">
        <v>674</v>
      </c>
      <c r="L698" s="1178" t="s">
        <v>675</v>
      </c>
      <c r="M698" s="1179">
        <v>13475000</v>
      </c>
      <c r="N698" s="1382" t="s">
        <v>765</v>
      </c>
      <c r="O698" s="1174" t="s">
        <v>764</v>
      </c>
      <c r="P698" s="1163" t="s">
        <v>757</v>
      </c>
      <c r="Q698" s="1207"/>
      <c r="R698" s="1269">
        <v>0</v>
      </c>
      <c r="S698" s="1357"/>
      <c r="T698" s="1357">
        <f>+Tabla16[[#This Row],[CDPS A 31 JULIO 2022]]-Tabla16[[#This Row],[CDP]]</f>
        <v>0</v>
      </c>
      <c r="U698" s="1357"/>
      <c r="V698" s="1357"/>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105" x14ac:dyDescent="0.25">
      <c r="A699" s="1355">
        <v>2022742</v>
      </c>
      <c r="B699" s="1172">
        <v>7655</v>
      </c>
      <c r="C699" s="1356" t="s">
        <v>668</v>
      </c>
      <c r="D699" s="1190" t="s">
        <v>695</v>
      </c>
      <c r="E699" s="1174">
        <v>80111600</v>
      </c>
      <c r="F699" s="1380" t="s">
        <v>844</v>
      </c>
      <c r="G699" s="1381">
        <v>44783</v>
      </c>
      <c r="H699" s="1381">
        <v>44790</v>
      </c>
      <c r="I699" s="1176">
        <v>4</v>
      </c>
      <c r="J699" s="1176" t="s">
        <v>673</v>
      </c>
      <c r="K699" s="1177" t="s">
        <v>674</v>
      </c>
      <c r="L699" s="1178" t="s">
        <v>675</v>
      </c>
      <c r="M699" s="1179">
        <v>15940000</v>
      </c>
      <c r="N699" s="1382" t="s">
        <v>781</v>
      </c>
      <c r="O699" s="1174" t="s">
        <v>771</v>
      </c>
      <c r="P699" s="1163" t="s">
        <v>678</v>
      </c>
      <c r="Q699" s="1207"/>
      <c r="R699" s="1269">
        <v>0</v>
      </c>
      <c r="S699" s="1357"/>
      <c r="T699" s="1357">
        <f>+Tabla16[[#This Row],[CDPS A 31 JULIO 2022]]-Tabla16[[#This Row],[CDP]]</f>
        <v>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105" x14ac:dyDescent="0.25">
      <c r="A700" s="1355">
        <v>2022743</v>
      </c>
      <c r="B700" s="1172">
        <v>7655</v>
      </c>
      <c r="C700" s="1356" t="s">
        <v>668</v>
      </c>
      <c r="D700" s="1190" t="s">
        <v>695</v>
      </c>
      <c r="E700" s="1174">
        <v>80111600</v>
      </c>
      <c r="F700" s="1380" t="s">
        <v>845</v>
      </c>
      <c r="G700" s="1381">
        <v>44783</v>
      </c>
      <c r="H700" s="1381">
        <v>44790</v>
      </c>
      <c r="I700" s="1176">
        <v>4</v>
      </c>
      <c r="J700" s="1176" t="s">
        <v>673</v>
      </c>
      <c r="K700" s="1177" t="s">
        <v>674</v>
      </c>
      <c r="L700" s="1178" t="s">
        <v>675</v>
      </c>
      <c r="M700" s="1179">
        <v>9800000</v>
      </c>
      <c r="N700" s="1382" t="s">
        <v>781</v>
      </c>
      <c r="O700" s="1174" t="s">
        <v>771</v>
      </c>
      <c r="P700" s="1163" t="s">
        <v>678</v>
      </c>
      <c r="Q700" s="1207"/>
      <c r="R700" s="1269">
        <v>0</v>
      </c>
      <c r="S700" s="1357"/>
      <c r="T700" s="1357">
        <f>+Tabla16[[#This Row],[CDPS A 31 JULIO 2022]]-Tabla16[[#This Row],[CDP]]</f>
        <v>0</v>
      </c>
      <c r="U700" s="1357"/>
      <c r="V700" s="1357"/>
      <c r="W700" s="1357"/>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105" x14ac:dyDescent="0.25">
      <c r="A701" s="1400">
        <v>2022744</v>
      </c>
      <c r="B701" s="1401">
        <v>7655</v>
      </c>
      <c r="C701" s="1402" t="s">
        <v>668</v>
      </c>
      <c r="D701" s="1403" t="s">
        <v>695</v>
      </c>
      <c r="E701" s="1404">
        <v>80111600</v>
      </c>
      <c r="F701" s="1404" t="s">
        <v>1332</v>
      </c>
      <c r="G701" s="1406">
        <v>44784</v>
      </c>
      <c r="H701" s="1406">
        <v>44794</v>
      </c>
      <c r="I701" s="1407">
        <v>4</v>
      </c>
      <c r="J701" s="1407" t="s">
        <v>673</v>
      </c>
      <c r="K701" s="1408" t="s">
        <v>674</v>
      </c>
      <c r="L701" s="1409" t="s">
        <v>675</v>
      </c>
      <c r="M701" s="1410">
        <f>12898333-92333-381000</f>
        <v>12425000</v>
      </c>
      <c r="N701" s="1411" t="s">
        <v>781</v>
      </c>
      <c r="O701" s="1404" t="s">
        <v>771</v>
      </c>
      <c r="P701" s="1413" t="s">
        <v>757</v>
      </c>
      <c r="Q701" s="1207"/>
      <c r="R701" s="1269">
        <v>0</v>
      </c>
      <c r="S701" s="1357"/>
      <c r="T701" s="1357">
        <f>+Tabla16[[#This Row],[CDPS A 31 JULIO 2022]]-Tabla16[[#This Row],[CDP]]</f>
        <v>0</v>
      </c>
      <c r="U701" s="1357"/>
      <c r="V701" s="1357"/>
      <c r="W701" s="1357"/>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105" x14ac:dyDescent="0.25">
      <c r="A702" s="1400">
        <v>2022746</v>
      </c>
      <c r="B702" s="1401">
        <v>7655</v>
      </c>
      <c r="C702" s="1402" t="s">
        <v>668</v>
      </c>
      <c r="D702" s="1403" t="s">
        <v>695</v>
      </c>
      <c r="E702" s="1404">
        <v>80111600</v>
      </c>
      <c r="F702" s="1404" t="s">
        <v>852</v>
      </c>
      <c r="G702" s="1406">
        <v>44784</v>
      </c>
      <c r="H702" s="1406">
        <v>44791</v>
      </c>
      <c r="I702" s="1407">
        <v>3</v>
      </c>
      <c r="J702" s="1407" t="s">
        <v>673</v>
      </c>
      <c r="K702" s="1408" t="s">
        <v>674</v>
      </c>
      <c r="L702" s="1409" t="s">
        <v>675</v>
      </c>
      <c r="M702" s="1410">
        <f>29200000-11200000-921000</f>
        <v>17079000</v>
      </c>
      <c r="N702" s="1411" t="s">
        <v>781</v>
      </c>
      <c r="O702" s="1404" t="s">
        <v>771</v>
      </c>
      <c r="P702" s="1413" t="s">
        <v>678</v>
      </c>
      <c r="Q702" s="1207"/>
      <c r="R702" s="1269">
        <v>0</v>
      </c>
      <c r="S702" s="1357"/>
      <c r="T702" s="1357">
        <f>+Tabla16[[#This Row],[CDPS A 31 JULIO 2022]]-Tabla16[[#This Row],[CDP]]</f>
        <v>0</v>
      </c>
      <c r="U702" s="1357"/>
      <c r="V702" s="1357"/>
      <c r="W702" s="1357"/>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ht="105" x14ac:dyDescent="0.25">
      <c r="A703" s="1400">
        <v>2022747</v>
      </c>
      <c r="B703" s="1401">
        <v>7655</v>
      </c>
      <c r="C703" s="1402" t="s">
        <v>668</v>
      </c>
      <c r="D703" s="1403" t="s">
        <v>695</v>
      </c>
      <c r="E703" s="1404">
        <v>80111600</v>
      </c>
      <c r="F703" s="1404" t="s">
        <v>850</v>
      </c>
      <c r="G703" s="1406">
        <v>44784</v>
      </c>
      <c r="H703" s="1406">
        <v>44793</v>
      </c>
      <c r="I703" s="1407">
        <v>5</v>
      </c>
      <c r="J703" s="1407" t="s">
        <v>673</v>
      </c>
      <c r="K703" s="1408" t="s">
        <v>674</v>
      </c>
      <c r="L703" s="1409" t="s">
        <v>675</v>
      </c>
      <c r="M703" s="1410">
        <f>16560000-1104000</f>
        <v>15456000</v>
      </c>
      <c r="N703" s="1411" t="s">
        <v>781</v>
      </c>
      <c r="O703" s="1404" t="s">
        <v>771</v>
      </c>
      <c r="P703" s="1413" t="s">
        <v>678</v>
      </c>
      <c r="Q703" s="1207"/>
      <c r="R703" s="1269">
        <v>0</v>
      </c>
      <c r="S703" s="1357"/>
      <c r="T703" s="1357">
        <f>+Tabla16[[#This Row],[CDPS A 31 JULIO 2022]]-Tabla16[[#This Row],[CDP]]</f>
        <v>0</v>
      </c>
      <c r="U703" s="1357"/>
      <c r="V703" s="1357"/>
      <c r="W703" s="1357"/>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c r="AZ703" s="1207"/>
      <c r="BA703" s="1207"/>
      <c r="BB703" s="1207"/>
      <c r="BC703" s="1207"/>
      <c r="BD703" s="1207"/>
      <c r="BE703" s="1207"/>
      <c r="BF703" s="1207"/>
      <c r="BG703" s="1207"/>
      <c r="BH703" s="1207"/>
      <c r="BI703" s="1207"/>
      <c r="BJ703" s="1207"/>
      <c r="BK703" s="1207"/>
      <c r="BL703" s="1207"/>
      <c r="BM703" s="1207"/>
      <c r="BN703" s="1207"/>
      <c r="BO703" s="1207"/>
      <c r="BP703" s="1207"/>
      <c r="BQ703" s="1207"/>
      <c r="BR703" s="1207"/>
      <c r="BS703" s="1207"/>
      <c r="BT703" s="1207"/>
      <c r="BU703" s="1207"/>
      <c r="BV703" s="1207"/>
      <c r="BW703" s="1207"/>
      <c r="BX703" s="1207"/>
      <c r="BY703" s="1207"/>
      <c r="BZ703" s="1207"/>
      <c r="CA703" s="1207"/>
      <c r="CB703" s="1207"/>
      <c r="CC703" s="1207"/>
      <c r="CD703" s="1207"/>
      <c r="CE703" s="1207"/>
      <c r="CF703" s="1207"/>
    </row>
    <row r="704" spans="1:84" ht="105" x14ac:dyDescent="0.25">
      <c r="A704" s="1400">
        <v>2022748</v>
      </c>
      <c r="B704" s="1401">
        <v>7655</v>
      </c>
      <c r="C704" s="1402" t="s">
        <v>668</v>
      </c>
      <c r="D704" s="1403" t="s">
        <v>695</v>
      </c>
      <c r="E704" s="1404">
        <v>80111600</v>
      </c>
      <c r="F704" s="1404" t="s">
        <v>1333</v>
      </c>
      <c r="G704" s="1406">
        <v>44784</v>
      </c>
      <c r="H704" s="1406">
        <v>44794</v>
      </c>
      <c r="I704" s="1407">
        <v>4</v>
      </c>
      <c r="J704" s="1407" t="s">
        <v>673</v>
      </c>
      <c r="K704" s="1408" t="s">
        <v>674</v>
      </c>
      <c r="L704" s="1409" t="s">
        <v>675</v>
      </c>
      <c r="M704" s="1410">
        <f>18457500-345000</f>
        <v>18112500</v>
      </c>
      <c r="N704" s="1411" t="s">
        <v>781</v>
      </c>
      <c r="O704" s="1404" t="s">
        <v>771</v>
      </c>
      <c r="P704" s="1413" t="s">
        <v>757</v>
      </c>
      <c r="Q704" s="1207"/>
      <c r="R704" s="1269">
        <v>0</v>
      </c>
      <c r="S704" s="1357"/>
      <c r="T704" s="1357">
        <f>+Tabla16[[#This Row],[CDPS A 31 JULIO 2022]]-Tabla16[[#This Row],[CDP]]</f>
        <v>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105" x14ac:dyDescent="0.25">
      <c r="A705" s="1400">
        <v>2022750</v>
      </c>
      <c r="B705" s="1401">
        <v>7655</v>
      </c>
      <c r="C705" s="1402" t="s">
        <v>668</v>
      </c>
      <c r="D705" s="1403" t="s">
        <v>695</v>
      </c>
      <c r="E705" s="1404">
        <v>80111600</v>
      </c>
      <c r="F705" s="1404" t="s">
        <v>1334</v>
      </c>
      <c r="G705" s="1406">
        <v>44784</v>
      </c>
      <c r="H705" s="1406">
        <v>44793</v>
      </c>
      <c r="I705" s="1407">
        <v>4</v>
      </c>
      <c r="J705" s="1407" t="s">
        <v>673</v>
      </c>
      <c r="K705" s="1408" t="s">
        <v>674</v>
      </c>
      <c r="L705" s="1409" t="s">
        <v>675</v>
      </c>
      <c r="M705" s="1410">
        <f>11385000-181500-336000</f>
        <v>10867500</v>
      </c>
      <c r="N705" s="1411" t="s">
        <v>781</v>
      </c>
      <c r="O705" s="1404" t="s">
        <v>771</v>
      </c>
      <c r="P705" s="1413" t="s">
        <v>757</v>
      </c>
      <c r="Q705" s="1207"/>
      <c r="R705" s="1269">
        <v>0</v>
      </c>
      <c r="S705" s="1357"/>
      <c r="T705" s="1357">
        <f>+Tabla16[[#This Row],[CDPS A 31 JULIO 2022]]-Tabla16[[#This Row],[CDP]]</f>
        <v>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105" x14ac:dyDescent="0.25">
      <c r="A706" s="1355">
        <v>2022751</v>
      </c>
      <c r="B706" s="1172">
        <v>7655</v>
      </c>
      <c r="C706" s="1356" t="s">
        <v>668</v>
      </c>
      <c r="D706" s="1190" t="s">
        <v>695</v>
      </c>
      <c r="E706" s="1174">
        <v>80111600</v>
      </c>
      <c r="F706" s="1174" t="s">
        <v>846</v>
      </c>
      <c r="G706" s="1381">
        <v>44792</v>
      </c>
      <c r="H706" s="1381">
        <v>44799</v>
      </c>
      <c r="I706" s="1176">
        <v>4</v>
      </c>
      <c r="J706" s="1176" t="s">
        <v>673</v>
      </c>
      <c r="K706" s="1177" t="s">
        <v>674</v>
      </c>
      <c r="L706" s="1178" t="s">
        <v>675</v>
      </c>
      <c r="M706" s="1179">
        <f>20400000-5100000-5100000</f>
        <v>10200000</v>
      </c>
      <c r="N706" s="1382" t="s">
        <v>781</v>
      </c>
      <c r="O706" s="1174" t="s">
        <v>771</v>
      </c>
      <c r="P706" s="1163" t="s">
        <v>678</v>
      </c>
      <c r="Q706" s="1207"/>
      <c r="R706" s="1269">
        <v>0</v>
      </c>
      <c r="S706" s="1357"/>
      <c r="T706" s="1357">
        <f>+Tabla16[[#This Row],[CDPS A 31 JULIO 2022]]-Tabla16[[#This Row],[CDP]]</f>
        <v>0</v>
      </c>
      <c r="U706" s="1357"/>
      <c r="V706" s="1357"/>
      <c r="W706" s="1357"/>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105" x14ac:dyDescent="0.25">
      <c r="A707" s="1355">
        <v>2022752</v>
      </c>
      <c r="B707" s="1172">
        <v>7655</v>
      </c>
      <c r="C707" s="1356" t="s">
        <v>668</v>
      </c>
      <c r="D707" s="1190" t="s">
        <v>695</v>
      </c>
      <c r="E707" s="1174">
        <v>80111600</v>
      </c>
      <c r="F707" s="1174" t="s">
        <v>860</v>
      </c>
      <c r="G707" s="1381">
        <v>44796</v>
      </c>
      <c r="H707" s="1381">
        <v>44804</v>
      </c>
      <c r="I707" s="1176">
        <v>3</v>
      </c>
      <c r="J707" s="1176" t="s">
        <v>673</v>
      </c>
      <c r="K707" s="1177" t="s">
        <v>674</v>
      </c>
      <c r="L707" s="1178" t="s">
        <v>675</v>
      </c>
      <c r="M707" s="1179">
        <f>18112500-2587500</f>
        <v>15525000</v>
      </c>
      <c r="N707" s="1382" t="s">
        <v>781</v>
      </c>
      <c r="O707" s="1174" t="s">
        <v>771</v>
      </c>
      <c r="P707" s="1163" t="s">
        <v>678</v>
      </c>
      <c r="Q707" s="1207"/>
      <c r="R707" s="1269">
        <v>0</v>
      </c>
      <c r="S707" s="1357"/>
      <c r="T707" s="1357">
        <f>+Tabla16[[#This Row],[CDPS A 31 JULIO 2022]]-Tabla16[[#This Row],[CDP]]</f>
        <v>0</v>
      </c>
      <c r="U707" s="1357"/>
      <c r="V707" s="1357"/>
      <c r="W707" s="1357"/>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105" x14ac:dyDescent="0.25">
      <c r="A708" s="1355">
        <v>2022753</v>
      </c>
      <c r="B708" s="1172">
        <v>7655</v>
      </c>
      <c r="C708" s="1356" t="s">
        <v>668</v>
      </c>
      <c r="D708" s="1190" t="s">
        <v>695</v>
      </c>
      <c r="E708" s="1174">
        <v>80111600</v>
      </c>
      <c r="F708" s="1174" t="s">
        <v>853</v>
      </c>
      <c r="G708" s="1381">
        <v>44796</v>
      </c>
      <c r="H708" s="1381">
        <v>44804</v>
      </c>
      <c r="I708" s="1176">
        <v>4.5</v>
      </c>
      <c r="J708" s="1176" t="s">
        <v>673</v>
      </c>
      <c r="K708" s="1177" t="s">
        <v>674</v>
      </c>
      <c r="L708" s="1178" t="s">
        <v>675</v>
      </c>
      <c r="M708" s="1179">
        <f>17325000-17325000</f>
        <v>0</v>
      </c>
      <c r="N708" s="1382" t="s">
        <v>781</v>
      </c>
      <c r="O708" s="1174" t="s">
        <v>771</v>
      </c>
      <c r="P708" s="1163" t="s">
        <v>678</v>
      </c>
      <c r="Q708" s="1207"/>
      <c r="R708" s="1269">
        <v>0</v>
      </c>
      <c r="S708" s="1357"/>
      <c r="T708" s="1357">
        <f>+Tabla16[[#This Row],[CDPS A 31 JULIO 2022]]-Tabla16[[#This Row],[CDP]]</f>
        <v>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105" x14ac:dyDescent="0.25">
      <c r="A709" s="1355">
        <v>2022760</v>
      </c>
      <c r="B709" s="1172">
        <v>7655</v>
      </c>
      <c r="C709" s="1356" t="s">
        <v>668</v>
      </c>
      <c r="D709" s="1190" t="s">
        <v>689</v>
      </c>
      <c r="E709" s="1174" t="s">
        <v>778</v>
      </c>
      <c r="F709" s="1174" t="s">
        <v>1335</v>
      </c>
      <c r="G709" s="1381">
        <v>44788</v>
      </c>
      <c r="H709" s="1381">
        <v>44778</v>
      </c>
      <c r="I709" s="1176">
        <v>4</v>
      </c>
      <c r="J709" s="1176" t="s">
        <v>673</v>
      </c>
      <c r="K709" s="1177" t="s">
        <v>674</v>
      </c>
      <c r="L709" s="1178" t="s">
        <v>675</v>
      </c>
      <c r="M709" s="1179">
        <v>26000000</v>
      </c>
      <c r="N709" s="1382" t="s">
        <v>781</v>
      </c>
      <c r="O709" s="1174" t="s">
        <v>771</v>
      </c>
      <c r="P709" s="1207" t="s">
        <v>678</v>
      </c>
      <c r="Q709" s="1207"/>
      <c r="R709" s="1269">
        <v>0</v>
      </c>
      <c r="S709" s="1357"/>
      <c r="T709" s="1357">
        <f>+Tabla16[[#This Row],[CDPS A 31 JULIO 2022]]-Tabla16[[#This Row],[CDP]]</f>
        <v>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105" x14ac:dyDescent="0.25">
      <c r="A710" s="1355">
        <v>2022761</v>
      </c>
      <c r="B710" s="1172">
        <v>7655</v>
      </c>
      <c r="C710" s="1356" t="s">
        <v>668</v>
      </c>
      <c r="D710" s="1190" t="s">
        <v>689</v>
      </c>
      <c r="E710" s="1174" t="s">
        <v>778</v>
      </c>
      <c r="F710" s="1174" t="s">
        <v>1336</v>
      </c>
      <c r="G710" s="1381">
        <v>44788</v>
      </c>
      <c r="H710" s="1381">
        <v>44778</v>
      </c>
      <c r="I710" s="1176">
        <v>4</v>
      </c>
      <c r="J710" s="1176" t="s">
        <v>673</v>
      </c>
      <c r="K710" s="1177" t="s">
        <v>674</v>
      </c>
      <c r="L710" s="1178" t="s">
        <v>675</v>
      </c>
      <c r="M710" s="1179">
        <v>11000000</v>
      </c>
      <c r="N710" s="1382" t="s">
        <v>781</v>
      </c>
      <c r="O710" s="1174" t="s">
        <v>771</v>
      </c>
      <c r="P710" s="1207" t="s">
        <v>678</v>
      </c>
      <c r="Q710" s="1207"/>
      <c r="R710" s="1269">
        <v>0</v>
      </c>
      <c r="S710" s="1357"/>
      <c r="T710" s="1357">
        <f>+Tabla16[[#This Row],[CDPS A 31 JULIO 2022]]-Tabla16[[#This Row],[CDP]]</f>
        <v>0</v>
      </c>
      <c r="U710" s="1357"/>
      <c r="V710" s="1357"/>
      <c r="W710" s="1357"/>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105" x14ac:dyDescent="0.25">
      <c r="A711" s="1355">
        <v>2022762</v>
      </c>
      <c r="B711" s="1172">
        <v>7655</v>
      </c>
      <c r="C711" s="1356" t="s">
        <v>668</v>
      </c>
      <c r="D711" s="1190" t="s">
        <v>689</v>
      </c>
      <c r="E711" s="1174" t="s">
        <v>778</v>
      </c>
      <c r="F711" s="1174" t="s">
        <v>1337</v>
      </c>
      <c r="G711" s="1381">
        <v>44788</v>
      </c>
      <c r="H711" s="1381">
        <v>44778</v>
      </c>
      <c r="I711" s="1176">
        <v>5</v>
      </c>
      <c r="J711" s="1176" t="s">
        <v>673</v>
      </c>
      <c r="K711" s="1177" t="s">
        <v>674</v>
      </c>
      <c r="L711" s="1178" t="s">
        <v>675</v>
      </c>
      <c r="M711" s="1179">
        <v>19250000</v>
      </c>
      <c r="N711" s="1382" t="s">
        <v>781</v>
      </c>
      <c r="O711" s="1174" t="s">
        <v>771</v>
      </c>
      <c r="P711" s="1207" t="s">
        <v>678</v>
      </c>
      <c r="Q711" s="1207"/>
      <c r="R711" s="1269">
        <v>0</v>
      </c>
      <c r="S711" s="1357"/>
      <c r="T711" s="1357">
        <f>+Tabla16[[#This Row],[CDPS A 31 JULIO 2022]]-Tabla16[[#This Row],[CDP]]</f>
        <v>0</v>
      </c>
      <c r="U711" s="1357"/>
      <c r="V711" s="1357"/>
      <c r="W711" s="1357"/>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105" x14ac:dyDescent="0.25">
      <c r="A712" s="1355">
        <v>2022763</v>
      </c>
      <c r="B712" s="1172">
        <v>7655</v>
      </c>
      <c r="C712" s="1356" t="s">
        <v>668</v>
      </c>
      <c r="D712" s="1190" t="s">
        <v>689</v>
      </c>
      <c r="E712" s="1174" t="s">
        <v>778</v>
      </c>
      <c r="F712" s="1174" t="s">
        <v>1338</v>
      </c>
      <c r="G712" s="1381">
        <v>44788</v>
      </c>
      <c r="H712" s="1381">
        <v>44778</v>
      </c>
      <c r="I712" s="1176">
        <v>5</v>
      </c>
      <c r="J712" s="1176" t="s">
        <v>673</v>
      </c>
      <c r="K712" s="1177" t="s">
        <v>674</v>
      </c>
      <c r="L712" s="1178" t="s">
        <v>675</v>
      </c>
      <c r="M712" s="1179">
        <v>27500000</v>
      </c>
      <c r="N712" s="1382" t="s">
        <v>781</v>
      </c>
      <c r="O712" s="1174" t="s">
        <v>771</v>
      </c>
      <c r="P712" s="1207" t="s">
        <v>678</v>
      </c>
      <c r="Q712" s="1207"/>
      <c r="R712" s="1269">
        <v>0</v>
      </c>
      <c r="S712" s="1357"/>
      <c r="T712" s="1357">
        <f>+Tabla16[[#This Row],[CDPS A 31 JULIO 2022]]-Tabla16[[#This Row],[CDP]]</f>
        <v>0</v>
      </c>
      <c r="U712" s="1357"/>
      <c r="V712" s="1357"/>
      <c r="W712" s="1357"/>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105" x14ac:dyDescent="0.25">
      <c r="A713" s="1355">
        <v>2022764</v>
      </c>
      <c r="B713" s="1172">
        <v>7655</v>
      </c>
      <c r="C713" s="1356" t="s">
        <v>668</v>
      </c>
      <c r="D713" s="1190" t="s">
        <v>689</v>
      </c>
      <c r="E713" s="1174" t="s">
        <v>778</v>
      </c>
      <c r="F713" s="1174" t="s">
        <v>1339</v>
      </c>
      <c r="G713" s="1381">
        <v>44788</v>
      </c>
      <c r="H713" s="1381">
        <v>44778</v>
      </c>
      <c r="I713" s="1176">
        <v>5</v>
      </c>
      <c r="J713" s="1176" t="s">
        <v>673</v>
      </c>
      <c r="K713" s="1177" t="s">
        <v>674</v>
      </c>
      <c r="L713" s="1178" t="s">
        <v>675</v>
      </c>
      <c r="M713" s="1179">
        <v>27500000</v>
      </c>
      <c r="N713" s="1382" t="s">
        <v>781</v>
      </c>
      <c r="O713" s="1174" t="s">
        <v>771</v>
      </c>
      <c r="P713" s="1207" t="s">
        <v>678</v>
      </c>
      <c r="Q713" s="1207"/>
      <c r="R713" s="1269">
        <v>0</v>
      </c>
      <c r="S713" s="1357"/>
      <c r="T713" s="1357">
        <f>+Tabla16[[#This Row],[CDPS A 31 JULIO 2022]]-Tabla16[[#This Row],[CDP]]</f>
        <v>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105" x14ac:dyDescent="0.25">
      <c r="A714" s="1355">
        <v>2022765</v>
      </c>
      <c r="B714" s="1172">
        <v>7655</v>
      </c>
      <c r="C714" s="1356" t="s">
        <v>668</v>
      </c>
      <c r="D714" s="1190" t="s">
        <v>689</v>
      </c>
      <c r="E714" s="1174" t="s">
        <v>778</v>
      </c>
      <c r="F714" s="1398" t="s">
        <v>1340</v>
      </c>
      <c r="G714" s="1381">
        <v>44788</v>
      </c>
      <c r="H714" s="1381">
        <v>44778</v>
      </c>
      <c r="I714" s="1176">
        <v>1</v>
      </c>
      <c r="J714" s="1176" t="s">
        <v>673</v>
      </c>
      <c r="K714" s="1177" t="s">
        <v>674</v>
      </c>
      <c r="L714" s="1178" t="s">
        <v>675</v>
      </c>
      <c r="M714" s="1179">
        <v>2750000</v>
      </c>
      <c r="N714" s="1382" t="s">
        <v>781</v>
      </c>
      <c r="O714" s="1174" t="s">
        <v>771</v>
      </c>
      <c r="P714" s="1163" t="s">
        <v>678</v>
      </c>
      <c r="Q714" s="1207"/>
      <c r="R714" s="1357"/>
      <c r="S714" s="1357"/>
      <c r="T714" s="1357">
        <f>+Tabla16[[#This Row],[CDPS A 31 JULIO 2022]]-Tabla16[[#This Row],[CDP]]</f>
        <v>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105" x14ac:dyDescent="0.25">
      <c r="A715" s="1355">
        <v>2022766</v>
      </c>
      <c r="B715" s="1172">
        <v>7655</v>
      </c>
      <c r="C715" s="1356" t="s">
        <v>668</v>
      </c>
      <c r="D715" s="1190" t="s">
        <v>671</v>
      </c>
      <c r="E715" s="1174">
        <v>80111600</v>
      </c>
      <c r="F715" s="1174" t="s">
        <v>1341</v>
      </c>
      <c r="G715" s="1381">
        <v>44788</v>
      </c>
      <c r="H715" s="1381">
        <v>44819</v>
      </c>
      <c r="I715" s="1176">
        <v>3.5</v>
      </c>
      <c r="J715" s="1176" t="s">
        <v>673</v>
      </c>
      <c r="K715" s="1177" t="s">
        <v>674</v>
      </c>
      <c r="L715" s="1178" t="s">
        <v>675</v>
      </c>
      <c r="M715" s="1179">
        <v>24000000</v>
      </c>
      <c r="N715" s="1382" t="s">
        <v>781</v>
      </c>
      <c r="O715" s="1174" t="s">
        <v>771</v>
      </c>
      <c r="P715" s="1207" t="s">
        <v>748</v>
      </c>
      <c r="Q715" s="1207"/>
      <c r="R715" s="1357"/>
      <c r="S715" s="1357"/>
      <c r="T715" s="1357">
        <f>+Tabla16[[#This Row],[CDPS A 31 JULIO 2022]]-Tabla16[[#This Row],[CDP]]</f>
        <v>0</v>
      </c>
      <c r="U715" s="1357"/>
      <c r="V715" s="1357"/>
      <c r="W715" s="1357"/>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105" x14ac:dyDescent="0.25">
      <c r="A716" s="1355">
        <v>2022767</v>
      </c>
      <c r="B716" s="1172">
        <v>7655</v>
      </c>
      <c r="C716" s="1356" t="s">
        <v>668</v>
      </c>
      <c r="D716" s="1190" t="s">
        <v>671</v>
      </c>
      <c r="E716" s="1174">
        <v>80111600</v>
      </c>
      <c r="F716" s="1189" t="s">
        <v>1342</v>
      </c>
      <c r="G716" s="1381">
        <v>44788</v>
      </c>
      <c r="H716" s="1381">
        <v>44819</v>
      </c>
      <c r="I716" s="1176">
        <v>3.5</v>
      </c>
      <c r="J716" s="1176" t="s">
        <v>673</v>
      </c>
      <c r="K716" s="1177" t="s">
        <v>674</v>
      </c>
      <c r="L716" s="1178" t="s">
        <v>675</v>
      </c>
      <c r="M716" s="1179">
        <v>15000000</v>
      </c>
      <c r="N716" s="1382" t="s">
        <v>781</v>
      </c>
      <c r="O716" s="1174" t="s">
        <v>771</v>
      </c>
      <c r="P716" s="1207" t="s">
        <v>748</v>
      </c>
      <c r="Q716" s="1207"/>
      <c r="R716" s="1357"/>
      <c r="S716" s="1357"/>
      <c r="T716" s="1357">
        <f>+Tabla16[[#This Row],[CDPS A 31 JULIO 2022]]-Tabla16[[#This Row],[CDP]]</f>
        <v>0</v>
      </c>
      <c r="U716" s="1357"/>
      <c r="V716" s="1357"/>
      <c r="W716" s="1357"/>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105" x14ac:dyDescent="0.25">
      <c r="A717" s="1355">
        <v>2022768</v>
      </c>
      <c r="B717" s="1172">
        <v>7655</v>
      </c>
      <c r="C717" s="1356" t="s">
        <v>668</v>
      </c>
      <c r="D717" s="1190" t="s">
        <v>671</v>
      </c>
      <c r="E717" s="1174">
        <v>80111600</v>
      </c>
      <c r="F717" s="1174" t="s">
        <v>1343</v>
      </c>
      <c r="G717" s="1381">
        <v>44788</v>
      </c>
      <c r="H717" s="1381">
        <v>44819</v>
      </c>
      <c r="I717" s="1176">
        <v>3</v>
      </c>
      <c r="J717" s="1176" t="s">
        <v>673</v>
      </c>
      <c r="K717" s="1177" t="s">
        <v>674</v>
      </c>
      <c r="L717" s="1178" t="s">
        <v>675</v>
      </c>
      <c r="M717" s="1179">
        <v>13500000</v>
      </c>
      <c r="N717" s="1382" t="s">
        <v>781</v>
      </c>
      <c r="O717" s="1174" t="s">
        <v>771</v>
      </c>
      <c r="P717" s="1163" t="s">
        <v>757</v>
      </c>
      <c r="Q717" s="1207"/>
      <c r="R717" s="1357"/>
      <c r="S717" s="1357"/>
      <c r="T717" s="1357">
        <f>+Tabla16[[#This Row],[CDPS A 31 JULIO 2022]]-Tabla16[[#This Row],[CDP]]</f>
        <v>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105" x14ac:dyDescent="0.25">
      <c r="A718" s="1355">
        <v>2022769</v>
      </c>
      <c r="B718" s="1172">
        <v>7655</v>
      </c>
      <c r="C718" s="1356" t="s">
        <v>668</v>
      </c>
      <c r="D718" s="1190" t="s">
        <v>671</v>
      </c>
      <c r="E718" s="1174">
        <v>80111600</v>
      </c>
      <c r="F718" s="1174" t="s">
        <v>1344</v>
      </c>
      <c r="G718" s="1381">
        <v>44788</v>
      </c>
      <c r="H718" s="1381">
        <v>44819</v>
      </c>
      <c r="I718" s="1176">
        <v>3</v>
      </c>
      <c r="J718" s="1176" t="s">
        <v>673</v>
      </c>
      <c r="K718" s="1177" t="s">
        <v>674</v>
      </c>
      <c r="L718" s="1178" t="s">
        <v>675</v>
      </c>
      <c r="M718" s="1179">
        <v>13500000</v>
      </c>
      <c r="N718" s="1382" t="s">
        <v>781</v>
      </c>
      <c r="O718" s="1174" t="s">
        <v>771</v>
      </c>
      <c r="P718" s="1163" t="s">
        <v>757</v>
      </c>
      <c r="Q718" s="1207"/>
      <c r="R718" s="1357"/>
      <c r="S718" s="1357"/>
      <c r="T718" s="1357">
        <f>+Tabla16[[#This Row],[CDPS A 31 JULIO 2022]]-Tabla16[[#This Row],[CDP]]</f>
        <v>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105" x14ac:dyDescent="0.25">
      <c r="A719" s="1355">
        <v>2022770</v>
      </c>
      <c r="B719" s="1172">
        <v>7655</v>
      </c>
      <c r="C719" s="1356" t="s">
        <v>668</v>
      </c>
      <c r="D719" s="1190" t="s">
        <v>671</v>
      </c>
      <c r="E719" s="1174">
        <v>80111600</v>
      </c>
      <c r="F719" s="1174" t="s">
        <v>1345</v>
      </c>
      <c r="G719" s="1381">
        <v>44788</v>
      </c>
      <c r="H719" s="1381">
        <v>44819</v>
      </c>
      <c r="I719" s="1176">
        <v>3</v>
      </c>
      <c r="J719" s="1176" t="s">
        <v>673</v>
      </c>
      <c r="K719" s="1177" t="s">
        <v>674</v>
      </c>
      <c r="L719" s="1178" t="s">
        <v>675</v>
      </c>
      <c r="M719" s="1179">
        <v>13500000</v>
      </c>
      <c r="N719" s="1382" t="s">
        <v>781</v>
      </c>
      <c r="O719" s="1174" t="s">
        <v>771</v>
      </c>
      <c r="P719" s="1163" t="s">
        <v>757</v>
      </c>
      <c r="Q719" s="1207"/>
      <c r="R719" s="1357"/>
      <c r="S719" s="1357"/>
      <c r="T719" s="1357">
        <f>+Tabla16[[#This Row],[CDPS A 31 JULIO 2022]]-Tabla16[[#This Row],[CDP]]</f>
        <v>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105" x14ac:dyDescent="0.25">
      <c r="A720" s="1400">
        <v>2022771</v>
      </c>
      <c r="B720" s="1401">
        <v>7655</v>
      </c>
      <c r="C720" s="1402" t="s">
        <v>668</v>
      </c>
      <c r="D720" s="1403" t="s">
        <v>671</v>
      </c>
      <c r="E720" s="1404">
        <v>80111600</v>
      </c>
      <c r="F720" s="1404" t="s">
        <v>1346</v>
      </c>
      <c r="G720" s="1406">
        <v>44788</v>
      </c>
      <c r="H720" s="1406">
        <v>44819</v>
      </c>
      <c r="I720" s="1407">
        <v>3</v>
      </c>
      <c r="J720" s="1407" t="s">
        <v>673</v>
      </c>
      <c r="K720" s="1408" t="s">
        <v>674</v>
      </c>
      <c r="L720" s="1409" t="s">
        <v>675</v>
      </c>
      <c r="M720" s="1410">
        <f>29750000-4250000</f>
        <v>25500000</v>
      </c>
      <c r="N720" s="1411" t="s">
        <v>781</v>
      </c>
      <c r="O720" s="1404" t="s">
        <v>771</v>
      </c>
      <c r="P720" s="1413" t="s">
        <v>757</v>
      </c>
      <c r="Q720" s="1207"/>
      <c r="R720" s="1357"/>
      <c r="S720" s="1357"/>
      <c r="T720" s="1357">
        <f>+Tabla16[[#This Row],[CDPS A 31 JULIO 2022]]-Tabla16[[#This Row],[CDP]]</f>
        <v>0</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16350:16364" ht="105" x14ac:dyDescent="0.25">
      <c r="A721" s="1355">
        <v>2022772</v>
      </c>
      <c r="B721" s="1172">
        <v>7655</v>
      </c>
      <c r="C721" s="1356" t="s">
        <v>668</v>
      </c>
      <c r="D721" s="1190" t="s">
        <v>671</v>
      </c>
      <c r="E721" s="1174">
        <v>80111600</v>
      </c>
      <c r="F721" s="1174" t="s">
        <v>1347</v>
      </c>
      <c r="G721" s="1381">
        <v>44788</v>
      </c>
      <c r="H721" s="1381">
        <v>44819</v>
      </c>
      <c r="I721" s="1176">
        <v>3</v>
      </c>
      <c r="J721" s="1176" t="s">
        <v>673</v>
      </c>
      <c r="K721" s="1177" t="s">
        <v>674</v>
      </c>
      <c r="L721" s="1178" t="s">
        <v>675</v>
      </c>
      <c r="M721" s="1179">
        <v>13500000</v>
      </c>
      <c r="N721" s="1382" t="s">
        <v>781</v>
      </c>
      <c r="O721" s="1174" t="s">
        <v>771</v>
      </c>
      <c r="P721" s="1163" t="s">
        <v>757</v>
      </c>
      <c r="Q721" s="1207"/>
      <c r="R721" s="1357"/>
      <c r="S721" s="1357"/>
      <c r="T721" s="1357">
        <f>+Tabla16[[#This Row],[CDPS A 31 JULIO 2022]]-Tabla16[[#This Row],[CDP]]</f>
        <v>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16350:16364" ht="105" x14ac:dyDescent="0.25">
      <c r="A722" s="1355">
        <v>2022773</v>
      </c>
      <c r="B722" s="1172">
        <v>7655</v>
      </c>
      <c r="C722" s="1356" t="s">
        <v>668</v>
      </c>
      <c r="D722" s="1190" t="s">
        <v>686</v>
      </c>
      <c r="E722" s="1174">
        <v>80111600</v>
      </c>
      <c r="F722" s="1174" t="s">
        <v>1348</v>
      </c>
      <c r="G722" s="1381">
        <v>44822</v>
      </c>
      <c r="H722" s="1381">
        <v>44822</v>
      </c>
      <c r="I722" s="1176">
        <v>4</v>
      </c>
      <c r="J722" s="1176" t="s">
        <v>673</v>
      </c>
      <c r="K722" s="1177" t="s">
        <v>674</v>
      </c>
      <c r="L722" s="1178" t="s">
        <v>675</v>
      </c>
      <c r="M722" s="1179">
        <v>13123664</v>
      </c>
      <c r="N722" s="1382" t="s">
        <v>781</v>
      </c>
      <c r="O722" s="1174" t="s">
        <v>771</v>
      </c>
      <c r="P722" s="1163" t="s">
        <v>757</v>
      </c>
      <c r="Q722" s="1207"/>
      <c r="R722" s="1357"/>
      <c r="S722" s="1357"/>
      <c r="T722" s="1357">
        <f>+Tabla16[[#This Row],[CDPS A 31 JULIO 2022]]-Tabla16[[#This Row],[CDP]]</f>
        <v>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16350:16364" ht="105" x14ac:dyDescent="0.25">
      <c r="A723" s="1355">
        <v>2022774</v>
      </c>
      <c r="B723" s="1172">
        <v>7655</v>
      </c>
      <c r="C723" s="1356" t="s">
        <v>668</v>
      </c>
      <c r="D723" s="1190" t="s">
        <v>686</v>
      </c>
      <c r="E723" s="1174">
        <v>80111600</v>
      </c>
      <c r="F723" s="1174" t="s">
        <v>1349</v>
      </c>
      <c r="G723" s="1381">
        <v>44822</v>
      </c>
      <c r="H723" s="1381">
        <v>44822</v>
      </c>
      <c r="I723" s="1176">
        <v>4</v>
      </c>
      <c r="J723" s="1176" t="s">
        <v>673</v>
      </c>
      <c r="K723" s="1177" t="s">
        <v>674</v>
      </c>
      <c r="L723" s="1178" t="s">
        <v>675</v>
      </c>
      <c r="M723" s="1179">
        <v>15232332</v>
      </c>
      <c r="N723" s="1382" t="s">
        <v>781</v>
      </c>
      <c r="O723" s="1174" t="s">
        <v>771</v>
      </c>
      <c r="P723" s="1163" t="s">
        <v>757</v>
      </c>
      <c r="Q723" s="1207"/>
      <c r="R723" s="1357"/>
      <c r="S723" s="1357"/>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16350:16364" ht="105" x14ac:dyDescent="0.25">
      <c r="A724" s="1355">
        <v>2022775</v>
      </c>
      <c r="B724" s="1172">
        <v>7655</v>
      </c>
      <c r="C724" s="1356" t="s">
        <v>668</v>
      </c>
      <c r="D724" s="1190" t="s">
        <v>686</v>
      </c>
      <c r="E724" s="1174">
        <v>80111600</v>
      </c>
      <c r="F724" s="1174" t="s">
        <v>1350</v>
      </c>
      <c r="G724" s="1381">
        <v>44822</v>
      </c>
      <c r="H724" s="1381">
        <v>44822</v>
      </c>
      <c r="I724" s="1176">
        <v>4</v>
      </c>
      <c r="J724" s="1176" t="s">
        <v>673</v>
      </c>
      <c r="K724" s="1177" t="s">
        <v>674</v>
      </c>
      <c r="L724" s="1178" t="s">
        <v>675</v>
      </c>
      <c r="M724" s="1179">
        <v>26450332</v>
      </c>
      <c r="N724" s="1382" t="s">
        <v>781</v>
      </c>
      <c r="O724" s="1174" t="s">
        <v>771</v>
      </c>
      <c r="P724" s="1163" t="s">
        <v>757</v>
      </c>
      <c r="Q724" s="1207"/>
      <c r="R724" s="1357"/>
      <c r="S724" s="1357"/>
      <c r="T724" s="1357">
        <f>+Tabla16[[#This Row],[CDPS A 31 JULIO 2022]]-Tabla16[[#This Row],[CDP]]</f>
        <v>0</v>
      </c>
      <c r="U724" s="1357"/>
      <c r="V724" s="1357"/>
      <c r="W724" s="1357"/>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row>
    <row r="725" spans="1:84 16350:16364" ht="105" x14ac:dyDescent="0.25">
      <c r="A725" s="1355">
        <v>2022776</v>
      </c>
      <c r="B725" s="1172">
        <v>7655</v>
      </c>
      <c r="C725" s="1356" t="s">
        <v>668</v>
      </c>
      <c r="D725" s="1190" t="s">
        <v>686</v>
      </c>
      <c r="E725" s="1174">
        <v>80111600</v>
      </c>
      <c r="F725" s="1174" t="s">
        <v>1351</v>
      </c>
      <c r="G725" s="1381">
        <v>44840</v>
      </c>
      <c r="H725" s="1381">
        <v>44840</v>
      </c>
      <c r="I725" s="1176">
        <v>4</v>
      </c>
      <c r="J725" s="1176" t="s">
        <v>673</v>
      </c>
      <c r="K725" s="1177" t="s">
        <v>674</v>
      </c>
      <c r="L725" s="1178" t="s">
        <v>675</v>
      </c>
      <c r="M725" s="1179">
        <v>22482782</v>
      </c>
      <c r="N725" s="1382" t="s">
        <v>781</v>
      </c>
      <c r="O725" s="1174" t="s">
        <v>771</v>
      </c>
      <c r="P725" s="1163" t="s">
        <v>757</v>
      </c>
      <c r="Q725" s="1207"/>
      <c r="R725" s="1357"/>
      <c r="S725" s="1357"/>
      <c r="T725" s="1357">
        <f>+Tabla16[[#This Row],[CDPS A 31 JULIO 2022]]-Tabla16[[#This Row],[CDP]]</f>
        <v>0</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row>
    <row r="726" spans="1:84 16350:16364" ht="105" x14ac:dyDescent="0.25">
      <c r="A726" s="1355">
        <v>2022777</v>
      </c>
      <c r="B726" s="1172">
        <v>7655</v>
      </c>
      <c r="C726" s="1356" t="s">
        <v>668</v>
      </c>
      <c r="D726" s="1190" t="s">
        <v>686</v>
      </c>
      <c r="E726" s="1174">
        <v>80111600</v>
      </c>
      <c r="F726" s="1174" t="s">
        <v>1352</v>
      </c>
      <c r="G726" s="1381">
        <v>44822</v>
      </c>
      <c r="H726" s="1381">
        <v>44822</v>
      </c>
      <c r="I726" s="1176">
        <v>4</v>
      </c>
      <c r="J726" s="1176" t="s">
        <v>673</v>
      </c>
      <c r="K726" s="1177" t="s">
        <v>674</v>
      </c>
      <c r="L726" s="1178" t="s">
        <v>675</v>
      </c>
      <c r="M726" s="1179">
        <v>26450332</v>
      </c>
      <c r="N726" s="1382" t="s">
        <v>781</v>
      </c>
      <c r="O726" s="1174" t="s">
        <v>771</v>
      </c>
      <c r="P726" s="1163" t="s">
        <v>757</v>
      </c>
      <c r="Q726" s="1207"/>
      <c r="R726" s="1357"/>
      <c r="S726" s="1357"/>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16350:16364" ht="90" x14ac:dyDescent="0.25">
      <c r="A727" s="1355">
        <v>2022778</v>
      </c>
      <c r="B727" s="1172">
        <v>7658</v>
      </c>
      <c r="C727" s="1356" t="s">
        <v>679</v>
      </c>
      <c r="D727" s="1190" t="s">
        <v>695</v>
      </c>
      <c r="E727" s="1174">
        <v>80111600</v>
      </c>
      <c r="F727" s="1174" t="s">
        <v>981</v>
      </c>
      <c r="G727" s="1381">
        <v>44792</v>
      </c>
      <c r="H727" s="1381">
        <v>44798</v>
      </c>
      <c r="I727" s="1176">
        <v>3</v>
      </c>
      <c r="J727" s="1176" t="s">
        <v>673</v>
      </c>
      <c r="K727" s="1177" t="s">
        <v>674</v>
      </c>
      <c r="L727" s="1178" t="s">
        <v>675</v>
      </c>
      <c r="M727" s="1179">
        <v>16146000</v>
      </c>
      <c r="N727" s="1382" t="s">
        <v>765</v>
      </c>
      <c r="O727" s="1174" t="s">
        <v>764</v>
      </c>
      <c r="P727" s="1163" t="s">
        <v>678</v>
      </c>
      <c r="Q727" s="1207"/>
      <c r="R727" s="1357"/>
      <c r="S727" s="1357"/>
      <c r="T727" s="1357">
        <f>+Tabla16[[#This Row],[CDPS A 31 JULIO 2022]]-Tabla16[[#This Row],[CDP]]</f>
        <v>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16350:16364" ht="90" x14ac:dyDescent="0.25">
      <c r="A728" s="1400">
        <v>2022779</v>
      </c>
      <c r="B728" s="1401">
        <v>7658</v>
      </c>
      <c r="C728" s="1402" t="s">
        <v>679</v>
      </c>
      <c r="D728" s="1403" t="s">
        <v>695</v>
      </c>
      <c r="E728" s="1404">
        <v>80111600</v>
      </c>
      <c r="F728" s="1404" t="s">
        <v>981</v>
      </c>
      <c r="G728" s="1406">
        <v>44792</v>
      </c>
      <c r="H728" s="1406">
        <v>44798</v>
      </c>
      <c r="I728" s="1407">
        <v>4</v>
      </c>
      <c r="J728" s="1407" t="s">
        <v>673</v>
      </c>
      <c r="K728" s="1408" t="s">
        <v>674</v>
      </c>
      <c r="L728" s="1409" t="s">
        <v>675</v>
      </c>
      <c r="M728" s="1410">
        <f>21528000-8028000</f>
        <v>13500000</v>
      </c>
      <c r="N728" s="1411" t="s">
        <v>765</v>
      </c>
      <c r="O728" s="1404" t="s">
        <v>764</v>
      </c>
      <c r="P728" s="1413" t="s">
        <v>678</v>
      </c>
      <c r="Q728" s="1207"/>
      <c r="R728" s="1357"/>
      <c r="S728" s="1357"/>
      <c r="T728" s="1357">
        <f>+Tabla16[[#This Row],[CDPS A 31 JULIO 2022]]-Tabla16[[#This Row],[CDP]]</f>
        <v>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16350:16364" ht="105" x14ac:dyDescent="0.25">
      <c r="A729" s="1355">
        <v>2022800</v>
      </c>
      <c r="B729" s="1172">
        <v>7655</v>
      </c>
      <c r="C729" s="1356" t="s">
        <v>668</v>
      </c>
      <c r="D729" s="1190" t="s">
        <v>695</v>
      </c>
      <c r="E729" s="1174">
        <v>80111600</v>
      </c>
      <c r="F729" s="1174" t="s">
        <v>863</v>
      </c>
      <c r="G729" s="1381">
        <v>44562</v>
      </c>
      <c r="H729" s="1381">
        <v>44592</v>
      </c>
      <c r="I729" s="1176">
        <v>4</v>
      </c>
      <c r="J729" s="1176" t="s">
        <v>673</v>
      </c>
      <c r="K729" s="1177" t="s">
        <v>674</v>
      </c>
      <c r="L729" s="1178" t="s">
        <v>675</v>
      </c>
      <c r="M729" s="1179">
        <v>20700000</v>
      </c>
      <c r="N729" s="1382" t="s">
        <v>781</v>
      </c>
      <c r="O729" s="1174" t="s">
        <v>771</v>
      </c>
      <c r="P729" s="1163" t="s">
        <v>678</v>
      </c>
      <c r="Q729" s="1207"/>
      <c r="R729" s="1357"/>
      <c r="S729" s="1357"/>
      <c r="T729" s="1357">
        <f>+Tabla16[[#This Row],[CDPS A 31 JULIO 2022]]-Tabla16[[#This Row],[CDP]]</f>
        <v>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16350:16364" ht="90" x14ac:dyDescent="0.25">
      <c r="A730" s="1355">
        <v>2022801</v>
      </c>
      <c r="B730" s="1172">
        <v>7658</v>
      </c>
      <c r="C730" s="1356" t="s">
        <v>679</v>
      </c>
      <c r="D730" s="1399" t="s">
        <v>695</v>
      </c>
      <c r="E730" s="1174">
        <v>80111600</v>
      </c>
      <c r="F730" s="1174" t="s">
        <v>853</v>
      </c>
      <c r="G730" s="1381">
        <v>44796</v>
      </c>
      <c r="H730" s="1381">
        <v>44804</v>
      </c>
      <c r="I730" s="1176">
        <v>4</v>
      </c>
      <c r="J730" s="1176" t="s">
        <v>673</v>
      </c>
      <c r="K730" s="1177" t="s">
        <v>674</v>
      </c>
      <c r="L730" s="1178" t="s">
        <v>675</v>
      </c>
      <c r="M730" s="1179">
        <v>15400000</v>
      </c>
      <c r="N730" s="1382" t="s">
        <v>765</v>
      </c>
      <c r="O730" s="1174" t="s">
        <v>764</v>
      </c>
      <c r="P730" s="1163" t="s">
        <v>678</v>
      </c>
      <c r="Q730" s="1207"/>
      <c r="R730" s="1357"/>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16350:16364" ht="105" x14ac:dyDescent="0.25">
      <c r="A731" s="1355">
        <v>2022802</v>
      </c>
      <c r="B731" s="1172">
        <v>7655</v>
      </c>
      <c r="C731" s="1356" t="s">
        <v>668</v>
      </c>
      <c r="D731" s="1190" t="s">
        <v>695</v>
      </c>
      <c r="E731" s="1174">
        <v>80111600</v>
      </c>
      <c r="F731" s="1174" t="s">
        <v>1353</v>
      </c>
      <c r="G731" s="1381">
        <v>44795</v>
      </c>
      <c r="H731" s="1381">
        <v>44802</v>
      </c>
      <c r="I731" s="1176">
        <v>1.5</v>
      </c>
      <c r="J731" s="1176" t="s">
        <v>673</v>
      </c>
      <c r="K731" s="1177" t="s">
        <v>674</v>
      </c>
      <c r="L731" s="1178" t="s">
        <v>675</v>
      </c>
      <c r="M731" s="1179">
        <v>6520500</v>
      </c>
      <c r="N731" s="1382" t="s">
        <v>781</v>
      </c>
      <c r="O731" s="1174" t="s">
        <v>771</v>
      </c>
      <c r="P731" s="1163" t="s">
        <v>757</v>
      </c>
      <c r="Q731" s="1207"/>
      <c r="R731" s="1357"/>
      <c r="S731" s="1357"/>
      <c r="T731" s="1357">
        <f>+Tabla16[[#This Row],[CDPS A 31 JULIO 2022]]-Tabla16[[#This Row],[CDP]]</f>
        <v>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row>
    <row r="732" spans="1:84 16350:16364" ht="210" x14ac:dyDescent="0.25">
      <c r="A732" s="1400">
        <v>2022803</v>
      </c>
      <c r="B732" s="1401">
        <v>7658</v>
      </c>
      <c r="C732" s="1402" t="s">
        <v>679</v>
      </c>
      <c r="D732" s="1403" t="s">
        <v>692</v>
      </c>
      <c r="E732" s="1404" t="s">
        <v>1354</v>
      </c>
      <c r="F732" s="1404" t="s">
        <v>1355</v>
      </c>
      <c r="G732" s="1406">
        <v>44819</v>
      </c>
      <c r="H732" s="1406">
        <v>44864</v>
      </c>
      <c r="I732" s="1407">
        <v>2</v>
      </c>
      <c r="J732" s="1407" t="s">
        <v>687</v>
      </c>
      <c r="K732" s="1408" t="s">
        <v>770</v>
      </c>
      <c r="L732" s="1409" t="s">
        <v>994</v>
      </c>
      <c r="M732" s="1410">
        <f>437560000-168894520</f>
        <v>268665480</v>
      </c>
      <c r="N732" s="1411" t="s">
        <v>1035</v>
      </c>
      <c r="O732" s="1404" t="s">
        <v>1036</v>
      </c>
      <c r="P732" s="1413" t="s">
        <v>678</v>
      </c>
      <c r="Q732" s="1207"/>
      <c r="R732" s="1357"/>
      <c r="S732" s="1357"/>
      <c r="T732" s="1357">
        <f>+Tabla16[[#This Row],[CDPS A 31 JULIO 2022]]-Tabla16[[#This Row],[CDP]]</f>
        <v>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16350:16364" ht="105" x14ac:dyDescent="0.25">
      <c r="A733" s="1355">
        <v>2022804</v>
      </c>
      <c r="B733" s="1172">
        <v>7658</v>
      </c>
      <c r="C733" s="1356" t="s">
        <v>679</v>
      </c>
      <c r="D733" s="1190" t="s">
        <v>692</v>
      </c>
      <c r="E733" s="1174">
        <v>80111600</v>
      </c>
      <c r="F733" s="1174" t="s">
        <v>1356</v>
      </c>
      <c r="G733" s="1381">
        <v>44789</v>
      </c>
      <c r="H733" s="1381">
        <v>44803</v>
      </c>
      <c r="I733" s="1176">
        <v>3.5</v>
      </c>
      <c r="J733" s="1176" t="s">
        <v>673</v>
      </c>
      <c r="K733" s="1177" t="s">
        <v>674</v>
      </c>
      <c r="L733" s="1178" t="s">
        <v>675</v>
      </c>
      <c r="M733" s="1179">
        <v>13475000</v>
      </c>
      <c r="N733" s="1382" t="s">
        <v>1035</v>
      </c>
      <c r="O733" s="1174" t="s">
        <v>1036</v>
      </c>
      <c r="P733" s="1163" t="s">
        <v>757</v>
      </c>
      <c r="Q733" s="1207"/>
      <c r="R733" s="1357"/>
      <c r="S733" s="1357"/>
      <c r="T733" s="1357">
        <f>+Tabla16[[#This Row],[CDPS A 31 JULIO 2022]]-Tabla16[[#This Row],[CDP]]</f>
        <v>0</v>
      </c>
      <c r="U733" s="1357"/>
      <c r="V733" s="1357"/>
      <c r="W733" s="1357"/>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16350:16364" ht="105" x14ac:dyDescent="0.25">
      <c r="A734" s="1355">
        <v>2022805</v>
      </c>
      <c r="B734" s="1172">
        <v>7658</v>
      </c>
      <c r="C734" s="1356" t="s">
        <v>679</v>
      </c>
      <c r="D734" s="1190" t="s">
        <v>692</v>
      </c>
      <c r="E734" s="1174">
        <v>80111600</v>
      </c>
      <c r="F734" s="1174" t="s">
        <v>1357</v>
      </c>
      <c r="G734" s="1381">
        <v>44823</v>
      </c>
      <c r="H734" s="1381">
        <v>44823</v>
      </c>
      <c r="I734" s="1176">
        <v>4</v>
      </c>
      <c r="J734" s="1176" t="s">
        <v>673</v>
      </c>
      <c r="K734" s="1177" t="s">
        <v>674</v>
      </c>
      <c r="L734" s="1178" t="s">
        <v>675</v>
      </c>
      <c r="M734" s="1179">
        <v>30000000</v>
      </c>
      <c r="N734" s="1382" t="s">
        <v>1035</v>
      </c>
      <c r="O734" s="1174" t="s">
        <v>1036</v>
      </c>
      <c r="P734" s="1163" t="s">
        <v>757</v>
      </c>
      <c r="Q734" s="1207"/>
      <c r="R734" s="1357"/>
      <c r="S734" s="1357"/>
      <c r="T734" s="1357">
        <f>+Tabla16[[#This Row],[CDPS A 31 JULIO 2022]]-Tabla16[[#This Row],[CDP]]</f>
        <v>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16350:16364" ht="105" x14ac:dyDescent="0.25">
      <c r="A735" s="1355">
        <v>2022806</v>
      </c>
      <c r="B735" s="1172">
        <v>7658</v>
      </c>
      <c r="C735" s="1356" t="s">
        <v>679</v>
      </c>
      <c r="D735" s="1190" t="s">
        <v>692</v>
      </c>
      <c r="E735" s="1174">
        <v>80111600</v>
      </c>
      <c r="F735" s="1174" t="s">
        <v>1358</v>
      </c>
      <c r="G735" s="1381">
        <v>44829</v>
      </c>
      <c r="H735" s="1381">
        <v>44829</v>
      </c>
      <c r="I735" s="1176">
        <v>4</v>
      </c>
      <c r="J735" s="1176" t="s">
        <v>673</v>
      </c>
      <c r="K735" s="1177" t="s">
        <v>674</v>
      </c>
      <c r="L735" s="1178" t="s">
        <v>675</v>
      </c>
      <c r="M735" s="1179">
        <v>13200000</v>
      </c>
      <c r="N735" s="1382" t="s">
        <v>1035</v>
      </c>
      <c r="O735" s="1174" t="s">
        <v>1036</v>
      </c>
      <c r="P735" s="1163" t="s">
        <v>757</v>
      </c>
      <c r="Q735" s="1207"/>
      <c r="R735" s="1357"/>
      <c r="S735" s="1357"/>
      <c r="T735" s="1357">
        <f>+Tabla16[[#This Row],[CDPS A 31 JULIO 2022]]-Tabla16[[#This Row],[CDP]]</f>
        <v>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16350:16364" ht="105" x14ac:dyDescent="0.25">
      <c r="A736" s="1355">
        <v>2022807</v>
      </c>
      <c r="B736" s="1172">
        <v>7637</v>
      </c>
      <c r="C736" s="1356" t="s">
        <v>643</v>
      </c>
      <c r="D736" s="1190" t="s">
        <v>671</v>
      </c>
      <c r="E736" s="1174">
        <v>80111600</v>
      </c>
      <c r="F736" s="1174" t="s">
        <v>1359</v>
      </c>
      <c r="G736" s="1381">
        <v>44788</v>
      </c>
      <c r="H736" s="1381">
        <v>44819</v>
      </c>
      <c r="I736" s="1176">
        <v>3</v>
      </c>
      <c r="J736" s="1176" t="s">
        <v>673</v>
      </c>
      <c r="K736" s="1177" t="s">
        <v>674</v>
      </c>
      <c r="L736" s="1178" t="s">
        <v>675</v>
      </c>
      <c r="M736" s="1179">
        <v>9000000</v>
      </c>
      <c r="N736" s="1189" t="s">
        <v>676</v>
      </c>
      <c r="O736" s="1174" t="s">
        <v>677</v>
      </c>
      <c r="P736" s="1163" t="s">
        <v>757</v>
      </c>
      <c r="Q736" s="1207"/>
      <c r="R736" s="1357"/>
      <c r="S736" s="1357"/>
      <c r="T736" s="1357">
        <f>+Tabla16[[#This Row],[CDPS A 31 JULIO 2022]]-Tabla16[[#This Row],[CDP]]</f>
        <v>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c r="XDV736" s="1355"/>
      <c r="XDW736" s="1172"/>
      <c r="XDX736" s="1356"/>
      <c r="XDY736" s="1173"/>
      <c r="XDZ736" s="1202"/>
      <c r="XEA736" s="1378"/>
      <c r="XEB736" s="1377"/>
      <c r="XEC736" s="1377"/>
      <c r="XED736" s="1176"/>
      <c r="XEE736" s="1176"/>
      <c r="XEF736" s="1177"/>
      <c r="XEG736" s="1178"/>
      <c r="XEH736" s="1179"/>
      <c r="XEI736" s="1189"/>
      <c r="XEJ736" s="1174"/>
    </row>
    <row r="737" spans="1:84" ht="105" x14ac:dyDescent="0.25">
      <c r="A737" s="1355">
        <v>2022808</v>
      </c>
      <c r="B737" s="1172">
        <v>7655</v>
      </c>
      <c r="C737" s="1356" t="s">
        <v>668</v>
      </c>
      <c r="D737" s="1190" t="s">
        <v>671</v>
      </c>
      <c r="E737" s="1174">
        <v>80111600</v>
      </c>
      <c r="F737" s="1174" t="s">
        <v>1360</v>
      </c>
      <c r="G737" s="1381">
        <v>44788</v>
      </c>
      <c r="H737" s="1381">
        <v>44819</v>
      </c>
      <c r="I737" s="1176">
        <v>4.5</v>
      </c>
      <c r="J737" s="1176" t="s">
        <v>673</v>
      </c>
      <c r="K737" s="1177" t="s">
        <v>674</v>
      </c>
      <c r="L737" s="1178" t="s">
        <v>675</v>
      </c>
      <c r="M737" s="1179">
        <v>38500000</v>
      </c>
      <c r="N737" s="1384" t="s">
        <v>784</v>
      </c>
      <c r="O737" s="1174" t="s">
        <v>771</v>
      </c>
      <c r="P737" s="1159" t="s">
        <v>678</v>
      </c>
      <c r="Q737" s="1207"/>
      <c r="R737" s="1357"/>
      <c r="S737" s="1357"/>
      <c r="T737" s="1357">
        <f>+Tabla16[[#This Row],[CDPS A 31 JULIO 2022]]-Tabla16[[#This Row],[CDP]]</f>
        <v>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180" x14ac:dyDescent="0.25">
      <c r="A738" s="1355">
        <v>2022809</v>
      </c>
      <c r="B738" s="1172">
        <v>7637</v>
      </c>
      <c r="C738" s="1356" t="s">
        <v>643</v>
      </c>
      <c r="D738" s="1173" t="s">
        <v>671</v>
      </c>
      <c r="E738" s="1202" t="s">
        <v>773</v>
      </c>
      <c r="F738" s="1378" t="s">
        <v>774</v>
      </c>
      <c r="G738" s="1377">
        <v>44762</v>
      </c>
      <c r="H738" s="1377">
        <v>44803</v>
      </c>
      <c r="I738" s="1176">
        <v>5</v>
      </c>
      <c r="J738" s="1176" t="s">
        <v>696</v>
      </c>
      <c r="K738" s="1177" t="s">
        <v>674</v>
      </c>
      <c r="L738" s="1177" t="s">
        <v>735</v>
      </c>
      <c r="M738" s="1179">
        <f>34050000+118550434+212901243</f>
        <v>365501677</v>
      </c>
      <c r="N738" s="1189" t="s">
        <v>676</v>
      </c>
      <c r="O738" s="1174" t="s">
        <v>677</v>
      </c>
      <c r="P738" s="1298" t="s">
        <v>678</v>
      </c>
      <c r="Q738" s="1207"/>
      <c r="R738" s="1207"/>
      <c r="S738" s="1207"/>
      <c r="T738" s="1207">
        <f>+Tabla16[[#This Row],[CDPS A 31 JULIO 2022]]-Tabla16[[#This Row],[CDP]]</f>
        <v>0</v>
      </c>
      <c r="U738" s="1207"/>
      <c r="V738" s="1207"/>
      <c r="W738" s="120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105" x14ac:dyDescent="0.25">
      <c r="A739" s="1355">
        <v>2022810</v>
      </c>
      <c r="B739" s="1172">
        <v>7637</v>
      </c>
      <c r="C739" s="1356" t="s">
        <v>643</v>
      </c>
      <c r="D739" s="1190" t="s">
        <v>671</v>
      </c>
      <c r="E739" s="1174">
        <v>80111600</v>
      </c>
      <c r="F739" s="1174" t="s">
        <v>1361</v>
      </c>
      <c r="G739" s="1381">
        <v>44788</v>
      </c>
      <c r="H739" s="1381">
        <v>44819</v>
      </c>
      <c r="I739" s="1176">
        <v>3</v>
      </c>
      <c r="J739" s="1176" t="s">
        <v>673</v>
      </c>
      <c r="K739" s="1177" t="s">
        <v>674</v>
      </c>
      <c r="L739" s="1178" t="s">
        <v>675</v>
      </c>
      <c r="M739" s="1179">
        <v>18000000</v>
      </c>
      <c r="N739" s="1189" t="s">
        <v>676</v>
      </c>
      <c r="O739" s="1174" t="s">
        <v>677</v>
      </c>
      <c r="P739" s="1163" t="s">
        <v>757</v>
      </c>
      <c r="Q739" s="1207"/>
      <c r="R739" s="1357"/>
      <c r="S739" s="1357"/>
      <c r="T739" s="1357">
        <f>+Tabla16[[#This Row],[CDPS A 31 JULIO 2022]]-Tabla16[[#This Row],[CDP]]</f>
        <v>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135" x14ac:dyDescent="0.25">
      <c r="A740" s="1355">
        <v>2022811</v>
      </c>
      <c r="B740" s="1172">
        <v>7658</v>
      </c>
      <c r="C740" s="1356" t="s">
        <v>679</v>
      </c>
      <c r="D740" s="1190" t="s">
        <v>698</v>
      </c>
      <c r="E740" s="1174" t="s">
        <v>1362</v>
      </c>
      <c r="F740" s="1189" t="s">
        <v>1363</v>
      </c>
      <c r="G740" s="1381">
        <v>44788</v>
      </c>
      <c r="H740" s="1381">
        <v>44803</v>
      </c>
      <c r="I740" s="1176">
        <v>1</v>
      </c>
      <c r="J740" s="1176" t="s">
        <v>97</v>
      </c>
      <c r="K740" s="1177" t="s">
        <v>516</v>
      </c>
      <c r="L740" s="1178" t="s">
        <v>1085</v>
      </c>
      <c r="M740" s="1179">
        <v>6183142</v>
      </c>
      <c r="N740" s="1382" t="s">
        <v>772</v>
      </c>
      <c r="O740" s="1174" t="s">
        <v>915</v>
      </c>
      <c r="P740" s="1163" t="s">
        <v>757</v>
      </c>
      <c r="Q740" s="1207"/>
      <c r="R740" s="1357"/>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135" x14ac:dyDescent="0.25">
      <c r="A741" s="1355">
        <v>2022812</v>
      </c>
      <c r="B741" s="1172">
        <v>7658</v>
      </c>
      <c r="C741" s="1356" t="s">
        <v>679</v>
      </c>
      <c r="D741" s="1190" t="s">
        <v>698</v>
      </c>
      <c r="E741" s="1174" t="s">
        <v>1362</v>
      </c>
      <c r="F741" s="1189" t="s">
        <v>1364</v>
      </c>
      <c r="G741" s="1381">
        <v>44789</v>
      </c>
      <c r="H741" s="1381">
        <v>44804</v>
      </c>
      <c r="I741" s="1176">
        <v>1</v>
      </c>
      <c r="J741" s="1176" t="s">
        <v>97</v>
      </c>
      <c r="K741" s="1177" t="s">
        <v>516</v>
      </c>
      <c r="L741" s="1178" t="s">
        <v>675</v>
      </c>
      <c r="M741" s="1179">
        <v>151933</v>
      </c>
      <c r="N741" s="1382" t="s">
        <v>772</v>
      </c>
      <c r="O741" s="1174" t="s">
        <v>915</v>
      </c>
      <c r="P741" s="1163" t="s">
        <v>757</v>
      </c>
      <c r="Q741" s="1207"/>
      <c r="R741" s="1357"/>
      <c r="S741" s="1357"/>
      <c r="T741" s="1357">
        <f>+Tabla16[[#This Row],[CDPS A 31 JULIO 2022]]-Tabla16[[#This Row],[CDP]]</f>
        <v>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135" x14ac:dyDescent="0.25">
      <c r="A742" s="1355">
        <v>2022813</v>
      </c>
      <c r="B742" s="1172">
        <v>7658</v>
      </c>
      <c r="C742" s="1356" t="s">
        <v>679</v>
      </c>
      <c r="D742" s="1190" t="s">
        <v>698</v>
      </c>
      <c r="E742" s="1174" t="s">
        <v>1362</v>
      </c>
      <c r="F742" s="1189" t="s">
        <v>1365</v>
      </c>
      <c r="G742" s="1381">
        <v>44790</v>
      </c>
      <c r="H742" s="1381">
        <v>44805</v>
      </c>
      <c r="I742" s="1176">
        <v>1</v>
      </c>
      <c r="J742" s="1176" t="s">
        <v>97</v>
      </c>
      <c r="K742" s="1177" t="s">
        <v>516</v>
      </c>
      <c r="L742" s="1178" t="s">
        <v>994</v>
      </c>
      <c r="M742" s="1179">
        <v>315000</v>
      </c>
      <c r="N742" s="1382" t="s">
        <v>772</v>
      </c>
      <c r="O742" s="1174" t="s">
        <v>915</v>
      </c>
      <c r="P742" s="1163" t="s">
        <v>757</v>
      </c>
      <c r="Q742" s="1207"/>
      <c r="R742" s="1357"/>
      <c r="S742" s="1357"/>
      <c r="T742" s="1357">
        <f>+Tabla16[[#This Row],[CDPS A 31 JULIO 2022]]-Tabla16[[#This Row],[CDP]]</f>
        <v>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105" x14ac:dyDescent="0.25">
      <c r="A743" s="1355">
        <v>2022814</v>
      </c>
      <c r="B743" s="1172">
        <v>7637</v>
      </c>
      <c r="C743" s="1356" t="s">
        <v>643</v>
      </c>
      <c r="D743" s="1190" t="s">
        <v>671</v>
      </c>
      <c r="E743" s="1174">
        <v>80111600</v>
      </c>
      <c r="F743" s="1174" t="s">
        <v>1366</v>
      </c>
      <c r="G743" s="1381">
        <v>44788</v>
      </c>
      <c r="H743" s="1381">
        <v>44819</v>
      </c>
      <c r="I743" s="1176">
        <v>3</v>
      </c>
      <c r="J743" s="1176" t="s">
        <v>673</v>
      </c>
      <c r="K743" s="1177" t="s">
        <v>674</v>
      </c>
      <c r="L743" s="1178" t="s">
        <v>675</v>
      </c>
      <c r="M743" s="1179">
        <v>18600000</v>
      </c>
      <c r="N743" s="1382" t="s">
        <v>704</v>
      </c>
      <c r="O743" s="1174" t="s">
        <v>677</v>
      </c>
      <c r="P743" s="1163" t="s">
        <v>757</v>
      </c>
      <c r="Q743" s="1207"/>
      <c r="R743" s="1357"/>
      <c r="S743" s="1357"/>
      <c r="T743" s="1357">
        <f>+Tabla16[[#This Row],[CDPS A 31 JULIO 2022]]-Tabla16[[#This Row],[CDP]]</f>
        <v>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105" x14ac:dyDescent="0.25">
      <c r="A744" s="1355">
        <v>2022815</v>
      </c>
      <c r="B744" s="1172">
        <v>7637</v>
      </c>
      <c r="C744" s="1356" t="s">
        <v>643</v>
      </c>
      <c r="D744" s="1190" t="s">
        <v>671</v>
      </c>
      <c r="E744" s="1174">
        <v>80111600</v>
      </c>
      <c r="F744" s="1174" t="s">
        <v>1367</v>
      </c>
      <c r="G744" s="1381">
        <v>44788</v>
      </c>
      <c r="H744" s="1381">
        <v>44819</v>
      </c>
      <c r="I744" s="1176">
        <v>3</v>
      </c>
      <c r="J744" s="1176" t="s">
        <v>673</v>
      </c>
      <c r="K744" s="1177" t="s">
        <v>674</v>
      </c>
      <c r="L744" s="1178" t="s">
        <v>675</v>
      </c>
      <c r="M744" s="1179">
        <v>20400000</v>
      </c>
      <c r="N744" s="1382" t="s">
        <v>704</v>
      </c>
      <c r="O744" s="1174" t="s">
        <v>677</v>
      </c>
      <c r="P744" s="1163" t="s">
        <v>757</v>
      </c>
      <c r="Q744" s="1207"/>
      <c r="R744" s="1357"/>
      <c r="S744" s="1357"/>
      <c r="T744" s="1357">
        <f>+Tabla16[[#This Row],[CDPS A 31 JULIO 2022]]-Tabla16[[#This Row],[CDP]]</f>
        <v>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105" x14ac:dyDescent="0.25">
      <c r="A745" s="1355">
        <v>2022816</v>
      </c>
      <c r="B745" s="1172">
        <v>7637</v>
      </c>
      <c r="C745" s="1356" t="s">
        <v>643</v>
      </c>
      <c r="D745" s="1190" t="s">
        <v>671</v>
      </c>
      <c r="E745" s="1174">
        <v>80111600</v>
      </c>
      <c r="F745" s="1174" t="s">
        <v>1368</v>
      </c>
      <c r="G745" s="1381">
        <v>44788</v>
      </c>
      <c r="H745" s="1381">
        <v>44819</v>
      </c>
      <c r="I745" s="1176">
        <v>3</v>
      </c>
      <c r="J745" s="1176" t="s">
        <v>673</v>
      </c>
      <c r="K745" s="1177" t="s">
        <v>674</v>
      </c>
      <c r="L745" s="1178" t="s">
        <v>675</v>
      </c>
      <c r="M745" s="1179">
        <v>20400000</v>
      </c>
      <c r="N745" s="1382" t="s">
        <v>704</v>
      </c>
      <c r="O745" s="1174" t="s">
        <v>677</v>
      </c>
      <c r="P745" s="1163" t="s">
        <v>757</v>
      </c>
      <c r="Q745" s="1207"/>
      <c r="R745" s="1357"/>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105" x14ac:dyDescent="0.25">
      <c r="A746" s="1355">
        <v>2022817</v>
      </c>
      <c r="B746" s="1172">
        <v>7637</v>
      </c>
      <c r="C746" s="1356" t="s">
        <v>643</v>
      </c>
      <c r="D746" s="1190" t="s">
        <v>671</v>
      </c>
      <c r="E746" s="1174">
        <v>80111600</v>
      </c>
      <c r="F746" s="1174" t="s">
        <v>1369</v>
      </c>
      <c r="G746" s="1381">
        <v>44788</v>
      </c>
      <c r="H746" s="1381">
        <v>44819</v>
      </c>
      <c r="I746" s="1176">
        <v>3</v>
      </c>
      <c r="J746" s="1176" t="s">
        <v>673</v>
      </c>
      <c r="K746" s="1177" t="s">
        <v>674</v>
      </c>
      <c r="L746" s="1178" t="s">
        <v>675</v>
      </c>
      <c r="M746" s="1179">
        <v>18600000</v>
      </c>
      <c r="N746" s="1189" t="s">
        <v>676</v>
      </c>
      <c r="O746" s="1174" t="s">
        <v>677</v>
      </c>
      <c r="P746" s="1163" t="s">
        <v>757</v>
      </c>
      <c r="Q746" s="1207"/>
      <c r="R746" s="1357"/>
      <c r="S746" s="1357"/>
      <c r="T746" s="1357">
        <f>+Tabla16[[#This Row],[CDPS A 31 JULIO 2022]]-Tabla16[[#This Row],[CDP]]</f>
        <v>0</v>
      </c>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105" x14ac:dyDescent="0.25">
      <c r="A747" s="1355">
        <v>2022818</v>
      </c>
      <c r="B747" s="1172">
        <v>7637</v>
      </c>
      <c r="C747" s="1356" t="s">
        <v>643</v>
      </c>
      <c r="D747" s="1190" t="s">
        <v>671</v>
      </c>
      <c r="E747" s="1174">
        <v>80111600</v>
      </c>
      <c r="F747" s="1174" t="s">
        <v>1370</v>
      </c>
      <c r="G747" s="1381">
        <v>44788</v>
      </c>
      <c r="H747" s="1381">
        <v>44819</v>
      </c>
      <c r="I747" s="1176">
        <v>2</v>
      </c>
      <c r="J747" s="1176" t="s">
        <v>673</v>
      </c>
      <c r="K747" s="1177" t="s">
        <v>674</v>
      </c>
      <c r="L747" s="1178" t="s">
        <v>675</v>
      </c>
      <c r="M747" s="1179">
        <v>10350000</v>
      </c>
      <c r="N747" s="1189" t="s">
        <v>676</v>
      </c>
      <c r="O747" s="1174" t="s">
        <v>677</v>
      </c>
      <c r="P747" s="1163" t="s">
        <v>757</v>
      </c>
      <c r="Q747" s="1207"/>
      <c r="R747" s="1357"/>
      <c r="S747" s="1357"/>
      <c r="T747" s="1357">
        <f>+Tabla16[[#This Row],[CDPS A 31 JULIO 2022]]-Tabla16[[#This Row],[CDP]]</f>
        <v>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105" x14ac:dyDescent="0.25">
      <c r="A748" s="1355">
        <v>2022819</v>
      </c>
      <c r="B748" s="1172">
        <v>7637</v>
      </c>
      <c r="C748" s="1356" t="s">
        <v>643</v>
      </c>
      <c r="D748" s="1190" t="s">
        <v>671</v>
      </c>
      <c r="E748" s="1174">
        <v>80111600</v>
      </c>
      <c r="F748" s="1174" t="s">
        <v>1371</v>
      </c>
      <c r="G748" s="1381">
        <v>44788</v>
      </c>
      <c r="H748" s="1381">
        <v>44819</v>
      </c>
      <c r="I748" s="1176">
        <v>3.5</v>
      </c>
      <c r="J748" s="1176" t="s">
        <v>673</v>
      </c>
      <c r="K748" s="1177" t="s">
        <v>674</v>
      </c>
      <c r="L748" s="1178" t="s">
        <v>675</v>
      </c>
      <c r="M748" s="1179">
        <v>13500000</v>
      </c>
      <c r="N748" s="1189" t="s">
        <v>676</v>
      </c>
      <c r="O748" s="1174" t="s">
        <v>677</v>
      </c>
      <c r="P748" s="1163" t="s">
        <v>757</v>
      </c>
      <c r="Q748" s="1207"/>
      <c r="R748" s="1357"/>
      <c r="S748" s="1357"/>
      <c r="T748" s="1357">
        <f>+Tabla16[[#This Row],[CDPS A 31 JULIO 2022]]-Tabla16[[#This Row],[CDP]]</f>
        <v>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105" x14ac:dyDescent="0.25">
      <c r="A749" s="1355">
        <v>2022820</v>
      </c>
      <c r="B749" s="1172">
        <v>7637</v>
      </c>
      <c r="C749" s="1356" t="s">
        <v>643</v>
      </c>
      <c r="D749" s="1190" t="s">
        <v>671</v>
      </c>
      <c r="E749" s="1174">
        <v>80111600</v>
      </c>
      <c r="F749" s="1174" t="s">
        <v>1372</v>
      </c>
      <c r="G749" s="1381">
        <v>44788</v>
      </c>
      <c r="H749" s="1381">
        <v>44819</v>
      </c>
      <c r="I749" s="1176">
        <v>3</v>
      </c>
      <c r="J749" s="1176" t="s">
        <v>673</v>
      </c>
      <c r="K749" s="1177" t="s">
        <v>674</v>
      </c>
      <c r="L749" s="1178" t="s">
        <v>675</v>
      </c>
      <c r="M749" s="1179">
        <v>9000000</v>
      </c>
      <c r="N749" s="1189" t="s">
        <v>676</v>
      </c>
      <c r="O749" s="1174" t="s">
        <v>677</v>
      </c>
      <c r="P749" s="1163" t="s">
        <v>757</v>
      </c>
      <c r="Q749" s="1207"/>
      <c r="R749" s="1357"/>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105" x14ac:dyDescent="0.25">
      <c r="A750" s="1355">
        <v>2022821</v>
      </c>
      <c r="B750" s="1172">
        <v>7637</v>
      </c>
      <c r="C750" s="1356" t="s">
        <v>643</v>
      </c>
      <c r="D750" s="1190" t="s">
        <v>671</v>
      </c>
      <c r="E750" s="1174">
        <v>80111600</v>
      </c>
      <c r="F750" s="1174" t="s">
        <v>1373</v>
      </c>
      <c r="G750" s="1381">
        <v>44788</v>
      </c>
      <c r="H750" s="1381">
        <v>44819</v>
      </c>
      <c r="I750" s="1176">
        <v>3</v>
      </c>
      <c r="J750" s="1176" t="s">
        <v>673</v>
      </c>
      <c r="K750" s="1177" t="s">
        <v>674</v>
      </c>
      <c r="L750" s="1178" t="s">
        <v>675</v>
      </c>
      <c r="M750" s="1179">
        <v>18600000</v>
      </c>
      <c r="N750" s="1382" t="s">
        <v>685</v>
      </c>
      <c r="O750" s="1174" t="s">
        <v>677</v>
      </c>
      <c r="P750" s="1163" t="s">
        <v>757</v>
      </c>
      <c r="Q750" s="1207"/>
      <c r="R750" s="1357"/>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105" x14ac:dyDescent="0.25">
      <c r="A751" s="1355">
        <v>2022822</v>
      </c>
      <c r="B751" s="1172">
        <v>7655</v>
      </c>
      <c r="C751" s="1356" t="s">
        <v>668</v>
      </c>
      <c r="D751" s="1190" t="s">
        <v>689</v>
      </c>
      <c r="E751" s="1174" t="s">
        <v>778</v>
      </c>
      <c r="F751" s="1174" t="s">
        <v>1338</v>
      </c>
      <c r="G751" s="1381">
        <v>44805</v>
      </c>
      <c r="H751" s="1381">
        <v>44805</v>
      </c>
      <c r="I751" s="1176">
        <v>4</v>
      </c>
      <c r="J751" s="1176" t="s">
        <v>673</v>
      </c>
      <c r="K751" s="1177" t="s">
        <v>674</v>
      </c>
      <c r="L751" s="1178" t="s">
        <v>675</v>
      </c>
      <c r="M751" s="1179">
        <v>22000000</v>
      </c>
      <c r="N751" s="1382" t="s">
        <v>781</v>
      </c>
      <c r="O751" s="1174" t="s">
        <v>771</v>
      </c>
      <c r="P751" s="1163" t="s">
        <v>678</v>
      </c>
      <c r="Q751" s="1207"/>
      <c r="R751" s="1357"/>
      <c r="S751" s="1357"/>
      <c r="T751" s="1357"/>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105" x14ac:dyDescent="0.25">
      <c r="A752" s="1355">
        <v>2022823</v>
      </c>
      <c r="B752" s="1172">
        <v>7637</v>
      </c>
      <c r="C752" s="1356" t="s">
        <v>643</v>
      </c>
      <c r="D752" s="1190" t="s">
        <v>671</v>
      </c>
      <c r="E752" s="1174">
        <v>80111600</v>
      </c>
      <c r="F752" s="1174" t="s">
        <v>1374</v>
      </c>
      <c r="G752" s="1381">
        <v>44805</v>
      </c>
      <c r="H752" s="1381">
        <v>44819</v>
      </c>
      <c r="I752" s="1176">
        <v>3</v>
      </c>
      <c r="J752" s="1176" t="s">
        <v>673</v>
      </c>
      <c r="K752" s="1177" t="s">
        <v>674</v>
      </c>
      <c r="L752" s="1178" t="s">
        <v>675</v>
      </c>
      <c r="M752" s="1179">
        <v>12000000</v>
      </c>
      <c r="N752" s="1189" t="s">
        <v>676</v>
      </c>
      <c r="O752" s="1174" t="s">
        <v>677</v>
      </c>
      <c r="P752" s="1163" t="s">
        <v>678</v>
      </c>
      <c r="Q752" s="1207"/>
      <c r="R752" s="1357"/>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ht="105" x14ac:dyDescent="0.25">
      <c r="A753" s="1355">
        <v>2022824</v>
      </c>
      <c r="B753" s="1172">
        <v>7658</v>
      </c>
      <c r="C753" s="1356" t="s">
        <v>679</v>
      </c>
      <c r="D753" s="1190" t="s">
        <v>692</v>
      </c>
      <c r="E753" s="1174">
        <v>80111600</v>
      </c>
      <c r="F753" s="1174" t="s">
        <v>1067</v>
      </c>
      <c r="G753" s="1381">
        <v>44819</v>
      </c>
      <c r="H753" s="1381">
        <v>44819</v>
      </c>
      <c r="I753" s="1176">
        <v>4</v>
      </c>
      <c r="J753" s="1176" t="s">
        <v>673</v>
      </c>
      <c r="K753" s="1177" t="s">
        <v>674</v>
      </c>
      <c r="L753" s="1178" t="s">
        <v>675</v>
      </c>
      <c r="M753" s="1179">
        <v>11000000</v>
      </c>
      <c r="N753" s="1382" t="s">
        <v>1035</v>
      </c>
      <c r="O753" s="1174" t="s">
        <v>1036</v>
      </c>
      <c r="P753" s="1163" t="s">
        <v>678</v>
      </c>
      <c r="Q753" s="1207"/>
      <c r="R753" s="1357"/>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ht="105" x14ac:dyDescent="0.25">
      <c r="A754" s="1355">
        <v>2022825</v>
      </c>
      <c r="B754" s="1172">
        <v>7658</v>
      </c>
      <c r="C754" s="1356" t="s">
        <v>679</v>
      </c>
      <c r="D754" s="1190" t="s">
        <v>692</v>
      </c>
      <c r="E754" s="1174">
        <v>80111600</v>
      </c>
      <c r="F754" s="1174" t="s">
        <v>1065</v>
      </c>
      <c r="G754" s="1381">
        <v>44819</v>
      </c>
      <c r="H754" s="1381">
        <v>44819</v>
      </c>
      <c r="I754" s="1176">
        <v>4</v>
      </c>
      <c r="J754" s="1176" t="s">
        <v>673</v>
      </c>
      <c r="K754" s="1177" t="s">
        <v>674</v>
      </c>
      <c r="L754" s="1178" t="s">
        <v>675</v>
      </c>
      <c r="M754" s="1179">
        <v>9800000</v>
      </c>
      <c r="N754" s="1382" t="s">
        <v>1035</v>
      </c>
      <c r="O754" s="1174" t="s">
        <v>1036</v>
      </c>
      <c r="P754" s="1163" t="s">
        <v>678</v>
      </c>
      <c r="Q754" s="1207"/>
      <c r="R754" s="1357"/>
      <c r="S754" s="1357"/>
      <c r="T754" s="1357">
        <f>+Tabla16[[#This Row],[CDPS A 31 JULIO 2022]]-Tabla16[[#This Row],[CDP]]</f>
        <v>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ht="105" x14ac:dyDescent="0.25">
      <c r="A755" s="1355">
        <v>2022827</v>
      </c>
      <c r="B755" s="1172">
        <v>7658</v>
      </c>
      <c r="C755" s="1356" t="s">
        <v>679</v>
      </c>
      <c r="D755" s="1190" t="s">
        <v>692</v>
      </c>
      <c r="E755" s="1174">
        <v>10111306</v>
      </c>
      <c r="F755" s="1174" t="s">
        <v>1375</v>
      </c>
      <c r="G755" s="1381">
        <v>44805</v>
      </c>
      <c r="H755" s="1381">
        <v>44849</v>
      </c>
      <c r="I755" s="1176">
        <v>2</v>
      </c>
      <c r="J755" s="1176" t="s">
        <v>699</v>
      </c>
      <c r="K755" s="1177" t="s">
        <v>770</v>
      </c>
      <c r="L755" s="1178" t="s">
        <v>994</v>
      </c>
      <c r="M755" s="1179">
        <v>30000000</v>
      </c>
      <c r="N755" s="1382" t="s">
        <v>1035</v>
      </c>
      <c r="O755" s="1174" t="s">
        <v>1036</v>
      </c>
      <c r="P755" s="1163" t="s">
        <v>678</v>
      </c>
      <c r="Q755" s="1207"/>
      <c r="R755" s="1357"/>
      <c r="S755" s="1357"/>
      <c r="T755" s="1357">
        <f>+Tabla16[[#This Row],[CDPS A 31 JULIO 2022]]-Tabla16[[#This Row],[CDP]]</f>
        <v>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ht="105" x14ac:dyDescent="0.25">
      <c r="A756" s="1400">
        <v>2022828</v>
      </c>
      <c r="B756" s="1401">
        <v>7658</v>
      </c>
      <c r="C756" s="1402" t="s">
        <v>679</v>
      </c>
      <c r="D756" s="1403" t="s">
        <v>692</v>
      </c>
      <c r="E756" s="1404">
        <v>77102002</v>
      </c>
      <c r="F756" s="1404" t="s">
        <v>1376</v>
      </c>
      <c r="G756" s="1406">
        <v>44819</v>
      </c>
      <c r="H756" s="1406">
        <v>44849</v>
      </c>
      <c r="I756" s="1407">
        <v>2</v>
      </c>
      <c r="J756" s="1407" t="s">
        <v>699</v>
      </c>
      <c r="K756" s="1408" t="s">
        <v>674</v>
      </c>
      <c r="L756" s="1409" t="s">
        <v>675</v>
      </c>
      <c r="M756" s="1410">
        <f>20000000-1720669</f>
        <v>18279331</v>
      </c>
      <c r="N756" s="1411" t="s">
        <v>1035</v>
      </c>
      <c r="O756" s="1404" t="s">
        <v>1036</v>
      </c>
      <c r="P756" s="1413" t="s">
        <v>678</v>
      </c>
      <c r="Q756" s="1207"/>
      <c r="R756" s="1357"/>
      <c r="S756" s="1357"/>
      <c r="T756" s="1357">
        <f>+Tabla16[[#This Row],[CDPS A 31 JULIO 2022]]-Tabla16[[#This Row],[CDP]]</f>
        <v>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ht="105" x14ac:dyDescent="0.25">
      <c r="A757" s="1355">
        <v>2022829</v>
      </c>
      <c r="B757" s="1172">
        <v>7637</v>
      </c>
      <c r="C757" s="1356" t="s">
        <v>643</v>
      </c>
      <c r="D757" s="1190" t="s">
        <v>671</v>
      </c>
      <c r="E757" s="1174">
        <v>80111600</v>
      </c>
      <c r="F757" s="1174" t="s">
        <v>1377</v>
      </c>
      <c r="G757" s="1381">
        <v>44805</v>
      </c>
      <c r="H757" s="1381">
        <v>44819</v>
      </c>
      <c r="I757" s="1176">
        <v>2</v>
      </c>
      <c r="J757" s="1176" t="s">
        <v>673</v>
      </c>
      <c r="K757" s="1177" t="s">
        <v>674</v>
      </c>
      <c r="L757" s="1178" t="s">
        <v>675</v>
      </c>
      <c r="M757" s="1179">
        <v>10000000</v>
      </c>
      <c r="N757" s="1189" t="s">
        <v>676</v>
      </c>
      <c r="O757" s="1174" t="s">
        <v>677</v>
      </c>
      <c r="P757" s="1163" t="s">
        <v>678</v>
      </c>
      <c r="Q757" s="1207"/>
      <c r="R757" s="1357"/>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ht="105" x14ac:dyDescent="0.25">
      <c r="A758" s="1355">
        <v>2022830</v>
      </c>
      <c r="B758" s="1172">
        <v>7655</v>
      </c>
      <c r="C758" s="1356" t="s">
        <v>668</v>
      </c>
      <c r="D758" s="1190" t="s">
        <v>695</v>
      </c>
      <c r="E758" s="1174">
        <v>80111600</v>
      </c>
      <c r="F758" s="1174" t="s">
        <v>1378</v>
      </c>
      <c r="G758" s="1381">
        <v>44817</v>
      </c>
      <c r="H758" s="1381">
        <v>44820</v>
      </c>
      <c r="I758" s="1176">
        <v>4</v>
      </c>
      <c r="J758" s="1176" t="s">
        <v>673</v>
      </c>
      <c r="K758" s="1177" t="s">
        <v>674</v>
      </c>
      <c r="L758" s="1178" t="s">
        <v>675</v>
      </c>
      <c r="M758" s="1179">
        <v>12916800</v>
      </c>
      <c r="N758" s="1382" t="s">
        <v>781</v>
      </c>
      <c r="O758" s="1174" t="s">
        <v>771</v>
      </c>
      <c r="P758" s="1163" t="s">
        <v>757</v>
      </c>
      <c r="Q758" s="1207"/>
      <c r="R758" s="1357"/>
      <c r="S758" s="1357"/>
      <c r="T758" s="1357">
        <f>+Tabla16[[#This Row],[CDPS A 31 JULIO 2022]]-Tabla16[[#This Row],[CDP]]</f>
        <v>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ht="105" x14ac:dyDescent="0.25">
      <c r="A759" s="1355">
        <v>2022831</v>
      </c>
      <c r="B759" s="1172">
        <v>7655</v>
      </c>
      <c r="C759" s="1356" t="s">
        <v>668</v>
      </c>
      <c r="D759" s="1190" t="s">
        <v>695</v>
      </c>
      <c r="E759" s="1174">
        <v>80111600</v>
      </c>
      <c r="F759" s="1174" t="s">
        <v>1379</v>
      </c>
      <c r="G759" s="1381">
        <v>44817</v>
      </c>
      <c r="H759" s="1381">
        <v>44820</v>
      </c>
      <c r="I759" s="1176">
        <v>3.5</v>
      </c>
      <c r="J759" s="1176" t="s">
        <v>673</v>
      </c>
      <c r="K759" s="1177" t="s">
        <v>674</v>
      </c>
      <c r="L759" s="1178" t="s">
        <v>675</v>
      </c>
      <c r="M759" s="1179">
        <v>14055300</v>
      </c>
      <c r="N759" s="1382" t="s">
        <v>781</v>
      </c>
      <c r="O759" s="1174" t="s">
        <v>771</v>
      </c>
      <c r="P759" s="1163" t="s">
        <v>757</v>
      </c>
      <c r="Q759" s="1207"/>
      <c r="R759" s="1357"/>
      <c r="S759" s="1357"/>
      <c r="T759" s="1357">
        <f>+Tabla16[[#This Row],[CDPS A 31 JULIO 2022]]-Tabla16[[#This Row],[CDP]]</f>
        <v>0</v>
      </c>
      <c r="U759" s="1357"/>
      <c r="V759" s="1357"/>
      <c r="W759" s="1357"/>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ht="105" x14ac:dyDescent="0.25">
      <c r="A760" s="1355">
        <v>2022832</v>
      </c>
      <c r="B760" s="1172">
        <v>7655</v>
      </c>
      <c r="C760" s="1356" t="s">
        <v>668</v>
      </c>
      <c r="D760" s="1190" t="s">
        <v>695</v>
      </c>
      <c r="E760" s="1174">
        <v>80111600</v>
      </c>
      <c r="F760" s="1174" t="s">
        <v>1380</v>
      </c>
      <c r="G760" s="1381">
        <v>44817</v>
      </c>
      <c r="H760" s="1381">
        <v>44820</v>
      </c>
      <c r="I760" s="1176">
        <v>4</v>
      </c>
      <c r="J760" s="1176" t="s">
        <v>673</v>
      </c>
      <c r="K760" s="1177" t="s">
        <v>674</v>
      </c>
      <c r="L760" s="1178" t="s">
        <v>675</v>
      </c>
      <c r="M760" s="1179">
        <v>20010000</v>
      </c>
      <c r="N760" s="1382" t="s">
        <v>781</v>
      </c>
      <c r="O760" s="1174" t="s">
        <v>771</v>
      </c>
      <c r="P760" s="1163" t="s">
        <v>757</v>
      </c>
      <c r="Q760" s="1207"/>
      <c r="R760" s="1357"/>
      <c r="S760" s="1357"/>
      <c r="T760" s="1357">
        <f>+Tabla16[[#This Row],[CDPS A 31 JULIO 2022]]-Tabla16[[#This Row],[CDP]]</f>
        <v>0</v>
      </c>
      <c r="U760" s="1357"/>
      <c r="V760" s="1357"/>
      <c r="W760" s="1357"/>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ht="105" x14ac:dyDescent="0.25">
      <c r="A761" s="1355">
        <v>2022833</v>
      </c>
      <c r="B761" s="1172">
        <v>7655</v>
      </c>
      <c r="C761" s="1356" t="s">
        <v>668</v>
      </c>
      <c r="D761" s="1190" t="s">
        <v>695</v>
      </c>
      <c r="E761" s="1174">
        <v>80111600</v>
      </c>
      <c r="F761" s="1174" t="s">
        <v>1381</v>
      </c>
      <c r="G761" s="1381">
        <v>44819</v>
      </c>
      <c r="H761" s="1381">
        <v>44823</v>
      </c>
      <c r="I761" s="1176">
        <v>3</v>
      </c>
      <c r="J761" s="1176" t="s">
        <v>673</v>
      </c>
      <c r="K761" s="1177" t="s">
        <v>674</v>
      </c>
      <c r="L761" s="1178" t="s">
        <v>675</v>
      </c>
      <c r="M761" s="1179">
        <v>15007500</v>
      </c>
      <c r="N761" s="1382" t="s">
        <v>781</v>
      </c>
      <c r="O761" s="1174" t="s">
        <v>771</v>
      </c>
      <c r="P761" s="1163" t="s">
        <v>757</v>
      </c>
      <c r="Q761" s="1207"/>
      <c r="R761" s="1357"/>
      <c r="S761" s="1357"/>
      <c r="T761" s="1357">
        <f>+Tabla16[[#This Row],[CDPS A 31 JULIO 2022]]-Tabla16[[#This Row],[CDP]]</f>
        <v>0</v>
      </c>
      <c r="U761" s="1357"/>
      <c r="V761" s="1357"/>
      <c r="W761" s="1357"/>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row>
    <row r="762" spans="1:84" ht="105" x14ac:dyDescent="0.25">
      <c r="A762" s="1355">
        <v>2022834</v>
      </c>
      <c r="B762" s="1172">
        <v>7655</v>
      </c>
      <c r="C762" s="1356" t="s">
        <v>668</v>
      </c>
      <c r="D762" s="1190" t="s">
        <v>695</v>
      </c>
      <c r="E762" s="1174">
        <v>80111600</v>
      </c>
      <c r="F762" s="1174" t="s">
        <v>1382</v>
      </c>
      <c r="G762" s="1381">
        <v>44824</v>
      </c>
      <c r="H762" s="1381">
        <v>44827</v>
      </c>
      <c r="I762" s="1176">
        <v>3</v>
      </c>
      <c r="J762" s="1176" t="s">
        <v>673</v>
      </c>
      <c r="K762" s="1177" t="s">
        <v>674</v>
      </c>
      <c r="L762" s="1178" t="s">
        <v>675</v>
      </c>
      <c r="M762" s="1179">
        <v>15750633</v>
      </c>
      <c r="N762" s="1382" t="s">
        <v>781</v>
      </c>
      <c r="O762" s="1174" t="s">
        <v>771</v>
      </c>
      <c r="P762" s="1163" t="s">
        <v>757</v>
      </c>
      <c r="Q762" s="1207"/>
      <c r="R762" s="1357"/>
      <c r="S762" s="1357"/>
      <c r="T762" s="1357">
        <f>+Tabla16[[#This Row],[CDPS A 31 JULIO 2022]]-Tabla16[[#This Row],[CDP]]</f>
        <v>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ht="105" x14ac:dyDescent="0.25">
      <c r="A763" s="1355">
        <v>2022835</v>
      </c>
      <c r="B763" s="1172">
        <v>7655</v>
      </c>
      <c r="C763" s="1356" t="s">
        <v>668</v>
      </c>
      <c r="D763" s="1190" t="s">
        <v>695</v>
      </c>
      <c r="E763" s="1174">
        <v>80111600</v>
      </c>
      <c r="F763" s="1174" t="s">
        <v>1383</v>
      </c>
      <c r="G763" s="1381">
        <v>44824</v>
      </c>
      <c r="H763" s="1381">
        <v>44827</v>
      </c>
      <c r="I763" s="1176">
        <v>3.5</v>
      </c>
      <c r="J763" s="1176" t="s">
        <v>673</v>
      </c>
      <c r="K763" s="1177" t="s">
        <v>674</v>
      </c>
      <c r="L763" s="1178" t="s">
        <v>675</v>
      </c>
      <c r="M763" s="1179">
        <v>14055300</v>
      </c>
      <c r="N763" s="1382" t="s">
        <v>781</v>
      </c>
      <c r="O763" s="1174" t="s">
        <v>771</v>
      </c>
      <c r="P763" s="1163" t="s">
        <v>757</v>
      </c>
      <c r="Q763" s="1207"/>
      <c r="R763" s="1357"/>
      <c r="S763" s="1357"/>
      <c r="T763" s="1357">
        <f>+Tabla16[[#This Row],[CDPS A 31 JULIO 2022]]-Tabla16[[#This Row],[CDP]]</f>
        <v>0</v>
      </c>
      <c r="U763" s="1357"/>
      <c r="V763" s="1357"/>
      <c r="W763" s="135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c r="AZ763" s="1207"/>
      <c r="BA763" s="1207"/>
      <c r="BB763" s="1207"/>
      <c r="BC763" s="1207"/>
      <c r="BD763" s="1207"/>
      <c r="BE763" s="1207"/>
      <c r="BF763" s="1207"/>
      <c r="BG763" s="1207"/>
      <c r="BH763" s="1207"/>
      <c r="BI763" s="1207"/>
      <c r="BJ763" s="1207"/>
      <c r="BK763" s="1207"/>
      <c r="BL763" s="1207"/>
      <c r="BM763" s="1207"/>
      <c r="BN763" s="1207"/>
      <c r="BO763" s="1207"/>
      <c r="BP763" s="1207"/>
      <c r="BQ763" s="1207"/>
      <c r="BR763" s="1207"/>
      <c r="BS763" s="1207"/>
      <c r="BT763" s="1207"/>
      <c r="BU763" s="1207"/>
      <c r="BV763" s="1207"/>
      <c r="BW763" s="1207"/>
      <c r="BX763" s="1207"/>
      <c r="BY763" s="1207"/>
      <c r="BZ763" s="1207"/>
      <c r="CA763" s="1207"/>
      <c r="CB763" s="1207"/>
      <c r="CC763" s="1207"/>
      <c r="CD763" s="1207"/>
      <c r="CE763" s="1207"/>
      <c r="CF763" s="1207"/>
    </row>
    <row r="764" spans="1:84" ht="105" x14ac:dyDescent="0.25">
      <c r="A764" s="1355">
        <v>2022836</v>
      </c>
      <c r="B764" s="1172">
        <v>7655</v>
      </c>
      <c r="C764" s="1356" t="s">
        <v>668</v>
      </c>
      <c r="D764" s="1190" t="s">
        <v>695</v>
      </c>
      <c r="E764" s="1174">
        <v>80111600</v>
      </c>
      <c r="F764" s="1174" t="s">
        <v>1384</v>
      </c>
      <c r="G764" s="1381">
        <v>44826</v>
      </c>
      <c r="H764" s="1381">
        <v>44829</v>
      </c>
      <c r="I764" s="1176">
        <v>2</v>
      </c>
      <c r="J764" s="1176" t="s">
        <v>673</v>
      </c>
      <c r="K764" s="1177" t="s">
        <v>674</v>
      </c>
      <c r="L764" s="1178" t="s">
        <v>675</v>
      </c>
      <c r="M764" s="1179">
        <v>7700000</v>
      </c>
      <c r="N764" s="1382" t="s">
        <v>781</v>
      </c>
      <c r="O764" s="1174" t="s">
        <v>771</v>
      </c>
      <c r="P764" s="1163" t="s">
        <v>757</v>
      </c>
      <c r="Q764" s="1207"/>
      <c r="R764" s="1357"/>
      <c r="S764" s="1357"/>
      <c r="T764" s="1357">
        <f>+Tabla16[[#This Row],[CDPS A 31 JULIO 2022]]-Tabla16[[#This Row],[CDP]]</f>
        <v>0</v>
      </c>
      <c r="U764" s="1357"/>
      <c r="V764" s="1357"/>
      <c r="W764" s="1357"/>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c r="AZ764" s="1207"/>
      <c r="BA764" s="1207"/>
      <c r="BB764" s="1207"/>
      <c r="BC764" s="1207"/>
      <c r="BD764" s="1207"/>
      <c r="BE764" s="1207"/>
      <c r="BF764" s="1207"/>
      <c r="BG764" s="1207"/>
      <c r="BH764" s="1207"/>
      <c r="BI764" s="1207"/>
      <c r="BJ764" s="1207"/>
      <c r="BK764" s="1207"/>
      <c r="BL764" s="1207"/>
      <c r="BM764" s="1207"/>
      <c r="BN764" s="1207"/>
      <c r="BO764" s="1207"/>
      <c r="BP764" s="1207"/>
      <c r="BQ764" s="1207"/>
      <c r="BR764" s="1207"/>
      <c r="BS764" s="1207"/>
      <c r="BT764" s="1207"/>
      <c r="BU764" s="1207"/>
      <c r="BV764" s="1207"/>
      <c r="BW764" s="1207"/>
      <c r="BX764" s="1207"/>
      <c r="BY764" s="1207"/>
      <c r="BZ764" s="1207"/>
      <c r="CA764" s="1207"/>
      <c r="CB764" s="1207"/>
      <c r="CC764" s="1207"/>
      <c r="CD764" s="1207"/>
      <c r="CE764" s="1207"/>
      <c r="CF764" s="1207"/>
    </row>
    <row r="765" spans="1:84" ht="105" x14ac:dyDescent="0.25">
      <c r="A765" s="1355">
        <v>2022837</v>
      </c>
      <c r="B765" s="1172">
        <v>7655</v>
      </c>
      <c r="C765" s="1356" t="s">
        <v>668</v>
      </c>
      <c r="D765" s="1190" t="s">
        <v>695</v>
      </c>
      <c r="E765" s="1174">
        <v>80111600</v>
      </c>
      <c r="F765" s="1174" t="s">
        <v>1385</v>
      </c>
      <c r="G765" s="1381">
        <v>44831</v>
      </c>
      <c r="H765" s="1381">
        <v>44834</v>
      </c>
      <c r="I765" s="1176">
        <v>2.5</v>
      </c>
      <c r="J765" s="1176" t="s">
        <v>673</v>
      </c>
      <c r="K765" s="1177" t="s">
        <v>674</v>
      </c>
      <c r="L765" s="1178" t="s">
        <v>675</v>
      </c>
      <c r="M765" s="1179">
        <v>10867500</v>
      </c>
      <c r="N765" s="1382" t="s">
        <v>781</v>
      </c>
      <c r="O765" s="1174" t="s">
        <v>771</v>
      </c>
      <c r="P765" s="1163" t="s">
        <v>757</v>
      </c>
      <c r="Q765" s="1207"/>
      <c r="R765" s="1357"/>
      <c r="S765" s="1357"/>
      <c r="T765" s="1357">
        <f>+Tabla16[[#This Row],[CDPS A 31 JULIO 2022]]-Tabla16[[#This Row],[CDP]]</f>
        <v>0</v>
      </c>
      <c r="U765" s="1357"/>
      <c r="V765" s="1357"/>
      <c r="W765" s="135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row>
    <row r="766" spans="1:84" ht="105" x14ac:dyDescent="0.25">
      <c r="A766" s="1355">
        <v>2022840</v>
      </c>
      <c r="B766" s="1172">
        <v>7655</v>
      </c>
      <c r="C766" s="1356" t="s">
        <v>668</v>
      </c>
      <c r="D766" s="1190" t="s">
        <v>695</v>
      </c>
      <c r="E766" s="1174">
        <v>80111600</v>
      </c>
      <c r="F766" s="1174" t="s">
        <v>849</v>
      </c>
      <c r="G766" s="1381">
        <v>44814</v>
      </c>
      <c r="H766" s="1381">
        <v>44821</v>
      </c>
      <c r="I766" s="1176">
        <v>3</v>
      </c>
      <c r="J766" s="1176" t="s">
        <v>673</v>
      </c>
      <c r="K766" s="1177" t="s">
        <v>674</v>
      </c>
      <c r="L766" s="1178" t="s">
        <v>675</v>
      </c>
      <c r="M766" s="1179">
        <v>16509700</v>
      </c>
      <c r="N766" s="1382" t="s">
        <v>781</v>
      </c>
      <c r="O766" s="1174" t="s">
        <v>771</v>
      </c>
      <c r="P766" s="1163" t="s">
        <v>678</v>
      </c>
      <c r="Q766" s="1207"/>
      <c r="R766" s="1357"/>
      <c r="S766" s="1357"/>
      <c r="T766" s="1357">
        <f>+Tabla16[[#This Row],[CDPS A 31 JULIO 2022]]-Tabla16[[#This Row],[CDP]]</f>
        <v>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ht="105" x14ac:dyDescent="0.25">
      <c r="A767" s="1355">
        <v>2022841</v>
      </c>
      <c r="B767" s="1172">
        <v>7655</v>
      </c>
      <c r="C767" s="1356" t="s">
        <v>668</v>
      </c>
      <c r="D767" s="1190" t="s">
        <v>695</v>
      </c>
      <c r="E767" s="1174">
        <v>80111600</v>
      </c>
      <c r="F767" s="1174" t="s">
        <v>1386</v>
      </c>
      <c r="G767" s="1381">
        <v>44814</v>
      </c>
      <c r="H767" s="1381">
        <v>44821</v>
      </c>
      <c r="I767" s="1176">
        <v>4</v>
      </c>
      <c r="J767" s="1176" t="s">
        <v>673</v>
      </c>
      <c r="K767" s="1177" t="s">
        <v>674</v>
      </c>
      <c r="L767" s="1178" t="s">
        <v>675</v>
      </c>
      <c r="M767" s="1179">
        <v>13400000</v>
      </c>
      <c r="N767" s="1382" t="s">
        <v>781</v>
      </c>
      <c r="O767" s="1174" t="s">
        <v>771</v>
      </c>
      <c r="P767" s="1163" t="s">
        <v>678</v>
      </c>
      <c r="Q767" s="1207"/>
      <c r="R767" s="1357"/>
      <c r="S767" s="1357"/>
      <c r="T767" s="1357">
        <f>+Tabla16[[#This Row],[CDPS A 31 JULIO 2022]]-Tabla16[[#This Row],[CDP]]</f>
        <v>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ht="90" x14ac:dyDescent="0.25">
      <c r="A768" s="1355">
        <v>2022842</v>
      </c>
      <c r="B768" s="1172">
        <v>7658</v>
      </c>
      <c r="C768" s="1356" t="s">
        <v>679</v>
      </c>
      <c r="D768" s="1190" t="s">
        <v>695</v>
      </c>
      <c r="E768" s="1174">
        <v>80111600</v>
      </c>
      <c r="F768" s="1174" t="s">
        <v>1387</v>
      </c>
      <c r="G768" s="1381">
        <v>44822</v>
      </c>
      <c r="H768" s="1381">
        <v>44825</v>
      </c>
      <c r="I768" s="1176">
        <v>3</v>
      </c>
      <c r="J768" s="1176" t="s">
        <v>673</v>
      </c>
      <c r="K768" s="1177" t="s">
        <v>674</v>
      </c>
      <c r="L768" s="1178" t="s">
        <v>675</v>
      </c>
      <c r="M768" s="1179">
        <v>7350000</v>
      </c>
      <c r="N768" s="1382" t="s">
        <v>765</v>
      </c>
      <c r="O768" s="1174" t="s">
        <v>764</v>
      </c>
      <c r="P768" s="1163" t="s">
        <v>757</v>
      </c>
      <c r="Q768" s="1207"/>
      <c r="R768" s="1357"/>
      <c r="S768" s="1357"/>
      <c r="T768" s="1357">
        <f>+Tabla16[[#This Row],[CDPS A 31 JULIO 2022]]-Tabla16[[#This Row],[CDP]]</f>
        <v>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90" x14ac:dyDescent="0.25">
      <c r="A769" s="1355">
        <v>2022843</v>
      </c>
      <c r="B769" s="1172">
        <v>7658</v>
      </c>
      <c r="C769" s="1356" t="s">
        <v>679</v>
      </c>
      <c r="D769" s="1190" t="s">
        <v>695</v>
      </c>
      <c r="E769" s="1174">
        <v>80111600</v>
      </c>
      <c r="F769" s="1174" t="s">
        <v>1388</v>
      </c>
      <c r="G769" s="1381">
        <v>44824</v>
      </c>
      <c r="H769" s="1381">
        <v>44827</v>
      </c>
      <c r="I769" s="1176">
        <v>4</v>
      </c>
      <c r="J769" s="1176" t="s">
        <v>673</v>
      </c>
      <c r="K769" s="1177" t="s">
        <v>674</v>
      </c>
      <c r="L769" s="1178" t="s">
        <v>675</v>
      </c>
      <c r="M769" s="1179">
        <v>15939000</v>
      </c>
      <c r="N769" s="1382" t="s">
        <v>765</v>
      </c>
      <c r="O769" s="1174" t="s">
        <v>764</v>
      </c>
      <c r="P769" s="1163" t="s">
        <v>757</v>
      </c>
      <c r="Q769" s="1207"/>
      <c r="R769" s="1357"/>
      <c r="S769" s="1357"/>
      <c r="T769" s="1357">
        <f>+Tabla16[[#This Row],[CDPS A 31 JULIO 2022]]-Tabla16[[#This Row],[CDP]]</f>
        <v>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90" x14ac:dyDescent="0.25">
      <c r="A770" s="1400">
        <v>2022844</v>
      </c>
      <c r="B770" s="1401">
        <v>7658</v>
      </c>
      <c r="C770" s="1402" t="s">
        <v>679</v>
      </c>
      <c r="D770" s="1403" t="s">
        <v>695</v>
      </c>
      <c r="E770" s="1404">
        <v>80111600</v>
      </c>
      <c r="F770" s="1404" t="s">
        <v>1389</v>
      </c>
      <c r="G770" s="1406">
        <v>44814</v>
      </c>
      <c r="H770" s="1406">
        <v>44821</v>
      </c>
      <c r="I770" s="1407">
        <v>6</v>
      </c>
      <c r="J770" s="1407" t="s">
        <v>673</v>
      </c>
      <c r="K770" s="1408" t="s">
        <v>674</v>
      </c>
      <c r="L770" s="1409" t="s">
        <v>675</v>
      </c>
      <c r="M770" s="1410">
        <f>16500000-1439533-4060467</f>
        <v>11000000</v>
      </c>
      <c r="N770" s="1411" t="s">
        <v>765</v>
      </c>
      <c r="O770" s="1404" t="s">
        <v>764</v>
      </c>
      <c r="P770" s="1413" t="s">
        <v>678</v>
      </c>
      <c r="Q770" s="1207"/>
      <c r="R770" s="1357"/>
      <c r="S770" s="1357"/>
      <c r="T770" s="1357">
        <f>+Tabla16[[#This Row],[CDPS A 31 JULIO 2022]]-Tabla16[[#This Row],[CDP]]</f>
        <v>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105" x14ac:dyDescent="0.25">
      <c r="A771" s="1355">
        <v>2022845</v>
      </c>
      <c r="B771" s="1172">
        <v>7655</v>
      </c>
      <c r="C771" s="1356" t="s">
        <v>668</v>
      </c>
      <c r="D771" s="1190" t="s">
        <v>689</v>
      </c>
      <c r="E771" s="1174" t="s">
        <v>778</v>
      </c>
      <c r="F771" s="1174" t="s">
        <v>1390</v>
      </c>
      <c r="G771" s="1381">
        <v>44805</v>
      </c>
      <c r="H771" s="1381">
        <v>44814</v>
      </c>
      <c r="I771" s="1176">
        <v>4</v>
      </c>
      <c r="J771" s="1176" t="s">
        <v>673</v>
      </c>
      <c r="K771" s="1177" t="s">
        <v>674</v>
      </c>
      <c r="L771" s="1178" t="s">
        <v>675</v>
      </c>
      <c r="M771" s="1179">
        <v>36000000</v>
      </c>
      <c r="N771" s="1382" t="s">
        <v>781</v>
      </c>
      <c r="O771" s="1174" t="s">
        <v>771</v>
      </c>
      <c r="P771" s="1207" t="s">
        <v>678</v>
      </c>
      <c r="Q771" s="1207"/>
      <c r="R771" s="1357"/>
      <c r="S771" s="1357"/>
      <c r="T771" s="1357">
        <f>+Tabla16[[#This Row],[CDPS A 31 JULIO 2022]]-Tabla16[[#This Row],[CDP]]</f>
        <v>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90" x14ac:dyDescent="0.25">
      <c r="A772" s="1355">
        <v>2022846</v>
      </c>
      <c r="B772" s="1172" t="s">
        <v>459</v>
      </c>
      <c r="C772" s="1356"/>
      <c r="D772" s="1190" t="s">
        <v>671</v>
      </c>
      <c r="E772" s="1174">
        <v>81111811</v>
      </c>
      <c r="F772" s="1174" t="s">
        <v>1391</v>
      </c>
      <c r="G772" s="1381">
        <v>44866</v>
      </c>
      <c r="H772" s="1381">
        <v>44876</v>
      </c>
      <c r="I772" s="1176">
        <v>3</v>
      </c>
      <c r="J772" s="1176" t="s">
        <v>720</v>
      </c>
      <c r="K772" s="1177" t="s">
        <v>674</v>
      </c>
      <c r="L772" s="1178" t="s">
        <v>1392</v>
      </c>
      <c r="M772" s="1179">
        <v>70867180</v>
      </c>
      <c r="N772" s="1382"/>
      <c r="O772" s="1174"/>
      <c r="P772" s="1207" t="s">
        <v>757</v>
      </c>
      <c r="Q772" s="1207"/>
      <c r="R772" s="1357"/>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105" x14ac:dyDescent="0.25">
      <c r="A773" s="1355">
        <v>2022847</v>
      </c>
      <c r="B773" s="1172">
        <v>7655</v>
      </c>
      <c r="C773" s="1356" t="s">
        <v>668</v>
      </c>
      <c r="D773" s="1190" t="s">
        <v>682</v>
      </c>
      <c r="E773" s="1174">
        <v>80111600</v>
      </c>
      <c r="F773" s="1174" t="s">
        <v>1393</v>
      </c>
      <c r="G773" s="1381">
        <v>44814</v>
      </c>
      <c r="H773" s="1381">
        <v>44815</v>
      </c>
      <c r="I773" s="1176">
        <v>3.6</v>
      </c>
      <c r="J773" s="1176" t="s">
        <v>673</v>
      </c>
      <c r="K773" s="1177" t="s">
        <v>674</v>
      </c>
      <c r="L773" s="1178" t="s">
        <v>675</v>
      </c>
      <c r="M773" s="1179">
        <v>25666667</v>
      </c>
      <c r="N773" s="1382" t="s">
        <v>781</v>
      </c>
      <c r="O773" s="1174" t="s">
        <v>771</v>
      </c>
      <c r="P773" s="1163" t="s">
        <v>678</v>
      </c>
      <c r="Q773" s="1207"/>
      <c r="R773" s="1357"/>
      <c r="S773" s="1357"/>
      <c r="T773" s="1357">
        <f>+Tabla16[[#This Row],[CDPS A 31 JULIO 2022]]-Tabla16[[#This Row],[CDP]]</f>
        <v>0</v>
      </c>
      <c r="U773" s="1357"/>
      <c r="V773" s="1357"/>
      <c r="W773" s="135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105" x14ac:dyDescent="0.25">
      <c r="A774" s="1355">
        <v>2022848</v>
      </c>
      <c r="B774" s="1172">
        <v>7655</v>
      </c>
      <c r="C774" s="1356" t="s">
        <v>668</v>
      </c>
      <c r="D774" s="1190" t="s">
        <v>682</v>
      </c>
      <c r="E774" s="1174">
        <v>80111600</v>
      </c>
      <c r="F774" s="1174" t="s">
        <v>1394</v>
      </c>
      <c r="G774" s="1381">
        <v>44814</v>
      </c>
      <c r="H774" s="1381">
        <v>44815</v>
      </c>
      <c r="I774" s="1176">
        <v>3.6</v>
      </c>
      <c r="J774" s="1176" t="s">
        <v>673</v>
      </c>
      <c r="K774" s="1177" t="s">
        <v>674</v>
      </c>
      <c r="L774" s="1178" t="s">
        <v>675</v>
      </c>
      <c r="M774" s="1179">
        <v>20166667</v>
      </c>
      <c r="N774" s="1382" t="s">
        <v>781</v>
      </c>
      <c r="O774" s="1174" t="s">
        <v>771</v>
      </c>
      <c r="P774" s="1163" t="s">
        <v>678</v>
      </c>
      <c r="Q774" s="1207"/>
      <c r="R774" s="1357"/>
      <c r="S774" s="1357"/>
      <c r="T774" s="1357">
        <f>+Tabla16[[#This Row],[CDPS A 31 JULIO 2022]]-Tabla16[[#This Row],[CDP]]</f>
        <v>0</v>
      </c>
      <c r="U774" s="1357"/>
      <c r="V774" s="1357"/>
      <c r="W774" s="135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105" x14ac:dyDescent="0.25">
      <c r="A775" s="1355">
        <v>2022849</v>
      </c>
      <c r="B775" s="1172">
        <v>7655</v>
      </c>
      <c r="C775" s="1356" t="s">
        <v>668</v>
      </c>
      <c r="D775" s="1190" t="s">
        <v>689</v>
      </c>
      <c r="E775" s="1174" t="s">
        <v>778</v>
      </c>
      <c r="F775" s="1174" t="s">
        <v>1395</v>
      </c>
      <c r="G775" s="1381">
        <v>44819</v>
      </c>
      <c r="H775" s="1381">
        <v>44814</v>
      </c>
      <c r="I775" s="1176">
        <v>3</v>
      </c>
      <c r="J775" s="1176" t="s">
        <v>673</v>
      </c>
      <c r="K775" s="1177" t="s">
        <v>674</v>
      </c>
      <c r="L775" s="1178" t="s">
        <v>675</v>
      </c>
      <c r="M775" s="1179">
        <v>5400000</v>
      </c>
      <c r="N775" s="1382" t="s">
        <v>781</v>
      </c>
      <c r="O775" s="1174" t="s">
        <v>771</v>
      </c>
      <c r="P775" s="1163" t="s">
        <v>678</v>
      </c>
      <c r="Q775" s="1207"/>
      <c r="R775" s="1357"/>
      <c r="S775" s="1357"/>
      <c r="T775" s="1357">
        <f>+Tabla16[[#This Row],[CDPS A 31 JULIO 2022]]-Tabla16[[#This Row],[CDP]]</f>
        <v>0</v>
      </c>
      <c r="U775" s="1357"/>
      <c r="V775" s="1357"/>
      <c r="W775" s="135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105" x14ac:dyDescent="0.25">
      <c r="A776" s="1355">
        <v>2022850</v>
      </c>
      <c r="B776" s="1172">
        <v>7655</v>
      </c>
      <c r="C776" s="1356" t="s">
        <v>668</v>
      </c>
      <c r="D776" s="1190" t="s">
        <v>689</v>
      </c>
      <c r="E776" s="1174" t="s">
        <v>778</v>
      </c>
      <c r="F776" s="1174" t="s">
        <v>1396</v>
      </c>
      <c r="G776" s="1381">
        <v>44819</v>
      </c>
      <c r="H776" s="1381">
        <v>44814</v>
      </c>
      <c r="I776" s="1176">
        <v>3</v>
      </c>
      <c r="J776" s="1176" t="s">
        <v>673</v>
      </c>
      <c r="K776" s="1177" t="s">
        <v>674</v>
      </c>
      <c r="L776" s="1178" t="s">
        <v>675</v>
      </c>
      <c r="M776" s="1179">
        <v>16500000</v>
      </c>
      <c r="N776" s="1382" t="s">
        <v>781</v>
      </c>
      <c r="O776" s="1174" t="s">
        <v>771</v>
      </c>
      <c r="P776" s="1163" t="s">
        <v>678</v>
      </c>
      <c r="Q776" s="1207"/>
      <c r="R776" s="1357"/>
      <c r="S776" s="1357"/>
      <c r="T776" s="1357">
        <f>+Tabla16[[#This Row],[CDPS A 31 JULIO 2022]]-Tabla16[[#This Row],[CDP]]</f>
        <v>0</v>
      </c>
      <c r="U776" s="1357"/>
      <c r="V776" s="1357"/>
      <c r="W776" s="135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60" x14ac:dyDescent="0.25">
      <c r="A777" s="1355">
        <v>2022851</v>
      </c>
      <c r="B777" s="1172" t="s">
        <v>459</v>
      </c>
      <c r="C777" s="1356"/>
      <c r="D777" s="1190" t="s">
        <v>689</v>
      </c>
      <c r="E777" s="1174">
        <v>841315</v>
      </c>
      <c r="F777" s="1174" t="s">
        <v>1397</v>
      </c>
      <c r="G777" s="1381">
        <v>44819</v>
      </c>
      <c r="H777" s="1381">
        <v>44822</v>
      </c>
      <c r="I777" s="1176">
        <v>7</v>
      </c>
      <c r="J777" s="1176" t="s">
        <v>699</v>
      </c>
      <c r="K777" s="1177" t="s">
        <v>674</v>
      </c>
      <c r="L777" s="1178"/>
      <c r="M777" s="1179">
        <v>17000000</v>
      </c>
      <c r="N777" s="1382"/>
      <c r="O777" s="1174"/>
      <c r="P777" s="1207" t="s">
        <v>678</v>
      </c>
      <c r="Q777" s="1207"/>
      <c r="R777" s="1357"/>
      <c r="S777" s="1357"/>
      <c r="T777" s="1357">
        <f>+Tabla16[[#This Row],[CDPS A 31 JULIO 2022]]-Tabla16[[#This Row],[CDP]]</f>
        <v>0</v>
      </c>
      <c r="U777" s="1357"/>
      <c r="V777" s="1357"/>
      <c r="W777" s="135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135" x14ac:dyDescent="0.25">
      <c r="A778" s="1355">
        <v>2022852</v>
      </c>
      <c r="B778" s="1172">
        <v>7658</v>
      </c>
      <c r="C778" s="1356" t="s">
        <v>679</v>
      </c>
      <c r="D778" s="1190" t="s">
        <v>689</v>
      </c>
      <c r="E778" s="1174">
        <v>80111600</v>
      </c>
      <c r="F778" s="1174" t="s">
        <v>1398</v>
      </c>
      <c r="G778" s="1381">
        <v>44819</v>
      </c>
      <c r="H778" s="1381">
        <v>44814</v>
      </c>
      <c r="I778" s="1176">
        <v>3</v>
      </c>
      <c r="J778" s="1176" t="s">
        <v>673</v>
      </c>
      <c r="K778" s="1177" t="s">
        <v>674</v>
      </c>
      <c r="L778" s="1178" t="s">
        <v>675</v>
      </c>
      <c r="M778" s="1179">
        <v>8250000</v>
      </c>
      <c r="N778" s="1382" t="s">
        <v>931</v>
      </c>
      <c r="O778" s="1174" t="s">
        <v>915</v>
      </c>
      <c r="P778" s="1163" t="s">
        <v>678</v>
      </c>
      <c r="Q778" s="1207"/>
      <c r="R778" s="1357"/>
      <c r="S778" s="1357"/>
      <c r="T778" s="1357">
        <f>+Tabla16[[#This Row],[CDPS A 31 JULIO 2022]]-Tabla16[[#This Row],[CDP]]</f>
        <v>0</v>
      </c>
      <c r="U778" s="1357"/>
      <c r="V778" s="1357"/>
      <c r="W778" s="135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105" x14ac:dyDescent="0.25">
      <c r="A779" s="1355">
        <v>2022853</v>
      </c>
      <c r="B779" s="1172">
        <v>7655</v>
      </c>
      <c r="C779" s="1356" t="s">
        <v>668</v>
      </c>
      <c r="D779" s="1190" t="s">
        <v>695</v>
      </c>
      <c r="E779" s="1174">
        <v>80111600</v>
      </c>
      <c r="F779" s="1174" t="s">
        <v>1399</v>
      </c>
      <c r="G779" s="1381">
        <v>44816</v>
      </c>
      <c r="H779" s="1381">
        <v>44820</v>
      </c>
      <c r="I779" s="1176">
        <v>3</v>
      </c>
      <c r="J779" s="1176" t="s">
        <v>673</v>
      </c>
      <c r="K779" s="1177" t="s">
        <v>674</v>
      </c>
      <c r="L779" s="1178" t="s">
        <v>675</v>
      </c>
      <c r="M779" s="1179">
        <v>13041000</v>
      </c>
      <c r="N779" s="1382" t="s">
        <v>781</v>
      </c>
      <c r="O779" s="1174" t="s">
        <v>771</v>
      </c>
      <c r="P779" s="1163" t="s">
        <v>757</v>
      </c>
      <c r="Q779" s="1207"/>
      <c r="R779" s="1357"/>
      <c r="S779" s="1357"/>
      <c r="T779" s="1357">
        <f>+Tabla16[[#This Row],[CDPS A 31 JULIO 2022]]-Tabla16[[#This Row],[CDP]]</f>
        <v>0</v>
      </c>
      <c r="U779" s="1357"/>
      <c r="V779" s="1357"/>
      <c r="W779" s="135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105" x14ac:dyDescent="0.25">
      <c r="A780" s="1355">
        <v>2022854</v>
      </c>
      <c r="B780" s="1172">
        <v>7655</v>
      </c>
      <c r="C780" s="1356" t="s">
        <v>668</v>
      </c>
      <c r="D780" s="1190" t="s">
        <v>695</v>
      </c>
      <c r="E780" s="1174">
        <v>80111600</v>
      </c>
      <c r="F780" s="1174" t="s">
        <v>1400</v>
      </c>
      <c r="G780" s="1381">
        <v>44846</v>
      </c>
      <c r="H780" s="1381">
        <v>44850</v>
      </c>
      <c r="I780" s="1176">
        <v>3</v>
      </c>
      <c r="J780" s="1176" t="s">
        <v>673</v>
      </c>
      <c r="K780" s="1177" t="s">
        <v>674</v>
      </c>
      <c r="L780" s="1178" t="s">
        <v>675</v>
      </c>
      <c r="M780" s="1179">
        <v>15300000</v>
      </c>
      <c r="N780" s="1382" t="s">
        <v>781</v>
      </c>
      <c r="O780" s="1174" t="s">
        <v>771</v>
      </c>
      <c r="P780" s="1163" t="s">
        <v>757</v>
      </c>
      <c r="Q780" s="1207"/>
      <c r="R780" s="1357"/>
      <c r="S780" s="1357"/>
      <c r="T780" s="1357">
        <f>+Tabla16[[#This Row],[CDPS A 31 JULIO 2022]]-Tabla16[[#This Row],[CDP]]</f>
        <v>0</v>
      </c>
      <c r="U780" s="1357"/>
      <c r="V780" s="1357"/>
      <c r="W780" s="135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ht="105" x14ac:dyDescent="0.25">
      <c r="A781" s="1355">
        <v>2022855</v>
      </c>
      <c r="B781" s="1172">
        <v>7655</v>
      </c>
      <c r="C781" s="1356" t="s">
        <v>668</v>
      </c>
      <c r="D781" s="1190" t="s">
        <v>695</v>
      </c>
      <c r="E781" s="1174">
        <v>80111600</v>
      </c>
      <c r="F781" s="1174" t="s">
        <v>1401</v>
      </c>
      <c r="G781" s="1381">
        <v>44851</v>
      </c>
      <c r="H781" s="1381">
        <v>44859</v>
      </c>
      <c r="I781" s="1176">
        <v>3</v>
      </c>
      <c r="J781" s="1176" t="s">
        <v>673</v>
      </c>
      <c r="K781" s="1177" t="s">
        <v>674</v>
      </c>
      <c r="L781" s="1178" t="s">
        <v>675</v>
      </c>
      <c r="M781" s="1179">
        <v>13260000</v>
      </c>
      <c r="N781" s="1382" t="s">
        <v>781</v>
      </c>
      <c r="O781" s="1174" t="s">
        <v>771</v>
      </c>
      <c r="P781" s="1163" t="s">
        <v>757</v>
      </c>
      <c r="Q781" s="1207"/>
      <c r="R781" s="1357"/>
      <c r="S781" s="1357"/>
      <c r="T781" s="1357">
        <f>+Tabla16[[#This Row],[CDPS A 31 JULIO 2022]]-Tabla16[[#This Row],[CDP]]</f>
        <v>0</v>
      </c>
      <c r="U781" s="1357"/>
      <c r="V781" s="1357"/>
      <c r="W781" s="1357"/>
      <c r="AZ781" s="1207"/>
      <c r="BA781" s="1207"/>
      <c r="BB781" s="1207"/>
      <c r="BC781" s="1207"/>
      <c r="BD781" s="1207"/>
      <c r="BE781" s="1207"/>
      <c r="BF781" s="1207"/>
      <c r="BG781" s="1207"/>
      <c r="BH781" s="1207"/>
      <c r="BI781" s="1207"/>
      <c r="BJ781" s="1207"/>
      <c r="BK781" s="1207"/>
      <c r="BL781" s="1207"/>
      <c r="BM781" s="1207"/>
      <c r="BN781" s="1207"/>
      <c r="BO781" s="1207"/>
      <c r="BP781" s="1207"/>
      <c r="BQ781" s="1207"/>
      <c r="BR781" s="1207"/>
      <c r="BS781" s="1207"/>
      <c r="BT781" s="1207"/>
      <c r="BU781" s="1207"/>
      <c r="BV781" s="1207"/>
      <c r="BW781" s="1207"/>
      <c r="BX781" s="1207"/>
      <c r="BY781" s="1207"/>
      <c r="BZ781" s="1207"/>
      <c r="CA781" s="1207"/>
      <c r="CB781" s="1207"/>
      <c r="CC781" s="1207"/>
      <c r="CD781" s="1207"/>
      <c r="CE781" s="1207"/>
      <c r="CF781" s="1207"/>
    </row>
    <row r="782" spans="1:84" ht="90" x14ac:dyDescent="0.25">
      <c r="A782" s="1355">
        <v>2022856</v>
      </c>
      <c r="B782" s="1172">
        <v>7658</v>
      </c>
      <c r="C782" s="1356" t="s">
        <v>679</v>
      </c>
      <c r="D782" s="1190" t="s">
        <v>695</v>
      </c>
      <c r="E782" s="1174">
        <v>80111600</v>
      </c>
      <c r="F782" s="1174" t="s">
        <v>987</v>
      </c>
      <c r="G782" s="1381">
        <v>44820</v>
      </c>
      <c r="H782" s="1381">
        <v>44823</v>
      </c>
      <c r="I782" s="1176">
        <v>3</v>
      </c>
      <c r="J782" s="1176" t="s">
        <v>673</v>
      </c>
      <c r="K782" s="1177" t="s">
        <v>674</v>
      </c>
      <c r="L782" s="1178" t="s">
        <v>675</v>
      </c>
      <c r="M782" s="1179">
        <v>21000000</v>
      </c>
      <c r="N782" s="1382" t="s">
        <v>765</v>
      </c>
      <c r="O782" s="1174" t="s">
        <v>764</v>
      </c>
      <c r="P782" s="1163" t="s">
        <v>678</v>
      </c>
      <c r="Q782" s="1207"/>
      <c r="R782" s="1357"/>
      <c r="S782" s="1357"/>
      <c r="T782" s="1357">
        <f>+Tabla16[[#This Row],[CDPS A 31 JULIO 2022]]-Tabla16[[#This Row],[CDP]]</f>
        <v>0</v>
      </c>
      <c r="U782" s="1357"/>
      <c r="V782" s="1357"/>
      <c r="W782" s="135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05" x14ac:dyDescent="0.25">
      <c r="A783" s="1355">
        <v>2022857</v>
      </c>
      <c r="B783" s="1172">
        <v>7637</v>
      </c>
      <c r="C783" s="1356" t="s">
        <v>643</v>
      </c>
      <c r="D783" s="1190" t="s">
        <v>671</v>
      </c>
      <c r="E783" s="1174">
        <v>80111600</v>
      </c>
      <c r="F783" s="1174" t="s">
        <v>1402</v>
      </c>
      <c r="G783" s="1381">
        <v>44819</v>
      </c>
      <c r="H783" s="1381">
        <v>44849</v>
      </c>
      <c r="I783" s="1176">
        <v>2</v>
      </c>
      <c r="J783" s="1176" t="s">
        <v>673</v>
      </c>
      <c r="K783" s="1177" t="s">
        <v>674</v>
      </c>
      <c r="L783" s="1178" t="s">
        <v>675</v>
      </c>
      <c r="M783" s="1179">
        <v>13600000</v>
      </c>
      <c r="N783" s="1189" t="s">
        <v>676</v>
      </c>
      <c r="O783" s="1174" t="s">
        <v>677</v>
      </c>
      <c r="P783" s="1163" t="s">
        <v>678</v>
      </c>
      <c r="Q783" s="1207"/>
      <c r="R783" s="1357"/>
      <c r="S783" s="1357"/>
      <c r="T783" s="1357">
        <f>+Tabla16[[#This Row],[CDPS A 31 JULIO 2022]]-Tabla16[[#This Row],[CDP]]</f>
        <v>0</v>
      </c>
      <c r="U783" s="1357"/>
      <c r="V783" s="1357"/>
      <c r="W783" s="135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s="1317" customFormat="1" ht="135" x14ac:dyDescent="0.25">
      <c r="A784" s="1400">
        <v>2022858</v>
      </c>
      <c r="B784" s="1401">
        <v>7658</v>
      </c>
      <c r="C784" s="1402" t="s">
        <v>679</v>
      </c>
      <c r="D784" s="1403" t="s">
        <v>701</v>
      </c>
      <c r="E784" s="1415">
        <v>80111600</v>
      </c>
      <c r="F784" s="1403" t="s">
        <v>1403</v>
      </c>
      <c r="G784" s="1416">
        <v>44824</v>
      </c>
      <c r="H784" s="1416">
        <v>44828</v>
      </c>
      <c r="I784" s="1407">
        <v>1</v>
      </c>
      <c r="J784" s="1407" t="s">
        <v>673</v>
      </c>
      <c r="K784" s="1408" t="s">
        <v>674</v>
      </c>
      <c r="L784" s="1409" t="s">
        <v>675</v>
      </c>
      <c r="M784" s="1410">
        <f>6000000+2250000</f>
        <v>8250000</v>
      </c>
      <c r="N784" s="1417" t="s">
        <v>1006</v>
      </c>
      <c r="O784" s="1415" t="s">
        <v>915</v>
      </c>
      <c r="P784" s="1413" t="s">
        <v>757</v>
      </c>
      <c r="Q784" s="1207"/>
      <c r="R784" s="1357"/>
      <c r="S784" s="1357"/>
      <c r="T784" s="1357">
        <f>+Tabla16[[#This Row],[CDPS A 31 JULIO 2022]]-Tabla16[[#This Row],[CDP]]</f>
        <v>0</v>
      </c>
      <c r="U784" s="1357"/>
      <c r="V784" s="1357"/>
      <c r="W784" s="1357"/>
    </row>
    <row r="785" spans="1:23" s="1317" customFormat="1" ht="105" x14ac:dyDescent="0.25">
      <c r="A785" s="1355">
        <v>2022859</v>
      </c>
      <c r="B785" s="1172">
        <v>7655</v>
      </c>
      <c r="C785" s="1356" t="s">
        <v>668</v>
      </c>
      <c r="D785" s="1190" t="s">
        <v>689</v>
      </c>
      <c r="E785" s="1174" t="s">
        <v>778</v>
      </c>
      <c r="F785" s="1174" t="s">
        <v>1404</v>
      </c>
      <c r="G785" s="1381">
        <v>44788</v>
      </c>
      <c r="H785" s="1381">
        <v>44778</v>
      </c>
      <c r="I785" s="1176">
        <v>1</v>
      </c>
      <c r="J785" s="1176" t="s">
        <v>673</v>
      </c>
      <c r="K785" s="1177" t="s">
        <v>674</v>
      </c>
      <c r="L785" s="1178" t="s">
        <v>675</v>
      </c>
      <c r="M785" s="1179">
        <v>2750000</v>
      </c>
      <c r="N785" s="1382" t="s">
        <v>781</v>
      </c>
      <c r="O785" s="1174" t="s">
        <v>771</v>
      </c>
      <c r="P785" s="1163" t="s">
        <v>757</v>
      </c>
      <c r="Q785" s="1207"/>
      <c r="R785" s="1357"/>
      <c r="S785" s="1357"/>
      <c r="T785" s="1357">
        <f>+Tabla16[[#This Row],[CDPS A 31 JULIO 2022]]-Tabla16[[#This Row],[CDP]]</f>
        <v>0</v>
      </c>
      <c r="U785" s="1357"/>
      <c r="V785" s="1357"/>
      <c r="W785" s="1357"/>
    </row>
    <row r="786" spans="1:23" s="1317" customFormat="1" ht="135" x14ac:dyDescent="0.25">
      <c r="A786" s="1400">
        <v>2022860</v>
      </c>
      <c r="B786" s="1401">
        <v>7658</v>
      </c>
      <c r="C786" s="1402" t="s">
        <v>679</v>
      </c>
      <c r="D786" s="1403" t="s">
        <v>698</v>
      </c>
      <c r="E786" s="1404"/>
      <c r="F786" s="1414" t="s">
        <v>1405</v>
      </c>
      <c r="G786" s="1406">
        <v>44849</v>
      </c>
      <c r="H786" s="1406">
        <v>44849</v>
      </c>
      <c r="I786" s="1407" t="s">
        <v>97</v>
      </c>
      <c r="J786" s="1407" t="s">
        <v>97</v>
      </c>
      <c r="K786" s="1408" t="s">
        <v>516</v>
      </c>
      <c r="L786" s="1409" t="s">
        <v>948</v>
      </c>
      <c r="M786" s="1410">
        <v>7391030</v>
      </c>
      <c r="N786" s="1411" t="s">
        <v>772</v>
      </c>
      <c r="O786" s="1404" t="s">
        <v>915</v>
      </c>
      <c r="P786" s="1413" t="s">
        <v>757</v>
      </c>
      <c r="R786" s="1352"/>
      <c r="S786" s="1352"/>
      <c r="T786" s="1352">
        <f>+Tabla16[[#This Row],[CDPS A 31 JULIO 2022]]-Tabla16[[#This Row],[CDP]]</f>
        <v>0</v>
      </c>
      <c r="U786" s="1352"/>
      <c r="V786" s="1352"/>
      <c r="W786" s="1352"/>
    </row>
    <row r="787" spans="1:23" s="1317" customFormat="1" ht="105" x14ac:dyDescent="0.25">
      <c r="A787" s="1400">
        <v>2022861</v>
      </c>
      <c r="B787" s="1401">
        <v>7655</v>
      </c>
      <c r="C787" s="1402" t="s">
        <v>668</v>
      </c>
      <c r="D787" s="1403" t="s">
        <v>701</v>
      </c>
      <c r="E787" s="1404">
        <v>80111600</v>
      </c>
      <c r="F787" s="1404" t="s">
        <v>1406</v>
      </c>
      <c r="G787" s="1406">
        <v>44831</v>
      </c>
      <c r="H787" s="1406">
        <v>44835</v>
      </c>
      <c r="I787" s="1407">
        <v>3</v>
      </c>
      <c r="J787" s="1407" t="s">
        <v>673</v>
      </c>
      <c r="K787" s="1408" t="s">
        <v>674</v>
      </c>
      <c r="L787" s="1409" t="s">
        <v>675</v>
      </c>
      <c r="M787" s="1410">
        <v>18000000</v>
      </c>
      <c r="N787" s="1411" t="s">
        <v>784</v>
      </c>
      <c r="O787" s="1404" t="s">
        <v>771</v>
      </c>
      <c r="P787" s="1413" t="s">
        <v>678</v>
      </c>
      <c r="R787" s="1352"/>
      <c r="S787" s="1352"/>
      <c r="T787" s="1352">
        <f>+Tabla16[[#This Row],[CDPS A 31 JULIO 2022]]-Tabla16[[#This Row],[CDP]]</f>
        <v>0</v>
      </c>
      <c r="U787" s="1352"/>
      <c r="V787" s="1352"/>
      <c r="W787" s="1352"/>
    </row>
    <row r="788" spans="1:23" s="1317" customFormat="1" ht="135" x14ac:dyDescent="0.25">
      <c r="A788" s="1400">
        <v>2022862</v>
      </c>
      <c r="B788" s="1401">
        <v>7658</v>
      </c>
      <c r="C788" s="1402" t="s">
        <v>679</v>
      </c>
      <c r="D788" s="1403" t="s">
        <v>701</v>
      </c>
      <c r="E788" s="1404">
        <v>80111600</v>
      </c>
      <c r="F788" s="1404" t="s">
        <v>1407</v>
      </c>
      <c r="G788" s="1406">
        <v>44866</v>
      </c>
      <c r="H788" s="1406">
        <v>44885</v>
      </c>
      <c r="I788" s="1407">
        <v>0.5</v>
      </c>
      <c r="J788" s="1407" t="s">
        <v>673</v>
      </c>
      <c r="K788" s="1408" t="s">
        <v>674</v>
      </c>
      <c r="L788" s="1409" t="s">
        <v>675</v>
      </c>
      <c r="M788" s="1410">
        <v>750000</v>
      </c>
      <c r="N788" s="1411" t="s">
        <v>1006</v>
      </c>
      <c r="O788" s="1404" t="s">
        <v>915</v>
      </c>
      <c r="P788" s="1413" t="s">
        <v>757</v>
      </c>
      <c r="R788" s="1352"/>
      <c r="S788" s="1352"/>
      <c r="T788" s="1352">
        <f>+Tabla16[[#This Row],[CDPS A 31 JULIO 2022]]-Tabla16[[#This Row],[CDP]]</f>
        <v>0</v>
      </c>
      <c r="U788" s="1352"/>
      <c r="V788" s="1352"/>
      <c r="W788" s="1352"/>
    </row>
    <row r="789" spans="1:23" s="1317" customFormat="1" ht="135" x14ac:dyDescent="0.25">
      <c r="A789" s="1400">
        <v>2022863</v>
      </c>
      <c r="B789" s="1401">
        <v>7658</v>
      </c>
      <c r="C789" s="1402" t="s">
        <v>679</v>
      </c>
      <c r="D789" s="1403" t="s">
        <v>701</v>
      </c>
      <c r="E789" s="1404">
        <v>80111600</v>
      </c>
      <c r="F789" s="1404" t="s">
        <v>1408</v>
      </c>
      <c r="G789" s="1406">
        <v>44866</v>
      </c>
      <c r="H789" s="1406">
        <v>44885</v>
      </c>
      <c r="I789" s="1407">
        <v>0.5</v>
      </c>
      <c r="J789" s="1407" t="s">
        <v>673</v>
      </c>
      <c r="K789" s="1408" t="s">
        <v>674</v>
      </c>
      <c r="L789" s="1409" t="s">
        <v>675</v>
      </c>
      <c r="M789" s="1410">
        <v>558333</v>
      </c>
      <c r="N789" s="1411" t="s">
        <v>1006</v>
      </c>
      <c r="O789" s="1404" t="s">
        <v>915</v>
      </c>
      <c r="P789" s="1413" t="s">
        <v>757</v>
      </c>
      <c r="R789" s="1352"/>
      <c r="S789" s="1352"/>
      <c r="T789" s="1352">
        <f>+Tabla16[[#This Row],[CDPS A 31 JULIO 2022]]-Tabla16[[#This Row],[CDP]]</f>
        <v>0</v>
      </c>
      <c r="U789" s="1352"/>
      <c r="V789" s="1352"/>
      <c r="W789" s="1352"/>
    </row>
    <row r="790" spans="1:23" s="1317" customFormat="1" ht="135" x14ac:dyDescent="0.25">
      <c r="A790" s="1400">
        <v>2022864</v>
      </c>
      <c r="B790" s="1401">
        <v>7658</v>
      </c>
      <c r="C790" s="1402" t="s">
        <v>679</v>
      </c>
      <c r="D790" s="1403" t="s">
        <v>701</v>
      </c>
      <c r="E790" s="1404">
        <v>80111600</v>
      </c>
      <c r="F790" s="1404" t="s">
        <v>1409</v>
      </c>
      <c r="G790" s="1406">
        <v>44866</v>
      </c>
      <c r="H790" s="1406">
        <v>44885</v>
      </c>
      <c r="I790" s="1407">
        <v>0.5</v>
      </c>
      <c r="J790" s="1407" t="s">
        <v>673</v>
      </c>
      <c r="K790" s="1408" t="s">
        <v>674</v>
      </c>
      <c r="L790" s="1409" t="s">
        <v>675</v>
      </c>
      <c r="M790" s="1410">
        <v>750000</v>
      </c>
      <c r="N790" s="1411" t="s">
        <v>1006</v>
      </c>
      <c r="O790" s="1404" t="s">
        <v>915</v>
      </c>
      <c r="P790" s="1413" t="s">
        <v>757</v>
      </c>
      <c r="R790" s="1352"/>
      <c r="S790" s="1352"/>
      <c r="T790" s="1352">
        <f>+Tabla16[[#This Row],[CDPS A 31 JULIO 2022]]-Tabla16[[#This Row],[CDP]]</f>
        <v>0</v>
      </c>
      <c r="U790" s="1352"/>
      <c r="V790" s="1352"/>
      <c r="W790" s="1352"/>
    </row>
    <row r="791" spans="1:23" s="1317" customFormat="1" ht="105" x14ac:dyDescent="0.25">
      <c r="A791" s="1400">
        <v>2022865</v>
      </c>
      <c r="B791" s="1401">
        <v>7655</v>
      </c>
      <c r="C791" s="1402" t="s">
        <v>668</v>
      </c>
      <c r="D791" s="1403" t="s">
        <v>644</v>
      </c>
      <c r="E791" s="1404">
        <v>80111600</v>
      </c>
      <c r="F791" s="1404" t="s">
        <v>1410</v>
      </c>
      <c r="G791" s="1406">
        <v>44835</v>
      </c>
      <c r="H791" s="1406" t="s">
        <v>1411</v>
      </c>
      <c r="I791" s="1407">
        <v>3</v>
      </c>
      <c r="J791" s="1407" t="s">
        <v>673</v>
      </c>
      <c r="K791" s="1408" t="s">
        <v>674</v>
      </c>
      <c r="L791" s="1409" t="s">
        <v>675</v>
      </c>
      <c r="M791" s="1410">
        <v>19500000</v>
      </c>
      <c r="N791" s="1411" t="s">
        <v>781</v>
      </c>
      <c r="O791" s="1404" t="s">
        <v>771</v>
      </c>
      <c r="P791" s="1413" t="s">
        <v>678</v>
      </c>
      <c r="R791" s="1352"/>
      <c r="S791" s="1352"/>
      <c r="T791" s="1352">
        <f>+Tabla16[[#This Row],[CDPS A 31 JULIO 2022]]-Tabla16[[#This Row],[CDP]]</f>
        <v>0</v>
      </c>
      <c r="U791" s="1352"/>
      <c r="V791" s="1352"/>
      <c r="W791" s="1352"/>
    </row>
    <row r="792" spans="1:23" s="1317" customFormat="1" ht="105" x14ac:dyDescent="0.25">
      <c r="A792" s="1400">
        <v>2022866</v>
      </c>
      <c r="B792" s="1401">
        <v>7655</v>
      </c>
      <c r="C792" s="1402" t="s">
        <v>668</v>
      </c>
      <c r="D792" s="1403" t="s">
        <v>689</v>
      </c>
      <c r="E792" s="1404" t="s">
        <v>778</v>
      </c>
      <c r="F792" s="1404" t="s">
        <v>1412</v>
      </c>
      <c r="G792" s="1406">
        <v>44837</v>
      </c>
      <c r="H792" s="1406">
        <v>44831</v>
      </c>
      <c r="I792" s="1407">
        <v>3</v>
      </c>
      <c r="J792" s="1407" t="s">
        <v>673</v>
      </c>
      <c r="K792" s="1408" t="s">
        <v>674</v>
      </c>
      <c r="L792" s="1409" t="s">
        <v>780</v>
      </c>
      <c r="M792" s="1410">
        <v>21900000</v>
      </c>
      <c r="N792" s="1411" t="s">
        <v>781</v>
      </c>
      <c r="O792" s="1404" t="s">
        <v>771</v>
      </c>
      <c r="P792" s="1413" t="s">
        <v>678</v>
      </c>
      <c r="R792" s="1352"/>
      <c r="S792" s="1352"/>
      <c r="T792" s="1352">
        <f>+Tabla16[[#This Row],[CDPS A 31 JULIO 2022]]-Tabla16[[#This Row],[CDP]]</f>
        <v>0</v>
      </c>
      <c r="U792" s="1352"/>
      <c r="V792" s="1352"/>
      <c r="W792" s="1352"/>
    </row>
    <row r="793" spans="1:23" s="1317" customFormat="1" ht="105" x14ac:dyDescent="0.25">
      <c r="A793" s="1400">
        <v>2022867</v>
      </c>
      <c r="B793" s="1401">
        <v>7655</v>
      </c>
      <c r="C793" s="1402" t="s">
        <v>668</v>
      </c>
      <c r="D793" s="1403" t="s">
        <v>689</v>
      </c>
      <c r="E793" s="1404" t="s">
        <v>778</v>
      </c>
      <c r="F793" s="1404" t="s">
        <v>808</v>
      </c>
      <c r="G793" s="1406">
        <v>44837</v>
      </c>
      <c r="H793" s="1406">
        <v>44831</v>
      </c>
      <c r="I793" s="1407">
        <v>3</v>
      </c>
      <c r="J793" s="1407" t="s">
        <v>673</v>
      </c>
      <c r="K793" s="1408" t="s">
        <v>674</v>
      </c>
      <c r="L793" s="1409" t="s">
        <v>675</v>
      </c>
      <c r="M793" s="1410">
        <v>8250000</v>
      </c>
      <c r="N793" s="1411" t="s">
        <v>781</v>
      </c>
      <c r="O793" s="1404" t="s">
        <v>771</v>
      </c>
      <c r="P793" s="1413" t="s">
        <v>678</v>
      </c>
      <c r="R793" s="1352"/>
      <c r="S793" s="1352"/>
      <c r="T793" s="1352">
        <f>+Tabla16[[#This Row],[CDPS A 31 JULIO 2022]]-Tabla16[[#This Row],[CDP]]</f>
        <v>0</v>
      </c>
      <c r="U793" s="1352"/>
      <c r="V793" s="1352"/>
      <c r="W793" s="1352"/>
    </row>
    <row r="794" spans="1:23" s="1317" customFormat="1" ht="30" x14ac:dyDescent="0.25">
      <c r="A794" s="1400">
        <v>2022868</v>
      </c>
      <c r="B794" s="1401" t="s">
        <v>459</v>
      </c>
      <c r="C794" s="1402"/>
      <c r="D794" s="1403" t="s">
        <v>689</v>
      </c>
      <c r="E794" s="1404" t="s">
        <v>1172</v>
      </c>
      <c r="F794" s="1414" t="s">
        <v>1413</v>
      </c>
      <c r="G794" s="1406">
        <v>44841</v>
      </c>
      <c r="H794" s="1406">
        <v>44848</v>
      </c>
      <c r="I794" s="1407">
        <v>4</v>
      </c>
      <c r="J794" s="1407" t="s">
        <v>673</v>
      </c>
      <c r="K794" s="1408" t="s">
        <v>674</v>
      </c>
      <c r="L794" s="1409"/>
      <c r="M794" s="1410">
        <v>4241920</v>
      </c>
      <c r="N794" s="1411"/>
      <c r="O794" s="1404"/>
      <c r="P794" s="1413" t="s">
        <v>678</v>
      </c>
      <c r="R794" s="1352"/>
      <c r="S794" s="1352"/>
      <c r="T794" s="1352">
        <f>+Tabla16[[#This Row],[CDPS A 31 JULIO 2022]]-Tabla16[[#This Row],[CDP]]</f>
        <v>0</v>
      </c>
      <c r="U794" s="1352"/>
      <c r="V794" s="1352"/>
      <c r="W794" s="1352"/>
    </row>
    <row r="795" spans="1:23" s="1317" customFormat="1" ht="30" x14ac:dyDescent="0.25">
      <c r="A795" s="1400">
        <v>2022869</v>
      </c>
      <c r="B795" s="1401" t="s">
        <v>459</v>
      </c>
      <c r="C795" s="1402"/>
      <c r="D795" s="1403" t="s">
        <v>689</v>
      </c>
      <c r="E795" s="1404" t="s">
        <v>1172</v>
      </c>
      <c r="F795" s="1414" t="s">
        <v>1414</v>
      </c>
      <c r="G795" s="1406">
        <v>44841</v>
      </c>
      <c r="H795" s="1406">
        <v>44848</v>
      </c>
      <c r="I795" s="1407">
        <v>4</v>
      </c>
      <c r="J795" s="1407" t="s">
        <v>673</v>
      </c>
      <c r="K795" s="1408" t="s">
        <v>674</v>
      </c>
      <c r="L795" s="1409"/>
      <c r="M795" s="1410">
        <v>14107091</v>
      </c>
      <c r="N795" s="1411"/>
      <c r="O795" s="1404"/>
      <c r="P795" s="1413" t="s">
        <v>678</v>
      </c>
      <c r="R795" s="1352"/>
      <c r="S795" s="1352"/>
      <c r="T795" s="1352">
        <f>+Tabla16[[#This Row],[CDPS A 31 JULIO 2022]]-Tabla16[[#This Row],[CDP]]</f>
        <v>0</v>
      </c>
      <c r="U795" s="1352"/>
      <c r="V795" s="1352"/>
      <c r="W795" s="1352"/>
    </row>
    <row r="796" spans="1:23" s="1317" customFormat="1" ht="60" x14ac:dyDescent="0.25">
      <c r="A796" s="1400">
        <v>2022870</v>
      </c>
      <c r="B796" s="1401" t="s">
        <v>459</v>
      </c>
      <c r="C796" s="1402"/>
      <c r="D796" s="1403" t="s">
        <v>689</v>
      </c>
      <c r="E796" s="1404" t="s">
        <v>1151</v>
      </c>
      <c r="F796" s="1414" t="s">
        <v>1415</v>
      </c>
      <c r="G796" s="1406">
        <v>44841</v>
      </c>
      <c r="H796" s="1406">
        <v>44848</v>
      </c>
      <c r="I796" s="1407" t="s">
        <v>97</v>
      </c>
      <c r="J796" s="1407" t="s">
        <v>699</v>
      </c>
      <c r="K796" s="1408" t="s">
        <v>674</v>
      </c>
      <c r="L796" s="1409"/>
      <c r="M796" s="1410">
        <v>21704311</v>
      </c>
      <c r="N796" s="1411"/>
      <c r="O796" s="1404"/>
      <c r="P796" s="1413" t="s">
        <v>757</v>
      </c>
      <c r="R796" s="1352"/>
      <c r="S796" s="1352"/>
      <c r="T796" s="1352">
        <f>+Tabla16[[#This Row],[CDPS A 31 JULIO 2022]]-Tabla16[[#This Row],[CDP]]</f>
        <v>0</v>
      </c>
      <c r="U796" s="1352"/>
      <c r="V796" s="1352"/>
      <c r="W796" s="1352"/>
    </row>
    <row r="797" spans="1:23" s="1317" customFormat="1" ht="105" x14ac:dyDescent="0.25">
      <c r="A797" s="1400">
        <v>2022871</v>
      </c>
      <c r="B797" s="1401">
        <v>7658</v>
      </c>
      <c r="C797" s="1402" t="s">
        <v>679</v>
      </c>
      <c r="D797" s="1403" t="s">
        <v>689</v>
      </c>
      <c r="E797" s="1404" t="s">
        <v>1416</v>
      </c>
      <c r="F797" s="1404" t="s">
        <v>1417</v>
      </c>
      <c r="G797" s="1406">
        <v>44841</v>
      </c>
      <c r="H797" s="1406">
        <v>44870</v>
      </c>
      <c r="I797" s="1407">
        <v>4</v>
      </c>
      <c r="J797" s="1407" t="s">
        <v>680</v>
      </c>
      <c r="K797" s="1408" t="s">
        <v>770</v>
      </c>
      <c r="L797" s="1409" t="s">
        <v>955</v>
      </c>
      <c r="M797" s="1410">
        <v>70643252</v>
      </c>
      <c r="N797" s="1411" t="s">
        <v>777</v>
      </c>
      <c r="O797" s="1404" t="s">
        <v>978</v>
      </c>
      <c r="P797" s="1413" t="s">
        <v>678</v>
      </c>
      <c r="R797" s="1352"/>
      <c r="S797" s="1352"/>
      <c r="T797" s="1352">
        <f>+Tabla16[[#This Row],[CDPS A 31 JULIO 2022]]-Tabla16[[#This Row],[CDP]]</f>
        <v>0</v>
      </c>
      <c r="U797" s="1352"/>
      <c r="V797" s="1352"/>
      <c r="W797" s="1352"/>
    </row>
    <row r="798" spans="1:23" s="1317" customFormat="1" ht="105" x14ac:dyDescent="0.25">
      <c r="A798" s="1400">
        <v>2022872</v>
      </c>
      <c r="B798" s="1401">
        <v>7637</v>
      </c>
      <c r="C798" s="1402" t="s">
        <v>643</v>
      </c>
      <c r="D798" s="1403" t="s">
        <v>671</v>
      </c>
      <c r="E798" s="1404" t="s">
        <v>1418</v>
      </c>
      <c r="F798" s="1414" t="s">
        <v>1419</v>
      </c>
      <c r="G798" s="1406">
        <v>44844</v>
      </c>
      <c r="H798" s="1406">
        <v>44854</v>
      </c>
      <c r="I798" s="1407">
        <v>2</v>
      </c>
      <c r="J798" s="1407" t="s">
        <v>720</v>
      </c>
      <c r="K798" s="1408" t="s">
        <v>674</v>
      </c>
      <c r="L798" s="1409" t="s">
        <v>735</v>
      </c>
      <c r="M798" s="1410">
        <v>15000000</v>
      </c>
      <c r="N798" s="1414" t="s">
        <v>676</v>
      </c>
      <c r="O798" s="1404" t="s">
        <v>677</v>
      </c>
      <c r="P798" s="1413" t="s">
        <v>678</v>
      </c>
      <c r="R798" s="1352"/>
      <c r="S798" s="1352"/>
      <c r="T798" s="1352">
        <f>+Tabla16[[#This Row],[CDPS A 31 JULIO 2022]]-Tabla16[[#This Row],[CDP]]</f>
        <v>0</v>
      </c>
      <c r="U798" s="1352"/>
      <c r="V798" s="1352"/>
      <c r="W798" s="1352"/>
    </row>
    <row r="799" spans="1:23" s="1317" customFormat="1" ht="90" x14ac:dyDescent="0.25">
      <c r="A799" s="1400">
        <v>2022873</v>
      </c>
      <c r="B799" s="1401">
        <v>7658</v>
      </c>
      <c r="C799" s="1402" t="s">
        <v>679</v>
      </c>
      <c r="D799" s="1403" t="s">
        <v>695</v>
      </c>
      <c r="E799" s="1404">
        <v>80111600</v>
      </c>
      <c r="F799" s="1404" t="s">
        <v>1420</v>
      </c>
      <c r="G799" s="1406">
        <v>44866</v>
      </c>
      <c r="H799" s="1406">
        <v>44868</v>
      </c>
      <c r="I799" s="1407">
        <v>1</v>
      </c>
      <c r="J799" s="1407" t="s">
        <v>673</v>
      </c>
      <c r="K799" s="1408" t="s">
        <v>674</v>
      </c>
      <c r="L799" s="1409" t="s">
        <v>675</v>
      </c>
      <c r="M799" s="1410">
        <v>2691000</v>
      </c>
      <c r="N799" s="1411" t="s">
        <v>765</v>
      </c>
      <c r="O799" s="1404" t="s">
        <v>764</v>
      </c>
      <c r="P799" s="1413" t="s">
        <v>757</v>
      </c>
      <c r="R799" s="1352"/>
      <c r="S799" s="1352"/>
      <c r="T799" s="1352">
        <f>+Tabla16[[#This Row],[CDPS A 31 JULIO 2022]]-Tabla16[[#This Row],[CDP]]</f>
        <v>0</v>
      </c>
      <c r="U799" s="1352"/>
      <c r="V799" s="1352"/>
      <c r="W799" s="1352"/>
    </row>
    <row r="800" spans="1:23" s="1317" customFormat="1" ht="90" x14ac:dyDescent="0.25">
      <c r="A800" s="1400">
        <v>2022874</v>
      </c>
      <c r="B800" s="1401">
        <v>7658</v>
      </c>
      <c r="C800" s="1402" t="s">
        <v>679</v>
      </c>
      <c r="D800" s="1403" t="s">
        <v>695</v>
      </c>
      <c r="E800" s="1404">
        <v>80111600</v>
      </c>
      <c r="F800" s="1404" t="s">
        <v>1421</v>
      </c>
      <c r="G800" s="1406">
        <v>44866</v>
      </c>
      <c r="H800" s="1406">
        <v>44868</v>
      </c>
      <c r="I800" s="1407">
        <v>1</v>
      </c>
      <c r="J800" s="1407" t="s">
        <v>673</v>
      </c>
      <c r="K800" s="1408" t="s">
        <v>674</v>
      </c>
      <c r="L800" s="1409" t="s">
        <v>675</v>
      </c>
      <c r="M800" s="1410">
        <v>3477600</v>
      </c>
      <c r="N800" s="1411" t="s">
        <v>765</v>
      </c>
      <c r="O800" s="1404" t="s">
        <v>764</v>
      </c>
      <c r="P800" s="1413" t="s">
        <v>757</v>
      </c>
      <c r="R800" s="1352"/>
      <c r="S800" s="1352"/>
      <c r="T800" s="1352">
        <f>+Tabla16[[#This Row],[CDPS A 31 JULIO 2022]]-Tabla16[[#This Row],[CDP]]</f>
        <v>0</v>
      </c>
      <c r="U800" s="1352"/>
      <c r="V800" s="1352"/>
      <c r="W800" s="1352"/>
    </row>
    <row r="801" spans="1:23" s="1317" customFormat="1" ht="90" x14ac:dyDescent="0.25">
      <c r="A801" s="1400">
        <v>2022875</v>
      </c>
      <c r="B801" s="1401">
        <v>7658</v>
      </c>
      <c r="C801" s="1402" t="s">
        <v>679</v>
      </c>
      <c r="D801" s="1403" t="s">
        <v>695</v>
      </c>
      <c r="E801" s="1404">
        <v>80111600</v>
      </c>
      <c r="F801" s="1404" t="s">
        <v>1422</v>
      </c>
      <c r="G801" s="1406">
        <v>44866</v>
      </c>
      <c r="H801" s="1406">
        <v>44868</v>
      </c>
      <c r="I801" s="1407">
        <v>1</v>
      </c>
      <c r="J801" s="1407" t="s">
        <v>673</v>
      </c>
      <c r="K801" s="1408" t="s">
        <v>674</v>
      </c>
      <c r="L801" s="1409" t="s">
        <v>675</v>
      </c>
      <c r="M801" s="1410">
        <v>2898000</v>
      </c>
      <c r="N801" s="1411" t="s">
        <v>765</v>
      </c>
      <c r="O801" s="1404" t="s">
        <v>764</v>
      </c>
      <c r="P801" s="1413" t="s">
        <v>757</v>
      </c>
      <c r="R801" s="1352"/>
      <c r="S801" s="1352"/>
      <c r="T801" s="1352">
        <f>+Tabla16[[#This Row],[CDPS A 31 JULIO 2022]]-Tabla16[[#This Row],[CDP]]</f>
        <v>0</v>
      </c>
      <c r="U801" s="1352"/>
      <c r="V801" s="1352"/>
      <c r="W801" s="1352"/>
    </row>
    <row r="802" spans="1:23" s="1317" customFormat="1" ht="90" x14ac:dyDescent="0.25">
      <c r="A802" s="1400">
        <v>2022876</v>
      </c>
      <c r="B802" s="1401">
        <v>7658</v>
      </c>
      <c r="C802" s="1402" t="s">
        <v>679</v>
      </c>
      <c r="D802" s="1403" t="s">
        <v>695</v>
      </c>
      <c r="E802" s="1404">
        <v>80111600</v>
      </c>
      <c r="F802" s="1404" t="s">
        <v>1423</v>
      </c>
      <c r="G802" s="1406">
        <v>44866</v>
      </c>
      <c r="H802" s="1406">
        <v>44868</v>
      </c>
      <c r="I802" s="1407">
        <v>1</v>
      </c>
      <c r="J802" s="1407" t="s">
        <v>673</v>
      </c>
      <c r="K802" s="1408" t="s">
        <v>674</v>
      </c>
      <c r="L802" s="1409" t="s">
        <v>675</v>
      </c>
      <c r="M802" s="1410">
        <v>3850000</v>
      </c>
      <c r="N802" s="1411" t="s">
        <v>765</v>
      </c>
      <c r="O802" s="1404" t="s">
        <v>764</v>
      </c>
      <c r="P802" s="1413" t="s">
        <v>757</v>
      </c>
      <c r="R802" s="1352"/>
      <c r="S802" s="1352"/>
      <c r="T802" s="1352">
        <f>+Tabla16[[#This Row],[CDPS A 31 JULIO 2022]]-Tabla16[[#This Row],[CDP]]</f>
        <v>0</v>
      </c>
      <c r="U802" s="1352"/>
      <c r="V802" s="1352"/>
      <c r="W802" s="1352"/>
    </row>
    <row r="803" spans="1:23" s="1317" customFormat="1" ht="90" x14ac:dyDescent="0.25">
      <c r="A803" s="1400">
        <v>2022877</v>
      </c>
      <c r="B803" s="1401">
        <v>7658</v>
      </c>
      <c r="C803" s="1402" t="s">
        <v>679</v>
      </c>
      <c r="D803" s="1403" t="s">
        <v>695</v>
      </c>
      <c r="E803" s="1404">
        <v>80111600</v>
      </c>
      <c r="F803" s="1404" t="s">
        <v>863</v>
      </c>
      <c r="G803" s="1406">
        <v>44835</v>
      </c>
      <c r="H803" s="1406">
        <v>44840</v>
      </c>
      <c r="I803" s="1407">
        <v>3</v>
      </c>
      <c r="J803" s="1407" t="s">
        <v>673</v>
      </c>
      <c r="K803" s="1408" t="s">
        <v>674</v>
      </c>
      <c r="L803" s="1409" t="s">
        <v>675</v>
      </c>
      <c r="M803" s="1410">
        <v>15525000</v>
      </c>
      <c r="N803" s="1411" t="s">
        <v>765</v>
      </c>
      <c r="O803" s="1404" t="s">
        <v>764</v>
      </c>
      <c r="P803" s="1413" t="s">
        <v>678</v>
      </c>
      <c r="R803" s="1352"/>
      <c r="S803" s="1352"/>
      <c r="T803" s="1352">
        <f>+Tabla16[[#This Row],[CDPS A 31 JULIO 2022]]-Tabla16[[#This Row],[CDP]]</f>
        <v>0</v>
      </c>
      <c r="U803" s="1352"/>
      <c r="V803" s="1352"/>
      <c r="W803" s="1352"/>
    </row>
    <row r="804" spans="1:23" s="1317" customFormat="1" ht="90" x14ac:dyDescent="0.25">
      <c r="A804" s="1400">
        <v>2022878</v>
      </c>
      <c r="B804" s="1401">
        <v>7658</v>
      </c>
      <c r="C804" s="1402" t="s">
        <v>679</v>
      </c>
      <c r="D804" s="1403" t="s">
        <v>695</v>
      </c>
      <c r="E804" s="1404">
        <v>80111600</v>
      </c>
      <c r="F804" s="1404" t="s">
        <v>844</v>
      </c>
      <c r="G804" s="1406">
        <v>44839</v>
      </c>
      <c r="H804" s="1406">
        <v>44849</v>
      </c>
      <c r="I804" s="1407">
        <v>3</v>
      </c>
      <c r="J804" s="1407" t="s">
        <v>673</v>
      </c>
      <c r="K804" s="1408" t="s">
        <v>674</v>
      </c>
      <c r="L804" s="1409" t="s">
        <v>675</v>
      </c>
      <c r="M804" s="1410">
        <v>11592000</v>
      </c>
      <c r="N804" s="1411" t="s">
        <v>765</v>
      </c>
      <c r="O804" s="1404" t="s">
        <v>764</v>
      </c>
      <c r="P804" s="1413" t="s">
        <v>678</v>
      </c>
      <c r="R804" s="1352"/>
      <c r="S804" s="1352"/>
      <c r="T804" s="1352">
        <f>+Tabla16[[#This Row],[CDPS A 31 JULIO 2022]]-Tabla16[[#This Row],[CDP]]</f>
        <v>0</v>
      </c>
      <c r="U804" s="1352"/>
      <c r="V804" s="1352"/>
      <c r="W804" s="1352"/>
    </row>
    <row r="805" spans="1:23" s="1317" customFormat="1" ht="90" x14ac:dyDescent="0.25">
      <c r="A805" s="1400">
        <v>2022879</v>
      </c>
      <c r="B805" s="1401">
        <v>7658</v>
      </c>
      <c r="C805" s="1402" t="s">
        <v>679</v>
      </c>
      <c r="D805" s="1403" t="s">
        <v>695</v>
      </c>
      <c r="E805" s="1404">
        <v>80111600</v>
      </c>
      <c r="F805" s="1404" t="s">
        <v>846</v>
      </c>
      <c r="G805" s="1406">
        <v>44866</v>
      </c>
      <c r="H805" s="1406">
        <v>44868</v>
      </c>
      <c r="I805" s="1407">
        <v>2</v>
      </c>
      <c r="J805" s="1407" t="s">
        <v>673</v>
      </c>
      <c r="K805" s="1408" t="s">
        <v>674</v>
      </c>
      <c r="L805" s="1409" t="s">
        <v>675</v>
      </c>
      <c r="M805" s="1410">
        <v>10200000</v>
      </c>
      <c r="N805" s="1411" t="s">
        <v>765</v>
      </c>
      <c r="O805" s="1404" t="s">
        <v>764</v>
      </c>
      <c r="P805" s="1413" t="s">
        <v>678</v>
      </c>
      <c r="R805" s="1352"/>
      <c r="S805" s="1352"/>
      <c r="T805" s="1352">
        <f>+Tabla16[[#This Row],[CDPS A 31 JULIO 2022]]-Tabla16[[#This Row],[CDP]]</f>
        <v>0</v>
      </c>
      <c r="U805" s="1352"/>
      <c r="V805" s="1352"/>
      <c r="W805" s="1352"/>
    </row>
    <row r="806" spans="1:23" s="1317" customFormat="1" ht="90" x14ac:dyDescent="0.25">
      <c r="A806" s="1400">
        <v>2022880</v>
      </c>
      <c r="B806" s="1401">
        <v>7658</v>
      </c>
      <c r="C806" s="1402" t="s">
        <v>679</v>
      </c>
      <c r="D806" s="1403" t="s">
        <v>695</v>
      </c>
      <c r="E806" s="1404">
        <v>80111600</v>
      </c>
      <c r="F806" s="1404" t="s">
        <v>846</v>
      </c>
      <c r="G806" s="1406">
        <v>44835</v>
      </c>
      <c r="H806" s="1406">
        <v>44840</v>
      </c>
      <c r="I806" s="1407">
        <v>3</v>
      </c>
      <c r="J806" s="1407" t="s">
        <v>673</v>
      </c>
      <c r="K806" s="1408" t="s">
        <v>674</v>
      </c>
      <c r="L806" s="1409" t="s">
        <v>675</v>
      </c>
      <c r="M806" s="1410">
        <v>13500000</v>
      </c>
      <c r="N806" s="1411" t="s">
        <v>765</v>
      </c>
      <c r="O806" s="1404" t="s">
        <v>764</v>
      </c>
      <c r="P806" s="1413" t="s">
        <v>678</v>
      </c>
      <c r="R806" s="1352"/>
      <c r="S806" s="1352"/>
      <c r="T806" s="1352">
        <f>+Tabla16[[#This Row],[CDPS A 31 JULIO 2022]]-Tabla16[[#This Row],[CDP]]</f>
        <v>0</v>
      </c>
      <c r="U806" s="1352"/>
      <c r="V806" s="1352"/>
      <c r="W806" s="1352"/>
    </row>
    <row r="807" spans="1:23" s="1317" customFormat="1" ht="225" x14ac:dyDescent="0.25">
      <c r="A807" s="1400">
        <v>2022881</v>
      </c>
      <c r="B807" s="1401">
        <v>7658</v>
      </c>
      <c r="C807" s="1402" t="s">
        <v>679</v>
      </c>
      <c r="D807" s="1403" t="s">
        <v>695</v>
      </c>
      <c r="E807" s="1404" t="s">
        <v>992</v>
      </c>
      <c r="F807" s="1404" t="s">
        <v>1424</v>
      </c>
      <c r="G807" s="1406">
        <v>44849</v>
      </c>
      <c r="H807" s="1406">
        <v>44852</v>
      </c>
      <c r="I807" s="1407">
        <v>1</v>
      </c>
      <c r="J807" s="1407" t="s">
        <v>720</v>
      </c>
      <c r="K807" s="1408" t="s">
        <v>674</v>
      </c>
      <c r="L807" s="1409" t="s">
        <v>994</v>
      </c>
      <c r="M807" s="1410">
        <v>120970064</v>
      </c>
      <c r="N807" s="1411" t="s">
        <v>765</v>
      </c>
      <c r="O807" s="1404" t="s">
        <v>764</v>
      </c>
      <c r="P807" s="1413" t="s">
        <v>678</v>
      </c>
      <c r="R807" s="1352"/>
      <c r="S807" s="1352"/>
      <c r="T807" s="1352">
        <f>+Tabla16[[#This Row],[CDPS A 31 JULIO 2022]]-Tabla16[[#This Row],[CDP]]</f>
        <v>0</v>
      </c>
      <c r="U807" s="1352"/>
      <c r="V807" s="1352"/>
      <c r="W807" s="1352"/>
    </row>
    <row r="808" spans="1:23" s="1317" customFormat="1" ht="105" x14ac:dyDescent="0.25">
      <c r="A808" s="1400">
        <v>2022882</v>
      </c>
      <c r="B808" s="1401">
        <v>7655</v>
      </c>
      <c r="C808" s="1402" t="s">
        <v>668</v>
      </c>
      <c r="D808" s="1403" t="s">
        <v>695</v>
      </c>
      <c r="E808" s="1404">
        <v>80111600</v>
      </c>
      <c r="F808" s="1404" t="s">
        <v>1425</v>
      </c>
      <c r="G808" s="1406">
        <v>44866</v>
      </c>
      <c r="H808" s="1406">
        <v>44868</v>
      </c>
      <c r="I808" s="1407">
        <v>1</v>
      </c>
      <c r="J808" s="1407" t="s">
        <v>673</v>
      </c>
      <c r="K808" s="1408" t="s">
        <v>674</v>
      </c>
      <c r="L808" s="1409" t="s">
        <v>675</v>
      </c>
      <c r="M808" s="1410">
        <v>7276000</v>
      </c>
      <c r="N808" s="1411" t="s">
        <v>781</v>
      </c>
      <c r="O808" s="1404" t="s">
        <v>771</v>
      </c>
      <c r="P808" s="1413" t="s">
        <v>757</v>
      </c>
      <c r="R808" s="1352"/>
      <c r="S808" s="1352"/>
      <c r="T808" s="1352">
        <f>+Tabla16[[#This Row],[CDPS A 31 JULIO 2022]]-Tabla16[[#This Row],[CDP]]</f>
        <v>0</v>
      </c>
      <c r="U808" s="1352"/>
      <c r="V808" s="1352"/>
      <c r="W808" s="1352"/>
    </row>
    <row r="809" spans="1:23" s="1317" customFormat="1" ht="105" x14ac:dyDescent="0.25">
      <c r="A809" s="1400">
        <v>2022883</v>
      </c>
      <c r="B809" s="1401">
        <v>7655</v>
      </c>
      <c r="C809" s="1402" t="s">
        <v>668</v>
      </c>
      <c r="D809" s="1403" t="s">
        <v>695</v>
      </c>
      <c r="E809" s="1404">
        <v>80111600</v>
      </c>
      <c r="F809" s="1404" t="s">
        <v>1426</v>
      </c>
      <c r="G809" s="1406">
        <v>44866</v>
      </c>
      <c r="H809" s="1406">
        <v>44868</v>
      </c>
      <c r="I809" s="1407">
        <v>2</v>
      </c>
      <c r="J809" s="1407" t="s">
        <v>673</v>
      </c>
      <c r="K809" s="1408" t="s">
        <v>674</v>
      </c>
      <c r="L809" s="1409" t="s">
        <v>675</v>
      </c>
      <c r="M809" s="1410">
        <v>10000000</v>
      </c>
      <c r="N809" s="1411" t="s">
        <v>781</v>
      </c>
      <c r="O809" s="1404" t="s">
        <v>771</v>
      </c>
      <c r="P809" s="1413" t="s">
        <v>757</v>
      </c>
      <c r="R809" s="1352"/>
      <c r="S809" s="1352"/>
      <c r="T809" s="1352">
        <f>+Tabla16[[#This Row],[CDPS A 31 JULIO 2022]]-Tabla16[[#This Row],[CDP]]</f>
        <v>0</v>
      </c>
      <c r="U809" s="1352"/>
      <c r="V809" s="1352"/>
      <c r="W809" s="1352"/>
    </row>
    <row r="810" spans="1:23" s="1317" customFormat="1" ht="105" x14ac:dyDescent="0.25">
      <c r="A810" s="1400">
        <v>2022884</v>
      </c>
      <c r="B810" s="1401">
        <v>7655</v>
      </c>
      <c r="C810" s="1402" t="s">
        <v>668</v>
      </c>
      <c r="D810" s="1403" t="s">
        <v>695</v>
      </c>
      <c r="E810" s="1404">
        <v>80111600</v>
      </c>
      <c r="F810" s="1404" t="s">
        <v>1427</v>
      </c>
      <c r="G810" s="1406">
        <v>44866</v>
      </c>
      <c r="H810" s="1406">
        <v>44868</v>
      </c>
      <c r="I810" s="1407">
        <v>1</v>
      </c>
      <c r="J810" s="1407" t="s">
        <v>673</v>
      </c>
      <c r="K810" s="1408" t="s">
        <v>674</v>
      </c>
      <c r="L810" s="1409" t="s">
        <v>675</v>
      </c>
      <c r="M810" s="1410">
        <v>5503233</v>
      </c>
      <c r="N810" s="1411" t="s">
        <v>781</v>
      </c>
      <c r="O810" s="1404" t="s">
        <v>771</v>
      </c>
      <c r="P810" s="1413" t="s">
        <v>757</v>
      </c>
      <c r="R810" s="1352"/>
      <c r="S810" s="1352"/>
      <c r="T810" s="1352">
        <f>+Tabla16[[#This Row],[CDPS A 31 JULIO 2022]]-Tabla16[[#This Row],[CDP]]</f>
        <v>0</v>
      </c>
      <c r="U810" s="1352"/>
      <c r="V810" s="1352"/>
      <c r="W810" s="1352"/>
    </row>
    <row r="811" spans="1:23" s="1317" customFormat="1" ht="105" x14ac:dyDescent="0.25">
      <c r="A811" s="1400">
        <v>2022885</v>
      </c>
      <c r="B811" s="1401">
        <v>7655</v>
      </c>
      <c r="C811" s="1402" t="s">
        <v>668</v>
      </c>
      <c r="D811" s="1403" t="s">
        <v>695</v>
      </c>
      <c r="E811" s="1404">
        <v>80111600</v>
      </c>
      <c r="F811" s="1404" t="s">
        <v>1428</v>
      </c>
      <c r="G811" s="1406">
        <v>44866</v>
      </c>
      <c r="H811" s="1406">
        <v>44868</v>
      </c>
      <c r="I811" s="1407">
        <v>1</v>
      </c>
      <c r="J811" s="1407" t="s">
        <v>673</v>
      </c>
      <c r="K811" s="1408" t="s">
        <v>674</v>
      </c>
      <c r="L811" s="1409" t="s">
        <v>675</v>
      </c>
      <c r="M811" s="1410">
        <v>2028600</v>
      </c>
      <c r="N811" s="1411" t="s">
        <v>781</v>
      </c>
      <c r="O811" s="1404" t="s">
        <v>771</v>
      </c>
      <c r="P811" s="1413" t="s">
        <v>757</v>
      </c>
      <c r="R811" s="1352"/>
      <c r="S811" s="1352"/>
      <c r="T811" s="1352">
        <f>+Tabla16[[#This Row],[CDPS A 31 JULIO 2022]]-Tabla16[[#This Row],[CDP]]</f>
        <v>0</v>
      </c>
      <c r="U811" s="1352"/>
      <c r="V811" s="1352"/>
      <c r="W811" s="1352"/>
    </row>
    <row r="812" spans="1:23" s="1317" customFormat="1" ht="105" x14ac:dyDescent="0.25">
      <c r="A812" s="1400">
        <v>2022886</v>
      </c>
      <c r="B812" s="1401">
        <v>7655</v>
      </c>
      <c r="C812" s="1402" t="s">
        <v>668</v>
      </c>
      <c r="D812" s="1403" t="s">
        <v>695</v>
      </c>
      <c r="E812" s="1404">
        <v>80111600</v>
      </c>
      <c r="F812" s="1404" t="s">
        <v>1429</v>
      </c>
      <c r="G812" s="1406">
        <v>44866</v>
      </c>
      <c r="H812" s="1406">
        <v>44868</v>
      </c>
      <c r="I812" s="1407">
        <v>1</v>
      </c>
      <c r="J812" s="1407" t="s">
        <v>673</v>
      </c>
      <c r="K812" s="1408" t="s">
        <v>674</v>
      </c>
      <c r="L812" s="1409" t="s">
        <v>675</v>
      </c>
      <c r="M812" s="1410">
        <v>2587500</v>
      </c>
      <c r="N812" s="1411" t="s">
        <v>781</v>
      </c>
      <c r="O812" s="1404" t="s">
        <v>771</v>
      </c>
      <c r="P812" s="1413" t="s">
        <v>757</v>
      </c>
      <c r="R812" s="1352"/>
      <c r="S812" s="1352"/>
      <c r="T812" s="1352">
        <f>+Tabla16[[#This Row],[CDPS A 31 JULIO 2022]]-Tabla16[[#This Row],[CDP]]</f>
        <v>0</v>
      </c>
      <c r="U812" s="1352"/>
      <c r="V812" s="1352"/>
      <c r="W812" s="1352"/>
    </row>
    <row r="813" spans="1:23" s="1317" customFormat="1" ht="105" x14ac:dyDescent="0.25">
      <c r="A813" s="1400">
        <v>2022887</v>
      </c>
      <c r="B813" s="1401">
        <v>7655</v>
      </c>
      <c r="C813" s="1402" t="s">
        <v>668</v>
      </c>
      <c r="D813" s="1403" t="s">
        <v>695</v>
      </c>
      <c r="E813" s="1404">
        <v>80111600</v>
      </c>
      <c r="F813" s="1404" t="s">
        <v>1353</v>
      </c>
      <c r="G813" s="1406">
        <v>44866</v>
      </c>
      <c r="H813" s="1406">
        <v>44868</v>
      </c>
      <c r="I813" s="1407">
        <v>2</v>
      </c>
      <c r="J813" s="1407" t="s">
        <v>673</v>
      </c>
      <c r="K813" s="1408" t="s">
        <v>674</v>
      </c>
      <c r="L813" s="1409" t="s">
        <v>675</v>
      </c>
      <c r="M813" s="1410">
        <v>7679700</v>
      </c>
      <c r="N813" s="1411" t="s">
        <v>781</v>
      </c>
      <c r="O813" s="1404" t="s">
        <v>771</v>
      </c>
      <c r="P813" s="1413" t="s">
        <v>757</v>
      </c>
      <c r="R813" s="1352"/>
      <c r="S813" s="1352"/>
      <c r="T813" s="1352">
        <f>+Tabla16[[#This Row],[CDPS A 31 JULIO 2022]]-Tabla16[[#This Row],[CDP]]</f>
        <v>0</v>
      </c>
      <c r="U813" s="1352"/>
      <c r="V813" s="1352"/>
      <c r="W813" s="1352"/>
    </row>
    <row r="814" spans="1:23" s="1317" customFormat="1" ht="60" x14ac:dyDescent="0.25">
      <c r="A814" s="1400">
        <v>2022888</v>
      </c>
      <c r="B814" s="1401" t="s">
        <v>459</v>
      </c>
      <c r="C814" s="1402"/>
      <c r="D814" s="1403" t="s">
        <v>695</v>
      </c>
      <c r="E814" s="1404" t="s">
        <v>1185</v>
      </c>
      <c r="F814" s="1404" t="s">
        <v>1430</v>
      </c>
      <c r="G814" s="1406">
        <v>44849</v>
      </c>
      <c r="H814" s="1406">
        <v>44852</v>
      </c>
      <c r="I814" s="1407">
        <v>1</v>
      </c>
      <c r="J814" s="1407" t="s">
        <v>645</v>
      </c>
      <c r="K814" s="1408" t="s">
        <v>674</v>
      </c>
      <c r="L814" s="1409"/>
      <c r="M814" s="1410">
        <v>40000000</v>
      </c>
      <c r="N814" s="1411"/>
      <c r="O814" s="1404"/>
      <c r="P814" s="1413" t="s">
        <v>757</v>
      </c>
      <c r="R814" s="1352"/>
      <c r="S814" s="1352"/>
      <c r="T814" s="1352">
        <f>+Tabla16[[#This Row],[CDPS A 31 JULIO 2022]]-Tabla16[[#This Row],[CDP]]</f>
        <v>0</v>
      </c>
      <c r="U814" s="1352"/>
      <c r="V814" s="1352"/>
      <c r="W814" s="1352"/>
    </row>
    <row r="815" spans="1:23" s="1317" customFormat="1" ht="45" x14ac:dyDescent="0.25">
      <c r="A815" s="1400">
        <v>2022889</v>
      </c>
      <c r="B815" s="1401" t="s">
        <v>459</v>
      </c>
      <c r="C815" s="1402"/>
      <c r="D815" s="1403" t="s">
        <v>695</v>
      </c>
      <c r="E815" s="1404" t="s">
        <v>1192</v>
      </c>
      <c r="F815" s="1404" t="s">
        <v>1431</v>
      </c>
      <c r="G815" s="1406">
        <v>44835</v>
      </c>
      <c r="H815" s="1406">
        <v>44840</v>
      </c>
      <c r="I815" s="1407">
        <v>3</v>
      </c>
      <c r="J815" s="1407" t="s">
        <v>699</v>
      </c>
      <c r="K815" s="1408" t="s">
        <v>674</v>
      </c>
      <c r="L815" s="1409"/>
      <c r="M815" s="1410">
        <v>8000000</v>
      </c>
      <c r="N815" s="1411"/>
      <c r="O815" s="1404"/>
      <c r="P815" s="1413" t="s">
        <v>678</v>
      </c>
      <c r="R815" s="1352"/>
      <c r="S815" s="1352"/>
      <c r="T815" s="1352">
        <f>+Tabla16[[#This Row],[CDPS A 31 JULIO 2022]]-Tabla16[[#This Row],[CDP]]</f>
        <v>0</v>
      </c>
      <c r="U815" s="1352"/>
      <c r="V815" s="1352"/>
      <c r="W815" s="1352"/>
    </row>
    <row r="816" spans="1:23" s="1317" customFormat="1" ht="105" x14ac:dyDescent="0.25">
      <c r="A816" s="1400">
        <v>2022890</v>
      </c>
      <c r="B816" s="1401">
        <v>7658</v>
      </c>
      <c r="C816" s="1402" t="s">
        <v>679</v>
      </c>
      <c r="D816" s="1403" t="s">
        <v>692</v>
      </c>
      <c r="E816" s="1404"/>
      <c r="F816" s="1404" t="s">
        <v>1432</v>
      </c>
      <c r="G816" s="1406"/>
      <c r="H816" s="1406"/>
      <c r="I816" s="1407"/>
      <c r="J816" s="1407" t="s">
        <v>97</v>
      </c>
      <c r="K816" s="1408" t="s">
        <v>1433</v>
      </c>
      <c r="L816" s="1409" t="s">
        <v>675</v>
      </c>
      <c r="M816" s="1410">
        <v>2000067</v>
      </c>
      <c r="N816" s="1411" t="s">
        <v>1035</v>
      </c>
      <c r="O816" s="1404" t="s">
        <v>1036</v>
      </c>
      <c r="P816" s="1413" t="s">
        <v>757</v>
      </c>
      <c r="R816" s="1352"/>
      <c r="S816" s="1352"/>
      <c r="T816" s="1352">
        <f>+Tabla16[[#This Row],[CDPS A 31 JULIO 2022]]-Tabla16[[#This Row],[CDP]]</f>
        <v>0</v>
      </c>
      <c r="U816" s="1352"/>
      <c r="V816" s="1352"/>
      <c r="W816" s="1352"/>
    </row>
    <row r="817" spans="1:23" s="1317" customFormat="1" ht="105" x14ac:dyDescent="0.25">
      <c r="A817" s="1400">
        <v>2022891</v>
      </c>
      <c r="B817" s="1401">
        <v>7658</v>
      </c>
      <c r="C817" s="1402" t="s">
        <v>679</v>
      </c>
      <c r="D817" s="1403" t="s">
        <v>692</v>
      </c>
      <c r="E817" s="1404" t="s">
        <v>4780</v>
      </c>
      <c r="F817" s="1404" t="s">
        <v>1434</v>
      </c>
      <c r="G817" s="1406">
        <v>44840</v>
      </c>
      <c r="H817" s="1406">
        <v>44875</v>
      </c>
      <c r="I817" s="1407">
        <v>3</v>
      </c>
      <c r="J817" s="1407" t="s">
        <v>687</v>
      </c>
      <c r="K817" s="1408" t="s">
        <v>770</v>
      </c>
      <c r="L817" s="1409" t="s">
        <v>994</v>
      </c>
      <c r="M817" s="1410">
        <v>420000000</v>
      </c>
      <c r="N817" s="1411" t="s">
        <v>1035</v>
      </c>
      <c r="O817" s="1404" t="s">
        <v>1036</v>
      </c>
      <c r="P817" s="1413" t="s">
        <v>678</v>
      </c>
      <c r="R817" s="1352"/>
      <c r="S817" s="1352"/>
      <c r="T817" s="1352">
        <f>+Tabla16[[#This Row],[CDPS A 31 JULIO 2022]]-Tabla16[[#This Row],[CDP]]</f>
        <v>0</v>
      </c>
      <c r="U817" s="1352"/>
      <c r="V817" s="1352"/>
      <c r="W817" s="1352"/>
    </row>
    <row r="818" spans="1:23" s="1317" customFormat="1" ht="105" x14ac:dyDescent="0.25">
      <c r="A818" s="1400">
        <v>2022892</v>
      </c>
      <c r="B818" s="1401">
        <v>7658</v>
      </c>
      <c r="C818" s="1402" t="s">
        <v>679</v>
      </c>
      <c r="D818" s="1403" t="s">
        <v>692</v>
      </c>
      <c r="E818" s="1404" t="s">
        <v>1435</v>
      </c>
      <c r="F818" s="1404" t="s">
        <v>1436</v>
      </c>
      <c r="G818" s="1406">
        <v>44840</v>
      </c>
      <c r="H818" s="1406">
        <v>44875</v>
      </c>
      <c r="I818" s="1407">
        <v>3</v>
      </c>
      <c r="J818" s="1407" t="s">
        <v>687</v>
      </c>
      <c r="K818" s="1408" t="s">
        <v>770</v>
      </c>
      <c r="L818" s="1409" t="s">
        <v>994</v>
      </c>
      <c r="M818" s="1410">
        <v>450000000</v>
      </c>
      <c r="N818" s="1411" t="s">
        <v>1035</v>
      </c>
      <c r="O818" s="1404" t="s">
        <v>1036</v>
      </c>
      <c r="P818" s="1413" t="s">
        <v>678</v>
      </c>
      <c r="R818" s="1352"/>
      <c r="S818" s="1352"/>
      <c r="T818" s="1352">
        <f>+Tabla16[[#This Row],[CDPS A 31 JULIO 2022]]-Tabla16[[#This Row],[CDP]]</f>
        <v>0</v>
      </c>
      <c r="U818" s="1352"/>
      <c r="V818" s="1352"/>
      <c r="W818" s="1352"/>
    </row>
    <row r="819" spans="1:23" s="1317" customFormat="1" ht="135" x14ac:dyDescent="0.25">
      <c r="A819" s="1400">
        <v>2022893</v>
      </c>
      <c r="B819" s="1401">
        <v>7658</v>
      </c>
      <c r="C819" s="1402" t="s">
        <v>679</v>
      </c>
      <c r="D819" s="1403" t="s">
        <v>692</v>
      </c>
      <c r="E819" s="1404" t="s">
        <v>1437</v>
      </c>
      <c r="F819" s="1404" t="s">
        <v>1438</v>
      </c>
      <c r="G819" s="1406">
        <v>44840</v>
      </c>
      <c r="H819" s="1406">
        <v>44875</v>
      </c>
      <c r="I819" s="1407">
        <v>2</v>
      </c>
      <c r="J819" s="1407" t="s">
        <v>687</v>
      </c>
      <c r="K819" s="1408" t="s">
        <v>770</v>
      </c>
      <c r="L819" s="1409" t="s">
        <v>994</v>
      </c>
      <c r="M819" s="1410">
        <v>286334520</v>
      </c>
      <c r="N819" s="1411" t="s">
        <v>1035</v>
      </c>
      <c r="O819" s="1404" t="s">
        <v>1036</v>
      </c>
      <c r="P819" s="1413" t="s">
        <v>678</v>
      </c>
      <c r="R819" s="1352"/>
      <c r="S819" s="1352"/>
      <c r="T819" s="1352">
        <f>+Tabla16[[#This Row],[CDPS A 31 JULIO 2022]]-Tabla16[[#This Row],[CDP]]</f>
        <v>0</v>
      </c>
      <c r="U819" s="1352"/>
      <c r="V819" s="1352"/>
      <c r="W819" s="1352"/>
    </row>
    <row r="820" spans="1:23" s="1317" customFormat="1" ht="105" x14ac:dyDescent="0.25">
      <c r="A820" s="1400">
        <v>2022894</v>
      </c>
      <c r="B820" s="1401">
        <v>7658</v>
      </c>
      <c r="C820" s="1402" t="s">
        <v>679</v>
      </c>
      <c r="D820" s="1403" t="s">
        <v>692</v>
      </c>
      <c r="E820" s="1404">
        <v>80111600</v>
      </c>
      <c r="F820" s="1404" t="s">
        <v>1049</v>
      </c>
      <c r="G820" s="1406">
        <v>44866</v>
      </c>
      <c r="H820" s="1406">
        <v>44895</v>
      </c>
      <c r="I820" s="1407">
        <v>2</v>
      </c>
      <c r="J820" s="1407" t="s">
        <v>673</v>
      </c>
      <c r="K820" s="1408" t="s">
        <v>674</v>
      </c>
      <c r="L820" s="1409" t="s">
        <v>675</v>
      </c>
      <c r="M820" s="1410">
        <v>9000000</v>
      </c>
      <c r="N820" s="1411" t="s">
        <v>1035</v>
      </c>
      <c r="O820" s="1404" t="s">
        <v>1036</v>
      </c>
      <c r="P820" s="1413" t="s">
        <v>678</v>
      </c>
      <c r="R820" s="1352"/>
      <c r="S820" s="1352"/>
      <c r="T820" s="1352">
        <f>+Tabla16[[#This Row],[CDPS A 31 JULIO 2022]]-Tabla16[[#This Row],[CDP]]</f>
        <v>0</v>
      </c>
      <c r="U820" s="1352"/>
      <c r="V820" s="1352"/>
      <c r="W820" s="1352"/>
    </row>
    <row r="821" spans="1:23" s="1317" customFormat="1" ht="105" x14ac:dyDescent="0.25">
      <c r="A821" s="1400">
        <v>2022895</v>
      </c>
      <c r="B821" s="1401">
        <v>7658</v>
      </c>
      <c r="C821" s="1402" t="s">
        <v>679</v>
      </c>
      <c r="D821" s="1403" t="s">
        <v>692</v>
      </c>
      <c r="E821" s="1404">
        <v>80111600</v>
      </c>
      <c r="F821" s="1404" t="s">
        <v>1439</v>
      </c>
      <c r="G821" s="1406">
        <v>44866</v>
      </c>
      <c r="H821" s="1406">
        <v>44895</v>
      </c>
      <c r="I821" s="1407">
        <v>2</v>
      </c>
      <c r="J821" s="1407" t="s">
        <v>673</v>
      </c>
      <c r="K821" s="1408" t="s">
        <v>674</v>
      </c>
      <c r="L821" s="1409" t="s">
        <v>675</v>
      </c>
      <c r="M821" s="1410">
        <v>16480000</v>
      </c>
      <c r="N821" s="1411" t="s">
        <v>1035</v>
      </c>
      <c r="O821" s="1404" t="s">
        <v>1036</v>
      </c>
      <c r="P821" s="1413" t="s">
        <v>757</v>
      </c>
      <c r="R821" s="1352"/>
      <c r="S821" s="1352"/>
      <c r="T821" s="1352">
        <f>+Tabla16[[#This Row],[CDPS A 31 JULIO 2022]]-Tabla16[[#This Row],[CDP]]</f>
        <v>0</v>
      </c>
      <c r="U821" s="1352"/>
      <c r="V821" s="1352"/>
      <c r="W821" s="1352"/>
    </row>
    <row r="822" spans="1:23" s="1317" customFormat="1" ht="105" x14ac:dyDescent="0.25">
      <c r="A822" s="1400">
        <v>2022896</v>
      </c>
      <c r="B822" s="1401">
        <v>7658</v>
      </c>
      <c r="C822" s="1402" t="s">
        <v>679</v>
      </c>
      <c r="D822" s="1403" t="s">
        <v>692</v>
      </c>
      <c r="E822" s="1404">
        <v>80111600</v>
      </c>
      <c r="F822" s="1404" t="s">
        <v>1440</v>
      </c>
      <c r="G822" s="1406">
        <v>44866</v>
      </c>
      <c r="H822" s="1406">
        <v>44895</v>
      </c>
      <c r="I822" s="1407">
        <v>2</v>
      </c>
      <c r="J822" s="1407" t="s">
        <v>673</v>
      </c>
      <c r="K822" s="1408" t="s">
        <v>674</v>
      </c>
      <c r="L822" s="1409" t="s">
        <v>675</v>
      </c>
      <c r="M822" s="1410">
        <v>8240000</v>
      </c>
      <c r="N822" s="1411" t="s">
        <v>1035</v>
      </c>
      <c r="O822" s="1404" t="s">
        <v>1036</v>
      </c>
      <c r="P822" s="1413" t="s">
        <v>757</v>
      </c>
      <c r="R822" s="1352"/>
      <c r="S822" s="1352"/>
      <c r="T822" s="1352">
        <f>+Tabla16[[#This Row],[CDPS A 31 JULIO 2022]]-Tabla16[[#This Row],[CDP]]</f>
        <v>0</v>
      </c>
      <c r="U822" s="1352"/>
      <c r="V822" s="1352"/>
      <c r="W822" s="1352"/>
    </row>
    <row r="823" spans="1:23" s="1317" customFormat="1" ht="105" x14ac:dyDescent="0.25">
      <c r="A823" s="1400">
        <v>2022897</v>
      </c>
      <c r="B823" s="1401">
        <v>7658</v>
      </c>
      <c r="C823" s="1402" t="s">
        <v>679</v>
      </c>
      <c r="D823" s="1403" t="s">
        <v>692</v>
      </c>
      <c r="E823" s="1404">
        <v>80111600</v>
      </c>
      <c r="F823" s="1404" t="s">
        <v>1441</v>
      </c>
      <c r="G823" s="1406">
        <v>44866</v>
      </c>
      <c r="H823" s="1406">
        <v>44895</v>
      </c>
      <c r="I823" s="1407">
        <v>2</v>
      </c>
      <c r="J823" s="1407" t="s">
        <v>673</v>
      </c>
      <c r="K823" s="1408" t="s">
        <v>674</v>
      </c>
      <c r="L823" s="1409" t="s">
        <v>675</v>
      </c>
      <c r="M823" s="1410">
        <v>7000000</v>
      </c>
      <c r="N823" s="1411" t="s">
        <v>1035</v>
      </c>
      <c r="O823" s="1404" t="s">
        <v>1036</v>
      </c>
      <c r="P823" s="1413" t="s">
        <v>757</v>
      </c>
      <c r="R823" s="1352"/>
      <c r="S823" s="1352"/>
      <c r="T823" s="1352">
        <f>+Tabla16[[#This Row],[CDPS A 31 JULIO 2022]]-Tabla16[[#This Row],[CDP]]</f>
        <v>0</v>
      </c>
      <c r="U823" s="1352"/>
      <c r="V823" s="1352"/>
      <c r="W823" s="1352"/>
    </row>
    <row r="824" spans="1:23" s="1317" customFormat="1" ht="105" x14ac:dyDescent="0.25">
      <c r="A824" s="1400">
        <v>2022898</v>
      </c>
      <c r="B824" s="1401">
        <v>7658</v>
      </c>
      <c r="C824" s="1402" t="s">
        <v>679</v>
      </c>
      <c r="D824" s="1403" t="s">
        <v>692</v>
      </c>
      <c r="E824" s="1404">
        <v>80111600</v>
      </c>
      <c r="F824" s="1404" t="s">
        <v>1442</v>
      </c>
      <c r="G824" s="1406">
        <v>44866</v>
      </c>
      <c r="H824" s="1406">
        <v>44895</v>
      </c>
      <c r="I824" s="1407">
        <v>2</v>
      </c>
      <c r="J824" s="1407" t="s">
        <v>673</v>
      </c>
      <c r="K824" s="1408" t="s">
        <v>674</v>
      </c>
      <c r="L824" s="1409" t="s">
        <v>675</v>
      </c>
      <c r="M824" s="1410">
        <v>4200000</v>
      </c>
      <c r="N824" s="1411" t="s">
        <v>1035</v>
      </c>
      <c r="O824" s="1404" t="s">
        <v>1036</v>
      </c>
      <c r="P824" s="1413" t="s">
        <v>757</v>
      </c>
      <c r="R824" s="1352"/>
      <c r="S824" s="1352"/>
      <c r="T824" s="1352">
        <f>+Tabla16[[#This Row],[CDPS A 31 JULIO 2022]]-Tabla16[[#This Row],[CDP]]</f>
        <v>0</v>
      </c>
      <c r="U824" s="1352"/>
      <c r="V824" s="1352"/>
      <c r="W824" s="1352"/>
    </row>
    <row r="825" spans="1:23" s="1317" customFormat="1" ht="105" x14ac:dyDescent="0.25">
      <c r="A825" s="1400">
        <v>2022899</v>
      </c>
      <c r="B825" s="1401">
        <v>7658</v>
      </c>
      <c r="C825" s="1402" t="s">
        <v>679</v>
      </c>
      <c r="D825" s="1403" t="s">
        <v>692</v>
      </c>
      <c r="E825" s="1404">
        <v>80111600</v>
      </c>
      <c r="F825" s="1404" t="s">
        <v>1443</v>
      </c>
      <c r="G825" s="1406">
        <v>44866</v>
      </c>
      <c r="H825" s="1406">
        <v>44895</v>
      </c>
      <c r="I825" s="1407">
        <v>2</v>
      </c>
      <c r="J825" s="1407" t="s">
        <v>673</v>
      </c>
      <c r="K825" s="1408" t="s">
        <v>674</v>
      </c>
      <c r="L825" s="1409" t="s">
        <v>675</v>
      </c>
      <c r="M825" s="1410">
        <v>16480000</v>
      </c>
      <c r="N825" s="1411" t="s">
        <v>1035</v>
      </c>
      <c r="O825" s="1404" t="s">
        <v>1036</v>
      </c>
      <c r="P825" s="1413" t="s">
        <v>757</v>
      </c>
      <c r="R825" s="1352"/>
      <c r="S825" s="1352"/>
      <c r="T825" s="1352">
        <f>+Tabla16[[#This Row],[CDPS A 31 JULIO 2022]]-Tabla16[[#This Row],[CDP]]</f>
        <v>0</v>
      </c>
      <c r="U825" s="1352"/>
      <c r="V825" s="1352"/>
      <c r="W825" s="1352"/>
    </row>
    <row r="826" spans="1:23" s="1317" customFormat="1" ht="105" x14ac:dyDescent="0.25">
      <c r="A826" s="1400">
        <v>2022900</v>
      </c>
      <c r="B826" s="1401">
        <v>7658</v>
      </c>
      <c r="C826" s="1402" t="s">
        <v>679</v>
      </c>
      <c r="D826" s="1403" t="s">
        <v>692</v>
      </c>
      <c r="E826" s="1404">
        <v>80111600</v>
      </c>
      <c r="F826" s="1404" t="s">
        <v>1444</v>
      </c>
      <c r="G826" s="1406">
        <v>44866</v>
      </c>
      <c r="H826" s="1406">
        <v>44895</v>
      </c>
      <c r="I826" s="1407">
        <v>2</v>
      </c>
      <c r="J826" s="1407" t="s">
        <v>673</v>
      </c>
      <c r="K826" s="1408" t="s">
        <v>674</v>
      </c>
      <c r="L826" s="1409" t="s">
        <v>675</v>
      </c>
      <c r="M826" s="1410">
        <v>8400000</v>
      </c>
      <c r="N826" s="1411" t="s">
        <v>1035</v>
      </c>
      <c r="O826" s="1404" t="s">
        <v>1036</v>
      </c>
      <c r="P826" s="1413" t="s">
        <v>757</v>
      </c>
      <c r="R826" s="1352"/>
      <c r="S826" s="1352"/>
      <c r="T826" s="1352">
        <f>+Tabla16[[#This Row],[CDPS A 31 JULIO 2022]]-Tabla16[[#This Row],[CDP]]</f>
        <v>0</v>
      </c>
      <c r="U826" s="1352"/>
      <c r="V826" s="1352"/>
      <c r="W826" s="1352"/>
    </row>
    <row r="827" spans="1:23" s="1317" customFormat="1" ht="105" x14ac:dyDescent="0.25">
      <c r="A827" s="1400">
        <v>2022901</v>
      </c>
      <c r="B827" s="1401">
        <v>7658</v>
      </c>
      <c r="C827" s="1402" t="s">
        <v>679</v>
      </c>
      <c r="D827" s="1403" t="s">
        <v>692</v>
      </c>
      <c r="E827" s="1404">
        <v>80111600</v>
      </c>
      <c r="F827" s="1404" t="s">
        <v>1445</v>
      </c>
      <c r="G827" s="1406">
        <v>44866</v>
      </c>
      <c r="H827" s="1406">
        <v>44895</v>
      </c>
      <c r="I827" s="1407">
        <v>2</v>
      </c>
      <c r="J827" s="1407" t="s">
        <v>673</v>
      </c>
      <c r="K827" s="1408" t="s">
        <v>674</v>
      </c>
      <c r="L827" s="1409" t="s">
        <v>675</v>
      </c>
      <c r="M827" s="1410">
        <v>5000000</v>
      </c>
      <c r="N827" s="1411" t="s">
        <v>1035</v>
      </c>
      <c r="O827" s="1404" t="s">
        <v>1036</v>
      </c>
      <c r="P827" s="1413" t="s">
        <v>757</v>
      </c>
      <c r="R827" s="1352"/>
      <c r="S827" s="1352"/>
      <c r="T827" s="1352">
        <f>+Tabla16[[#This Row],[CDPS A 31 JULIO 2022]]-Tabla16[[#This Row],[CDP]]</f>
        <v>0</v>
      </c>
      <c r="U827" s="1352"/>
      <c r="V827" s="1352"/>
      <c r="W827" s="1352"/>
    </row>
    <row r="828" spans="1:23" s="1317" customFormat="1" ht="105" x14ac:dyDescent="0.25">
      <c r="A828" s="1400">
        <v>2022902</v>
      </c>
      <c r="B828" s="1401">
        <v>7658</v>
      </c>
      <c r="C828" s="1402" t="s">
        <v>679</v>
      </c>
      <c r="D828" s="1403" t="s">
        <v>692</v>
      </c>
      <c r="E828" s="1404">
        <v>80111600</v>
      </c>
      <c r="F828" s="1404" t="s">
        <v>1446</v>
      </c>
      <c r="G828" s="1406">
        <v>44866</v>
      </c>
      <c r="H828" s="1406">
        <v>44895</v>
      </c>
      <c r="I828" s="1407">
        <v>2</v>
      </c>
      <c r="J828" s="1407" t="s">
        <v>673</v>
      </c>
      <c r="K828" s="1408" t="s">
        <v>674</v>
      </c>
      <c r="L828" s="1409" t="s">
        <v>675</v>
      </c>
      <c r="M828" s="1410">
        <v>5600000</v>
      </c>
      <c r="N828" s="1411" t="s">
        <v>1035</v>
      </c>
      <c r="O828" s="1404" t="s">
        <v>1036</v>
      </c>
      <c r="P828" s="1413" t="s">
        <v>757</v>
      </c>
      <c r="R828" s="1352"/>
      <c r="S828" s="1352"/>
      <c r="T828" s="1352">
        <f>+Tabla16[[#This Row],[CDPS A 31 JULIO 2022]]-Tabla16[[#This Row],[CDP]]</f>
        <v>0</v>
      </c>
      <c r="U828" s="1352"/>
      <c r="V828" s="1352"/>
      <c r="W828" s="1352"/>
    </row>
    <row r="829" spans="1:23" s="1317" customFormat="1" ht="105" x14ac:dyDescent="0.25">
      <c r="A829" s="1400">
        <v>2022903</v>
      </c>
      <c r="B829" s="1401">
        <v>7658</v>
      </c>
      <c r="C829" s="1402" t="s">
        <v>679</v>
      </c>
      <c r="D829" s="1403" t="s">
        <v>692</v>
      </c>
      <c r="E829" s="1404">
        <v>80111600</v>
      </c>
      <c r="F829" s="1404" t="s">
        <v>1447</v>
      </c>
      <c r="G829" s="1406">
        <v>44866</v>
      </c>
      <c r="H829" s="1406">
        <v>44895</v>
      </c>
      <c r="I829" s="1407">
        <v>2</v>
      </c>
      <c r="J829" s="1407" t="s">
        <v>673</v>
      </c>
      <c r="K829" s="1408" t="s">
        <v>674</v>
      </c>
      <c r="L829" s="1409" t="s">
        <v>675</v>
      </c>
      <c r="M829" s="1410">
        <v>2850000</v>
      </c>
      <c r="N829" s="1411" t="s">
        <v>1035</v>
      </c>
      <c r="O829" s="1404" t="s">
        <v>1036</v>
      </c>
      <c r="P829" s="1413" t="s">
        <v>757</v>
      </c>
      <c r="R829" s="1352"/>
      <c r="S829" s="1352"/>
      <c r="T829" s="1352">
        <f>+Tabla16[[#This Row],[CDPS A 31 JULIO 2022]]-Tabla16[[#This Row],[CDP]]</f>
        <v>0</v>
      </c>
      <c r="U829" s="1352"/>
      <c r="V829" s="1352"/>
      <c r="W829" s="1352"/>
    </row>
    <row r="830" spans="1:23" s="1317" customFormat="1" ht="105" x14ac:dyDescent="0.25">
      <c r="A830" s="1400">
        <v>2022904</v>
      </c>
      <c r="B830" s="1401">
        <v>7658</v>
      </c>
      <c r="C830" s="1402" t="s">
        <v>679</v>
      </c>
      <c r="D830" s="1403" t="s">
        <v>692</v>
      </c>
      <c r="E830" s="1404">
        <v>80111600</v>
      </c>
      <c r="F830" s="1404" t="s">
        <v>1448</v>
      </c>
      <c r="G830" s="1406">
        <v>44866</v>
      </c>
      <c r="H830" s="1406">
        <v>44895</v>
      </c>
      <c r="I830" s="1407">
        <v>2</v>
      </c>
      <c r="J830" s="1407" t="s">
        <v>673</v>
      </c>
      <c r="K830" s="1408" t="s">
        <v>674</v>
      </c>
      <c r="L830" s="1409" t="s">
        <v>675</v>
      </c>
      <c r="M830" s="1410">
        <v>7700000</v>
      </c>
      <c r="N830" s="1411" t="s">
        <v>1035</v>
      </c>
      <c r="O830" s="1404" t="s">
        <v>1036</v>
      </c>
      <c r="P830" s="1413" t="s">
        <v>757</v>
      </c>
      <c r="R830" s="1352"/>
      <c r="S830" s="1352"/>
      <c r="T830" s="1352">
        <f>+Tabla16[[#This Row],[CDPS A 31 JULIO 2022]]-Tabla16[[#This Row],[CDP]]</f>
        <v>0</v>
      </c>
      <c r="U830" s="1352"/>
      <c r="V830" s="1352"/>
      <c r="W830" s="1352"/>
    </row>
    <row r="831" spans="1:23" s="1317" customFormat="1" ht="105" x14ac:dyDescent="0.25">
      <c r="A831" s="1400">
        <v>2022905</v>
      </c>
      <c r="B831" s="1401">
        <v>7658</v>
      </c>
      <c r="C831" s="1402" t="s">
        <v>679</v>
      </c>
      <c r="D831" s="1403" t="s">
        <v>692</v>
      </c>
      <c r="E831" s="1404">
        <v>80111600</v>
      </c>
      <c r="F831" s="1404" t="s">
        <v>1449</v>
      </c>
      <c r="G831" s="1406">
        <v>44866</v>
      </c>
      <c r="H831" s="1406">
        <v>44895</v>
      </c>
      <c r="I831" s="1407">
        <v>2</v>
      </c>
      <c r="J831" s="1407" t="s">
        <v>673</v>
      </c>
      <c r="K831" s="1408" t="s">
        <v>674</v>
      </c>
      <c r="L831" s="1409" t="s">
        <v>675</v>
      </c>
      <c r="M831" s="1410">
        <v>2450000</v>
      </c>
      <c r="N831" s="1411" t="s">
        <v>1035</v>
      </c>
      <c r="O831" s="1404" t="s">
        <v>1036</v>
      </c>
      <c r="P831" s="1413" t="s">
        <v>757</v>
      </c>
      <c r="R831" s="1352"/>
      <c r="S831" s="1352"/>
      <c r="T831" s="1352">
        <f>+Tabla16[[#This Row],[CDPS A 31 JULIO 2022]]-Tabla16[[#This Row],[CDP]]</f>
        <v>0</v>
      </c>
      <c r="U831" s="1352"/>
      <c r="V831" s="1352"/>
      <c r="W831" s="1352"/>
    </row>
    <row r="832" spans="1:23" s="1317" customFormat="1" ht="105" x14ac:dyDescent="0.25">
      <c r="A832" s="1400">
        <v>2022906</v>
      </c>
      <c r="B832" s="1401">
        <v>7658</v>
      </c>
      <c r="C832" s="1402" t="s">
        <v>679</v>
      </c>
      <c r="D832" s="1403" t="s">
        <v>692</v>
      </c>
      <c r="E832" s="1404">
        <v>80111600</v>
      </c>
      <c r="F832" s="1404" t="s">
        <v>1450</v>
      </c>
      <c r="G832" s="1406">
        <v>44866</v>
      </c>
      <c r="H832" s="1406">
        <v>44895</v>
      </c>
      <c r="I832" s="1407">
        <v>2</v>
      </c>
      <c r="J832" s="1407" t="s">
        <v>673</v>
      </c>
      <c r="K832" s="1408" t="s">
        <v>674</v>
      </c>
      <c r="L832" s="1409" t="s">
        <v>675</v>
      </c>
      <c r="M832" s="1410">
        <v>6600000</v>
      </c>
      <c r="N832" s="1411" t="s">
        <v>1035</v>
      </c>
      <c r="O832" s="1404" t="s">
        <v>1036</v>
      </c>
      <c r="P832" s="1413" t="s">
        <v>757</v>
      </c>
      <c r="R832" s="1352"/>
      <c r="S832" s="1352"/>
      <c r="T832" s="1352">
        <f>+Tabla16[[#This Row],[CDPS A 31 JULIO 2022]]-Tabla16[[#This Row],[CDP]]</f>
        <v>0</v>
      </c>
      <c r="U832" s="1352"/>
      <c r="V832" s="1352"/>
      <c r="W832" s="1352"/>
    </row>
    <row r="833" spans="1:23" s="1317" customFormat="1" ht="105" x14ac:dyDescent="0.25">
      <c r="A833" s="1400">
        <v>2022907</v>
      </c>
      <c r="B833" s="1401">
        <v>7658</v>
      </c>
      <c r="C833" s="1402" t="s">
        <v>679</v>
      </c>
      <c r="D833" s="1403" t="s">
        <v>692</v>
      </c>
      <c r="E833" s="1404">
        <v>80111600</v>
      </c>
      <c r="F833" s="1404" t="s">
        <v>1451</v>
      </c>
      <c r="G833" s="1406">
        <v>44866</v>
      </c>
      <c r="H833" s="1406">
        <v>44895</v>
      </c>
      <c r="I833" s="1407">
        <v>2</v>
      </c>
      <c r="J833" s="1407" t="s">
        <v>673</v>
      </c>
      <c r="K833" s="1408" t="s">
        <v>674</v>
      </c>
      <c r="L833" s="1409" t="s">
        <v>675</v>
      </c>
      <c r="M833" s="1410">
        <v>6600000</v>
      </c>
      <c r="N833" s="1411" t="s">
        <v>1035</v>
      </c>
      <c r="O833" s="1404" t="s">
        <v>1036</v>
      </c>
      <c r="P833" s="1413" t="s">
        <v>757</v>
      </c>
      <c r="R833" s="1352"/>
      <c r="S833" s="1352"/>
      <c r="T833" s="1352">
        <f>+Tabla16[[#This Row],[CDPS A 31 JULIO 2022]]-Tabla16[[#This Row],[CDP]]</f>
        <v>0</v>
      </c>
      <c r="U833" s="1352"/>
      <c r="V833" s="1352"/>
      <c r="W833" s="1352"/>
    </row>
    <row r="834" spans="1:23" s="1317" customFormat="1" ht="105" x14ac:dyDescent="0.25">
      <c r="A834" s="1400">
        <v>2022908</v>
      </c>
      <c r="B834" s="1401">
        <v>7658</v>
      </c>
      <c r="C834" s="1402" t="s">
        <v>679</v>
      </c>
      <c r="D834" s="1403" t="s">
        <v>692</v>
      </c>
      <c r="E834" s="1404">
        <v>80111600</v>
      </c>
      <c r="F834" s="1404" t="s">
        <v>1452</v>
      </c>
      <c r="G834" s="1406">
        <v>44866</v>
      </c>
      <c r="H834" s="1406">
        <v>44895</v>
      </c>
      <c r="I834" s="1407">
        <v>2</v>
      </c>
      <c r="J834" s="1407" t="s">
        <v>673</v>
      </c>
      <c r="K834" s="1408" t="s">
        <v>674</v>
      </c>
      <c r="L834" s="1409" t="s">
        <v>675</v>
      </c>
      <c r="M834" s="1410">
        <v>5600000</v>
      </c>
      <c r="N834" s="1411" t="s">
        <v>1035</v>
      </c>
      <c r="O834" s="1404" t="s">
        <v>1036</v>
      </c>
      <c r="P834" s="1413" t="s">
        <v>757</v>
      </c>
      <c r="R834" s="1352"/>
      <c r="S834" s="1352"/>
      <c r="T834" s="1352">
        <f>+Tabla16[[#This Row],[CDPS A 31 JULIO 2022]]-Tabla16[[#This Row],[CDP]]</f>
        <v>0</v>
      </c>
      <c r="U834" s="1352"/>
      <c r="V834" s="1352"/>
      <c r="W834" s="1352"/>
    </row>
    <row r="835" spans="1:23" s="1317" customFormat="1" ht="105" x14ac:dyDescent="0.25">
      <c r="A835" s="1400">
        <v>2022909</v>
      </c>
      <c r="B835" s="1401">
        <v>7658</v>
      </c>
      <c r="C835" s="1402" t="s">
        <v>679</v>
      </c>
      <c r="D835" s="1403" t="s">
        <v>692</v>
      </c>
      <c r="E835" s="1404">
        <v>80111600</v>
      </c>
      <c r="F835" s="1404" t="s">
        <v>1453</v>
      </c>
      <c r="G835" s="1406">
        <v>44866</v>
      </c>
      <c r="H835" s="1406">
        <v>44895</v>
      </c>
      <c r="I835" s="1407">
        <v>2</v>
      </c>
      <c r="J835" s="1407" t="s">
        <v>673</v>
      </c>
      <c r="K835" s="1408" t="s">
        <v>674</v>
      </c>
      <c r="L835" s="1409" t="s">
        <v>675</v>
      </c>
      <c r="M835" s="1410">
        <v>5600000</v>
      </c>
      <c r="N835" s="1411" t="s">
        <v>1035</v>
      </c>
      <c r="O835" s="1404" t="s">
        <v>1036</v>
      </c>
      <c r="P835" s="1413" t="s">
        <v>757</v>
      </c>
      <c r="R835" s="1352"/>
      <c r="S835" s="1352"/>
      <c r="T835" s="1352">
        <f>+Tabla16[[#This Row],[CDPS A 31 JULIO 2022]]-Tabla16[[#This Row],[CDP]]</f>
        <v>0</v>
      </c>
      <c r="U835" s="1352"/>
      <c r="V835" s="1352"/>
      <c r="W835" s="1352"/>
    </row>
    <row r="836" spans="1:23" s="1317" customFormat="1" ht="105" x14ac:dyDescent="0.25">
      <c r="A836" s="1400">
        <v>2022910</v>
      </c>
      <c r="B836" s="1401">
        <v>7658</v>
      </c>
      <c r="C836" s="1402" t="s">
        <v>679</v>
      </c>
      <c r="D836" s="1403" t="s">
        <v>692</v>
      </c>
      <c r="E836" s="1404">
        <v>80111600</v>
      </c>
      <c r="F836" s="1404" t="s">
        <v>1454</v>
      </c>
      <c r="G836" s="1406">
        <v>44866</v>
      </c>
      <c r="H836" s="1406">
        <v>44895</v>
      </c>
      <c r="I836" s="1407">
        <v>2</v>
      </c>
      <c r="J836" s="1407" t="s">
        <v>673</v>
      </c>
      <c r="K836" s="1408" t="s">
        <v>674</v>
      </c>
      <c r="L836" s="1409" t="s">
        <v>675</v>
      </c>
      <c r="M836" s="1410">
        <v>4500000</v>
      </c>
      <c r="N836" s="1411" t="s">
        <v>1035</v>
      </c>
      <c r="O836" s="1404" t="s">
        <v>1036</v>
      </c>
      <c r="P836" s="1413" t="s">
        <v>757</v>
      </c>
      <c r="R836" s="1352"/>
      <c r="S836" s="1352"/>
      <c r="T836" s="1352">
        <f>+Tabla16[[#This Row],[CDPS A 31 JULIO 2022]]-Tabla16[[#This Row],[CDP]]</f>
        <v>0</v>
      </c>
      <c r="U836" s="1352"/>
      <c r="V836" s="1352"/>
      <c r="W836" s="1352"/>
    </row>
    <row r="837" spans="1:23" s="1317" customFormat="1" ht="105" x14ac:dyDescent="0.25">
      <c r="A837" s="1400">
        <v>2022911</v>
      </c>
      <c r="B837" s="1401">
        <v>7658</v>
      </c>
      <c r="C837" s="1402" t="s">
        <v>679</v>
      </c>
      <c r="D837" s="1403" t="s">
        <v>692</v>
      </c>
      <c r="E837" s="1404">
        <v>80111600</v>
      </c>
      <c r="F837" s="1404" t="s">
        <v>1455</v>
      </c>
      <c r="G837" s="1406">
        <v>44866</v>
      </c>
      <c r="H837" s="1406">
        <v>44895</v>
      </c>
      <c r="I837" s="1407">
        <v>2</v>
      </c>
      <c r="J837" s="1407" t="s">
        <v>673</v>
      </c>
      <c r="K837" s="1408" t="s">
        <v>674</v>
      </c>
      <c r="L837" s="1409" t="s">
        <v>675</v>
      </c>
      <c r="M837" s="1410">
        <v>4900000</v>
      </c>
      <c r="N837" s="1411" t="s">
        <v>1035</v>
      </c>
      <c r="O837" s="1404" t="s">
        <v>1036</v>
      </c>
      <c r="P837" s="1413" t="s">
        <v>757</v>
      </c>
      <c r="R837" s="1352"/>
      <c r="S837" s="1352"/>
      <c r="T837" s="1352">
        <f>+Tabla16[[#This Row],[CDPS A 31 JULIO 2022]]-Tabla16[[#This Row],[CDP]]</f>
        <v>0</v>
      </c>
      <c r="U837" s="1352"/>
      <c r="V837" s="1352"/>
      <c r="W837" s="1352"/>
    </row>
    <row r="838" spans="1:23" s="1317" customFormat="1" ht="105" x14ac:dyDescent="0.25">
      <c r="A838" s="1400">
        <v>2022912</v>
      </c>
      <c r="B838" s="1401">
        <v>7658</v>
      </c>
      <c r="C838" s="1402" t="s">
        <v>679</v>
      </c>
      <c r="D838" s="1403" t="s">
        <v>692</v>
      </c>
      <c r="E838" s="1404">
        <v>80111600</v>
      </c>
      <c r="F838" s="1404" t="s">
        <v>1456</v>
      </c>
      <c r="G838" s="1406">
        <v>44866</v>
      </c>
      <c r="H838" s="1406">
        <v>44895</v>
      </c>
      <c r="I838" s="1407">
        <v>2</v>
      </c>
      <c r="J838" s="1407" t="s">
        <v>673</v>
      </c>
      <c r="K838" s="1408" t="s">
        <v>674</v>
      </c>
      <c r="L838" s="1409" t="s">
        <v>675</v>
      </c>
      <c r="M838" s="1410">
        <v>6600000</v>
      </c>
      <c r="N838" s="1411" t="s">
        <v>1035</v>
      </c>
      <c r="O838" s="1404" t="s">
        <v>1036</v>
      </c>
      <c r="P838" s="1413" t="s">
        <v>757</v>
      </c>
      <c r="R838" s="1352"/>
      <c r="S838" s="1352"/>
      <c r="T838" s="1352">
        <f>+Tabla16[[#This Row],[CDPS A 31 JULIO 2022]]-Tabla16[[#This Row],[CDP]]</f>
        <v>0</v>
      </c>
      <c r="U838" s="1352"/>
      <c r="V838" s="1352"/>
      <c r="W838" s="1352"/>
    </row>
    <row r="839" spans="1:23" s="1317" customFormat="1" ht="105" x14ac:dyDescent="0.25">
      <c r="A839" s="1400">
        <v>2022913</v>
      </c>
      <c r="B839" s="1401">
        <v>7658</v>
      </c>
      <c r="C839" s="1402" t="s">
        <v>679</v>
      </c>
      <c r="D839" s="1403" t="s">
        <v>692</v>
      </c>
      <c r="E839" s="1404">
        <v>80111600</v>
      </c>
      <c r="F839" s="1404" t="s">
        <v>1457</v>
      </c>
      <c r="G839" s="1406">
        <v>44866</v>
      </c>
      <c r="H839" s="1406">
        <v>44895</v>
      </c>
      <c r="I839" s="1407">
        <v>2</v>
      </c>
      <c r="J839" s="1407" t="s">
        <v>673</v>
      </c>
      <c r="K839" s="1408" t="s">
        <v>674</v>
      </c>
      <c r="L839" s="1409" t="s">
        <v>675</v>
      </c>
      <c r="M839" s="1410">
        <v>6400000</v>
      </c>
      <c r="N839" s="1411" t="s">
        <v>1035</v>
      </c>
      <c r="O839" s="1404" t="s">
        <v>1036</v>
      </c>
      <c r="P839" s="1413" t="s">
        <v>757</v>
      </c>
      <c r="R839" s="1352"/>
      <c r="S839" s="1352"/>
      <c r="T839" s="1352">
        <f>+Tabla16[[#This Row],[CDPS A 31 JULIO 2022]]-Tabla16[[#This Row],[CDP]]</f>
        <v>0</v>
      </c>
      <c r="U839" s="1352"/>
      <c r="V839" s="1352"/>
      <c r="W839" s="1352"/>
    </row>
    <row r="840" spans="1:23" s="1317" customFormat="1" ht="105" x14ac:dyDescent="0.25">
      <c r="A840" s="1400">
        <v>2022914</v>
      </c>
      <c r="B840" s="1401">
        <v>7658</v>
      </c>
      <c r="C840" s="1402" t="s">
        <v>679</v>
      </c>
      <c r="D840" s="1403" t="s">
        <v>692</v>
      </c>
      <c r="E840" s="1404">
        <v>80111600</v>
      </c>
      <c r="F840" s="1404" t="s">
        <v>1458</v>
      </c>
      <c r="G840" s="1406">
        <v>44866</v>
      </c>
      <c r="H840" s="1406">
        <v>44895</v>
      </c>
      <c r="I840" s="1407">
        <v>2</v>
      </c>
      <c r="J840" s="1407" t="s">
        <v>673</v>
      </c>
      <c r="K840" s="1408" t="s">
        <v>674</v>
      </c>
      <c r="L840" s="1409" t="s">
        <v>675</v>
      </c>
      <c r="M840" s="1410">
        <v>4900000</v>
      </c>
      <c r="N840" s="1411" t="s">
        <v>1035</v>
      </c>
      <c r="O840" s="1404" t="s">
        <v>1036</v>
      </c>
      <c r="P840" s="1413" t="s">
        <v>757</v>
      </c>
      <c r="R840" s="1352"/>
      <c r="S840" s="1352"/>
      <c r="T840" s="1352">
        <f>+Tabla16[[#This Row],[CDPS A 31 JULIO 2022]]-Tabla16[[#This Row],[CDP]]</f>
        <v>0</v>
      </c>
      <c r="U840" s="1352"/>
      <c r="V840" s="1352"/>
      <c r="W840" s="1352"/>
    </row>
    <row r="841" spans="1:23" s="1317" customFormat="1" ht="105" x14ac:dyDescent="0.25">
      <c r="A841" s="1400">
        <v>2022915</v>
      </c>
      <c r="B841" s="1401">
        <v>7658</v>
      </c>
      <c r="C841" s="1402" t="s">
        <v>679</v>
      </c>
      <c r="D841" s="1403" t="s">
        <v>692</v>
      </c>
      <c r="E841" s="1404">
        <v>80111600</v>
      </c>
      <c r="F841" s="1404" t="s">
        <v>1459</v>
      </c>
      <c r="G841" s="1406">
        <v>44866</v>
      </c>
      <c r="H841" s="1406">
        <v>44895</v>
      </c>
      <c r="I841" s="1407">
        <v>2</v>
      </c>
      <c r="J841" s="1407" t="s">
        <v>673</v>
      </c>
      <c r="K841" s="1408" t="s">
        <v>674</v>
      </c>
      <c r="L841" s="1409" t="s">
        <v>675</v>
      </c>
      <c r="M841" s="1410">
        <v>4900000</v>
      </c>
      <c r="N841" s="1411" t="s">
        <v>1035</v>
      </c>
      <c r="O841" s="1404" t="s">
        <v>1036</v>
      </c>
      <c r="P841" s="1413" t="s">
        <v>757</v>
      </c>
      <c r="R841" s="1352"/>
      <c r="S841" s="1352"/>
      <c r="T841" s="1352">
        <f>+Tabla16[[#This Row],[CDPS A 31 JULIO 2022]]-Tabla16[[#This Row],[CDP]]</f>
        <v>0</v>
      </c>
      <c r="U841" s="1352"/>
      <c r="V841" s="1352"/>
      <c r="W841" s="1352"/>
    </row>
    <row r="842" spans="1:23" s="1317" customFormat="1" ht="105" x14ac:dyDescent="0.25">
      <c r="A842" s="1400">
        <v>2022916</v>
      </c>
      <c r="B842" s="1401">
        <v>7658</v>
      </c>
      <c r="C842" s="1402" t="s">
        <v>679</v>
      </c>
      <c r="D842" s="1403" t="s">
        <v>692</v>
      </c>
      <c r="E842" s="1404">
        <v>80111600</v>
      </c>
      <c r="F842" s="1404" t="s">
        <v>1460</v>
      </c>
      <c r="G842" s="1406">
        <v>44866</v>
      </c>
      <c r="H842" s="1406">
        <v>44895</v>
      </c>
      <c r="I842" s="1407">
        <v>2</v>
      </c>
      <c r="J842" s="1407" t="s">
        <v>673</v>
      </c>
      <c r="K842" s="1408" t="s">
        <v>674</v>
      </c>
      <c r="L842" s="1409" t="s">
        <v>675</v>
      </c>
      <c r="M842" s="1410">
        <v>4900000</v>
      </c>
      <c r="N842" s="1411" t="s">
        <v>1035</v>
      </c>
      <c r="O842" s="1404" t="s">
        <v>1036</v>
      </c>
      <c r="P842" s="1413" t="s">
        <v>757</v>
      </c>
      <c r="R842" s="1352"/>
      <c r="S842" s="1352"/>
      <c r="T842" s="1352">
        <f>+Tabla16[[#This Row],[CDPS A 31 JULIO 2022]]-Tabla16[[#This Row],[CDP]]</f>
        <v>0</v>
      </c>
      <c r="U842" s="1352"/>
      <c r="V842" s="1352"/>
      <c r="W842" s="1352"/>
    </row>
    <row r="843" spans="1:23" s="1317" customFormat="1" ht="105" x14ac:dyDescent="0.25">
      <c r="A843" s="1400">
        <v>2022917</v>
      </c>
      <c r="B843" s="1401">
        <v>7658</v>
      </c>
      <c r="C843" s="1402" t="s">
        <v>679</v>
      </c>
      <c r="D843" s="1403" t="s">
        <v>692</v>
      </c>
      <c r="E843" s="1404">
        <v>80111600</v>
      </c>
      <c r="F843" s="1404" t="s">
        <v>1461</v>
      </c>
      <c r="G843" s="1406">
        <v>44866</v>
      </c>
      <c r="H843" s="1406">
        <v>44895</v>
      </c>
      <c r="I843" s="1407">
        <v>2</v>
      </c>
      <c r="J843" s="1407" t="s">
        <v>673</v>
      </c>
      <c r="K843" s="1408" t="s">
        <v>674</v>
      </c>
      <c r="L843" s="1409" t="s">
        <v>675</v>
      </c>
      <c r="M843" s="1410">
        <v>3600000</v>
      </c>
      <c r="N843" s="1411" t="s">
        <v>1035</v>
      </c>
      <c r="O843" s="1404" t="s">
        <v>1036</v>
      </c>
      <c r="P843" s="1413" t="s">
        <v>757</v>
      </c>
      <c r="R843" s="1352"/>
      <c r="S843" s="1352"/>
      <c r="T843" s="1352">
        <f>+Tabla16[[#This Row],[CDPS A 31 JULIO 2022]]-Tabla16[[#This Row],[CDP]]</f>
        <v>0</v>
      </c>
      <c r="U843" s="1352"/>
      <c r="V843" s="1352"/>
      <c r="W843" s="1352"/>
    </row>
    <row r="844" spans="1:23" s="1317" customFormat="1" ht="105" x14ac:dyDescent="0.25">
      <c r="A844" s="1400">
        <v>2022918</v>
      </c>
      <c r="B844" s="1401">
        <v>7658</v>
      </c>
      <c r="C844" s="1402" t="s">
        <v>679</v>
      </c>
      <c r="D844" s="1403" t="s">
        <v>692</v>
      </c>
      <c r="E844" s="1404">
        <v>80111600</v>
      </c>
      <c r="F844" s="1404" t="s">
        <v>1462</v>
      </c>
      <c r="G844" s="1406">
        <v>44866</v>
      </c>
      <c r="H844" s="1406">
        <v>44895</v>
      </c>
      <c r="I844" s="1407">
        <v>2</v>
      </c>
      <c r="J844" s="1407" t="s">
        <v>673</v>
      </c>
      <c r="K844" s="1408" t="s">
        <v>674</v>
      </c>
      <c r="L844" s="1409" t="s">
        <v>675</v>
      </c>
      <c r="M844" s="1410">
        <v>4900000</v>
      </c>
      <c r="N844" s="1411" t="s">
        <v>1035</v>
      </c>
      <c r="O844" s="1404" t="s">
        <v>1036</v>
      </c>
      <c r="P844" s="1413" t="s">
        <v>757</v>
      </c>
      <c r="R844" s="1352"/>
      <c r="S844" s="1352"/>
      <c r="T844" s="1352">
        <f>+Tabla16[[#This Row],[CDPS A 31 JULIO 2022]]-Tabla16[[#This Row],[CDP]]</f>
        <v>0</v>
      </c>
      <c r="U844" s="1352"/>
      <c r="V844" s="1352"/>
      <c r="W844" s="1352"/>
    </row>
    <row r="845" spans="1:23" s="1317" customFormat="1" ht="105" x14ac:dyDescent="0.25">
      <c r="A845" s="1400">
        <v>2022919</v>
      </c>
      <c r="B845" s="1401">
        <v>7658</v>
      </c>
      <c r="C845" s="1402" t="s">
        <v>679</v>
      </c>
      <c r="D845" s="1403" t="s">
        <v>692</v>
      </c>
      <c r="E845" s="1404">
        <v>80111600</v>
      </c>
      <c r="F845" s="1404" t="s">
        <v>1463</v>
      </c>
      <c r="G845" s="1406">
        <v>44866</v>
      </c>
      <c r="H845" s="1406">
        <v>44895</v>
      </c>
      <c r="I845" s="1407">
        <v>2</v>
      </c>
      <c r="J845" s="1407" t="s">
        <v>673</v>
      </c>
      <c r="K845" s="1408" t="s">
        <v>674</v>
      </c>
      <c r="L845" s="1409" t="s">
        <v>675</v>
      </c>
      <c r="M845" s="1410">
        <v>5700000</v>
      </c>
      <c r="N845" s="1411" t="s">
        <v>1035</v>
      </c>
      <c r="O845" s="1404" t="s">
        <v>1036</v>
      </c>
      <c r="P845" s="1413" t="s">
        <v>757</v>
      </c>
      <c r="R845" s="1352"/>
      <c r="S845" s="1352"/>
      <c r="T845" s="1352">
        <f>+Tabla16[[#This Row],[CDPS A 31 JULIO 2022]]-Tabla16[[#This Row],[CDP]]</f>
        <v>0</v>
      </c>
      <c r="U845" s="1352"/>
      <c r="V845" s="1352"/>
      <c r="W845" s="1352"/>
    </row>
    <row r="846" spans="1:23" s="1317" customFormat="1" ht="105" x14ac:dyDescent="0.25">
      <c r="A846" s="1400">
        <v>2022920</v>
      </c>
      <c r="B846" s="1401">
        <v>7658</v>
      </c>
      <c r="C846" s="1402" t="s">
        <v>679</v>
      </c>
      <c r="D846" s="1403" t="s">
        <v>692</v>
      </c>
      <c r="E846" s="1404">
        <v>80111600</v>
      </c>
      <c r="F846" s="1404" t="s">
        <v>1464</v>
      </c>
      <c r="G846" s="1406">
        <v>44866</v>
      </c>
      <c r="H846" s="1406">
        <v>44895</v>
      </c>
      <c r="I846" s="1407">
        <v>2</v>
      </c>
      <c r="J846" s="1407" t="s">
        <v>673</v>
      </c>
      <c r="K846" s="1408" t="s">
        <v>674</v>
      </c>
      <c r="L846" s="1409" t="s">
        <v>675</v>
      </c>
      <c r="M846" s="1410">
        <v>4635000</v>
      </c>
      <c r="N846" s="1411" t="s">
        <v>1035</v>
      </c>
      <c r="O846" s="1404" t="s">
        <v>1036</v>
      </c>
      <c r="P846" s="1413" t="s">
        <v>757</v>
      </c>
      <c r="R846" s="1352"/>
      <c r="S846" s="1352"/>
      <c r="T846" s="1352">
        <f>+Tabla16[[#This Row],[CDPS A 31 JULIO 2022]]-Tabla16[[#This Row],[CDP]]</f>
        <v>0</v>
      </c>
      <c r="U846" s="1352"/>
      <c r="V846" s="1352"/>
      <c r="W846" s="1352"/>
    </row>
    <row r="847" spans="1:23" s="1317" customFormat="1" ht="105" x14ac:dyDescent="0.25">
      <c r="A847" s="1400">
        <v>2022921</v>
      </c>
      <c r="B847" s="1401">
        <v>7658</v>
      </c>
      <c r="C847" s="1402" t="s">
        <v>679</v>
      </c>
      <c r="D847" s="1403" t="s">
        <v>692</v>
      </c>
      <c r="E847" s="1404">
        <v>80111600</v>
      </c>
      <c r="F847" s="1404" t="s">
        <v>1465</v>
      </c>
      <c r="G847" s="1406">
        <v>44866</v>
      </c>
      <c r="H847" s="1406">
        <v>44895</v>
      </c>
      <c r="I847" s="1407">
        <v>2</v>
      </c>
      <c r="J847" s="1407" t="s">
        <v>673</v>
      </c>
      <c r="K847" s="1408" t="s">
        <v>674</v>
      </c>
      <c r="L847" s="1409" t="s">
        <v>675</v>
      </c>
      <c r="M847" s="1410">
        <v>4500000</v>
      </c>
      <c r="N847" s="1411" t="s">
        <v>1035</v>
      </c>
      <c r="O847" s="1404" t="s">
        <v>1036</v>
      </c>
      <c r="P847" s="1413" t="s">
        <v>757</v>
      </c>
      <c r="R847" s="1352"/>
      <c r="S847" s="1352"/>
      <c r="T847" s="1352">
        <f>+Tabla16[[#This Row],[CDPS A 31 JULIO 2022]]-Tabla16[[#This Row],[CDP]]</f>
        <v>0</v>
      </c>
      <c r="U847" s="1352"/>
      <c r="V847" s="1352"/>
      <c r="W847" s="1352"/>
    </row>
    <row r="848" spans="1:23" s="1317" customFormat="1" ht="105" x14ac:dyDescent="0.25">
      <c r="A848" s="1400">
        <v>2022922</v>
      </c>
      <c r="B848" s="1401">
        <v>7658</v>
      </c>
      <c r="C848" s="1402" t="s">
        <v>679</v>
      </c>
      <c r="D848" s="1403" t="s">
        <v>692</v>
      </c>
      <c r="E848" s="1404">
        <v>80111600</v>
      </c>
      <c r="F848" s="1404" t="s">
        <v>1466</v>
      </c>
      <c r="G848" s="1406">
        <v>44866</v>
      </c>
      <c r="H848" s="1406">
        <v>44895</v>
      </c>
      <c r="I848" s="1407">
        <v>2</v>
      </c>
      <c r="J848" s="1407" t="s">
        <v>673</v>
      </c>
      <c r="K848" s="1408" t="s">
        <v>674</v>
      </c>
      <c r="L848" s="1409" t="s">
        <v>675</v>
      </c>
      <c r="M848" s="1410">
        <v>5700000</v>
      </c>
      <c r="N848" s="1411" t="s">
        <v>1035</v>
      </c>
      <c r="O848" s="1404" t="s">
        <v>1036</v>
      </c>
      <c r="P848" s="1413" t="s">
        <v>757</v>
      </c>
      <c r="R848" s="1352"/>
      <c r="S848" s="1352"/>
      <c r="T848" s="1352">
        <f>+Tabla16[[#This Row],[CDPS A 31 JULIO 2022]]-Tabla16[[#This Row],[CDP]]</f>
        <v>0</v>
      </c>
      <c r="U848" s="1352"/>
      <c r="V848" s="1352"/>
      <c r="W848" s="1352"/>
    </row>
    <row r="849" spans="1:23" s="1317" customFormat="1" ht="105" x14ac:dyDescent="0.25">
      <c r="A849" s="1400">
        <v>2022923</v>
      </c>
      <c r="B849" s="1401">
        <v>7658</v>
      </c>
      <c r="C849" s="1402" t="s">
        <v>679</v>
      </c>
      <c r="D849" s="1403" t="s">
        <v>692</v>
      </c>
      <c r="E849" s="1404">
        <v>80111600</v>
      </c>
      <c r="F849" s="1404" t="s">
        <v>1467</v>
      </c>
      <c r="G849" s="1406">
        <v>44866</v>
      </c>
      <c r="H849" s="1406">
        <v>44895</v>
      </c>
      <c r="I849" s="1407">
        <v>2</v>
      </c>
      <c r="J849" s="1407" t="s">
        <v>673</v>
      </c>
      <c r="K849" s="1408" t="s">
        <v>674</v>
      </c>
      <c r="L849" s="1409" t="s">
        <v>675</v>
      </c>
      <c r="M849" s="1410">
        <v>9700000</v>
      </c>
      <c r="N849" s="1411" t="s">
        <v>1035</v>
      </c>
      <c r="O849" s="1404" t="s">
        <v>1036</v>
      </c>
      <c r="P849" s="1413" t="s">
        <v>757</v>
      </c>
      <c r="R849" s="1352"/>
      <c r="S849" s="1352"/>
      <c r="T849" s="1352">
        <f>+Tabla16[[#This Row],[CDPS A 31 JULIO 2022]]-Tabla16[[#This Row],[CDP]]</f>
        <v>0</v>
      </c>
      <c r="U849" s="1352"/>
      <c r="V849" s="1352"/>
      <c r="W849" s="1352"/>
    </row>
    <row r="850" spans="1:23" s="1317" customFormat="1" ht="105" x14ac:dyDescent="0.25">
      <c r="A850" s="1400">
        <v>2022924</v>
      </c>
      <c r="B850" s="1401">
        <v>7658</v>
      </c>
      <c r="C850" s="1402" t="s">
        <v>679</v>
      </c>
      <c r="D850" s="1403" t="s">
        <v>692</v>
      </c>
      <c r="E850" s="1404">
        <v>80111600</v>
      </c>
      <c r="F850" s="1404" t="s">
        <v>1468</v>
      </c>
      <c r="G850" s="1406">
        <v>44866</v>
      </c>
      <c r="H850" s="1406">
        <v>44895</v>
      </c>
      <c r="I850" s="1407">
        <v>2</v>
      </c>
      <c r="J850" s="1407" t="s">
        <v>673</v>
      </c>
      <c r="K850" s="1408" t="s">
        <v>674</v>
      </c>
      <c r="L850" s="1409" t="s">
        <v>675</v>
      </c>
      <c r="M850" s="1410">
        <v>4850000</v>
      </c>
      <c r="N850" s="1411" t="s">
        <v>1035</v>
      </c>
      <c r="O850" s="1404" t="s">
        <v>1036</v>
      </c>
      <c r="P850" s="1413" t="s">
        <v>757</v>
      </c>
      <c r="R850" s="1352"/>
      <c r="S850" s="1352"/>
      <c r="T850" s="1352">
        <f>+Tabla16[[#This Row],[CDPS A 31 JULIO 2022]]-Tabla16[[#This Row],[CDP]]</f>
        <v>0</v>
      </c>
      <c r="U850" s="1352"/>
      <c r="V850" s="1352"/>
      <c r="W850" s="1352"/>
    </row>
    <row r="851" spans="1:23" s="1317" customFormat="1" ht="105" x14ac:dyDescent="0.25">
      <c r="A851" s="1400">
        <v>2022925</v>
      </c>
      <c r="B851" s="1401">
        <v>7658</v>
      </c>
      <c r="C851" s="1402" t="s">
        <v>679</v>
      </c>
      <c r="D851" s="1403" t="s">
        <v>692</v>
      </c>
      <c r="E851" s="1404">
        <v>80111600</v>
      </c>
      <c r="F851" s="1404" t="s">
        <v>1469</v>
      </c>
      <c r="G851" s="1406">
        <v>44866</v>
      </c>
      <c r="H851" s="1406">
        <v>44895</v>
      </c>
      <c r="I851" s="1407">
        <v>2</v>
      </c>
      <c r="J851" s="1407" t="s">
        <v>673</v>
      </c>
      <c r="K851" s="1408" t="s">
        <v>674</v>
      </c>
      <c r="L851" s="1409" t="s">
        <v>675</v>
      </c>
      <c r="M851" s="1410">
        <v>5500000</v>
      </c>
      <c r="N851" s="1411" t="s">
        <v>1035</v>
      </c>
      <c r="O851" s="1404" t="s">
        <v>1036</v>
      </c>
      <c r="P851" s="1413" t="s">
        <v>757</v>
      </c>
      <c r="R851" s="1352"/>
      <c r="S851" s="1352"/>
      <c r="T851" s="1352">
        <f>+Tabla16[[#This Row],[CDPS A 31 JULIO 2022]]-Tabla16[[#This Row],[CDP]]</f>
        <v>0</v>
      </c>
      <c r="U851" s="1352"/>
      <c r="V851" s="1352"/>
      <c r="W851" s="1352"/>
    </row>
    <row r="852" spans="1:23" s="1317" customFormat="1" ht="105" x14ac:dyDescent="0.25">
      <c r="A852" s="1400">
        <v>2022926</v>
      </c>
      <c r="B852" s="1401">
        <v>7658</v>
      </c>
      <c r="C852" s="1402" t="s">
        <v>679</v>
      </c>
      <c r="D852" s="1403" t="s">
        <v>692</v>
      </c>
      <c r="E852" s="1404">
        <v>80111600</v>
      </c>
      <c r="F852" s="1404" t="s">
        <v>1470</v>
      </c>
      <c r="G852" s="1406">
        <v>44866</v>
      </c>
      <c r="H852" s="1406">
        <v>44895</v>
      </c>
      <c r="I852" s="1407">
        <v>2</v>
      </c>
      <c r="J852" s="1407" t="s">
        <v>673</v>
      </c>
      <c r="K852" s="1408" t="s">
        <v>674</v>
      </c>
      <c r="L852" s="1409" t="s">
        <v>675</v>
      </c>
      <c r="M852" s="1410">
        <v>5500000</v>
      </c>
      <c r="N852" s="1411" t="s">
        <v>1035</v>
      </c>
      <c r="O852" s="1404" t="s">
        <v>1036</v>
      </c>
      <c r="P852" s="1413" t="s">
        <v>757</v>
      </c>
      <c r="R852" s="1352"/>
      <c r="S852" s="1352"/>
      <c r="T852" s="1352">
        <f>+Tabla16[[#This Row],[CDPS A 31 JULIO 2022]]-Tabla16[[#This Row],[CDP]]</f>
        <v>0</v>
      </c>
      <c r="U852" s="1352"/>
      <c r="V852" s="1352"/>
      <c r="W852" s="1352"/>
    </row>
    <row r="853" spans="1:23" s="1317" customFormat="1" ht="105" x14ac:dyDescent="0.25">
      <c r="A853" s="1400">
        <v>2022927</v>
      </c>
      <c r="B853" s="1401">
        <v>7658</v>
      </c>
      <c r="C853" s="1402" t="s">
        <v>679</v>
      </c>
      <c r="D853" s="1403" t="s">
        <v>692</v>
      </c>
      <c r="E853" s="1404">
        <v>80111600</v>
      </c>
      <c r="F853" s="1404" t="s">
        <v>1471</v>
      </c>
      <c r="G853" s="1406">
        <v>44866</v>
      </c>
      <c r="H853" s="1406">
        <v>44895</v>
      </c>
      <c r="I853" s="1407">
        <v>2</v>
      </c>
      <c r="J853" s="1407" t="s">
        <v>673</v>
      </c>
      <c r="K853" s="1408" t="s">
        <v>674</v>
      </c>
      <c r="L853" s="1409" t="s">
        <v>675</v>
      </c>
      <c r="M853" s="1410">
        <v>4850000</v>
      </c>
      <c r="N853" s="1411" t="s">
        <v>1035</v>
      </c>
      <c r="O853" s="1404" t="s">
        <v>1036</v>
      </c>
      <c r="P853" s="1413" t="s">
        <v>757</v>
      </c>
      <c r="R853" s="1352"/>
      <c r="S853" s="1352"/>
      <c r="T853" s="1352">
        <f>+Tabla16[[#This Row],[CDPS A 31 JULIO 2022]]-Tabla16[[#This Row],[CDP]]</f>
        <v>0</v>
      </c>
      <c r="U853" s="1352"/>
      <c r="V853" s="1352"/>
      <c r="W853" s="1352"/>
    </row>
    <row r="854" spans="1:23" s="1317" customFormat="1" ht="105" x14ac:dyDescent="0.25">
      <c r="A854" s="1400">
        <v>2022928</v>
      </c>
      <c r="B854" s="1401">
        <v>7658</v>
      </c>
      <c r="C854" s="1402" t="s">
        <v>679</v>
      </c>
      <c r="D854" s="1403" t="s">
        <v>692</v>
      </c>
      <c r="E854" s="1404">
        <v>80111600</v>
      </c>
      <c r="F854" s="1404" t="s">
        <v>1472</v>
      </c>
      <c r="G854" s="1406">
        <v>44866</v>
      </c>
      <c r="H854" s="1406">
        <v>44895</v>
      </c>
      <c r="I854" s="1407">
        <v>2</v>
      </c>
      <c r="J854" s="1407" t="s">
        <v>673</v>
      </c>
      <c r="K854" s="1408" t="s">
        <v>674</v>
      </c>
      <c r="L854" s="1409" t="s">
        <v>675</v>
      </c>
      <c r="M854" s="1410">
        <v>9000000</v>
      </c>
      <c r="N854" s="1411" t="s">
        <v>1035</v>
      </c>
      <c r="O854" s="1404" t="s">
        <v>1036</v>
      </c>
      <c r="P854" s="1413" t="s">
        <v>757</v>
      </c>
      <c r="R854" s="1352"/>
      <c r="S854" s="1352"/>
      <c r="T854" s="1352">
        <f>+Tabla16[[#This Row],[CDPS A 31 JULIO 2022]]-Tabla16[[#This Row],[CDP]]</f>
        <v>0</v>
      </c>
      <c r="U854" s="1352"/>
      <c r="V854" s="1352"/>
      <c r="W854" s="1352"/>
    </row>
    <row r="855" spans="1:23" s="1317" customFormat="1" ht="105" x14ac:dyDescent="0.25">
      <c r="A855" s="1400">
        <v>2022929</v>
      </c>
      <c r="B855" s="1401">
        <v>7658</v>
      </c>
      <c r="C855" s="1402" t="s">
        <v>679</v>
      </c>
      <c r="D855" s="1403" t="s">
        <v>692</v>
      </c>
      <c r="E855" s="1404">
        <v>80111600</v>
      </c>
      <c r="F855" s="1404" t="s">
        <v>1473</v>
      </c>
      <c r="G855" s="1406">
        <v>44866</v>
      </c>
      <c r="H855" s="1406">
        <v>44895</v>
      </c>
      <c r="I855" s="1407">
        <v>2</v>
      </c>
      <c r="J855" s="1407" t="s">
        <v>673</v>
      </c>
      <c r="K855" s="1408" t="s">
        <v>674</v>
      </c>
      <c r="L855" s="1409" t="s">
        <v>675</v>
      </c>
      <c r="M855" s="1410">
        <v>9700000</v>
      </c>
      <c r="N855" s="1411" t="s">
        <v>1035</v>
      </c>
      <c r="O855" s="1404" t="s">
        <v>1036</v>
      </c>
      <c r="P855" s="1413" t="s">
        <v>757</v>
      </c>
      <c r="R855" s="1352"/>
      <c r="S855" s="1352"/>
      <c r="T855" s="1352">
        <f>+Tabla16[[#This Row],[CDPS A 31 JULIO 2022]]-Tabla16[[#This Row],[CDP]]</f>
        <v>0</v>
      </c>
      <c r="U855" s="1352"/>
      <c r="V855" s="1352"/>
      <c r="W855" s="1352"/>
    </row>
    <row r="856" spans="1:23" s="1317" customFormat="1" ht="105" x14ac:dyDescent="0.25">
      <c r="A856" s="1400">
        <v>2022930</v>
      </c>
      <c r="B856" s="1401">
        <v>7658</v>
      </c>
      <c r="C856" s="1402" t="s">
        <v>679</v>
      </c>
      <c r="D856" s="1403" t="s">
        <v>692</v>
      </c>
      <c r="E856" s="1404">
        <v>80111600</v>
      </c>
      <c r="F856" s="1404" t="s">
        <v>1474</v>
      </c>
      <c r="G856" s="1406">
        <v>44866</v>
      </c>
      <c r="H856" s="1406">
        <v>44895</v>
      </c>
      <c r="I856" s="1407">
        <v>2</v>
      </c>
      <c r="J856" s="1407" t="s">
        <v>673</v>
      </c>
      <c r="K856" s="1408" t="s">
        <v>674</v>
      </c>
      <c r="L856" s="1409" t="s">
        <v>675</v>
      </c>
      <c r="M856" s="1410">
        <v>6700000</v>
      </c>
      <c r="N856" s="1411" t="s">
        <v>1035</v>
      </c>
      <c r="O856" s="1404" t="s">
        <v>1036</v>
      </c>
      <c r="P856" s="1413" t="s">
        <v>757</v>
      </c>
      <c r="R856" s="1352"/>
      <c r="S856" s="1352"/>
      <c r="T856" s="1352">
        <f>+Tabla16[[#This Row],[CDPS A 31 JULIO 2022]]-Tabla16[[#This Row],[CDP]]</f>
        <v>0</v>
      </c>
      <c r="U856" s="1352"/>
      <c r="V856" s="1352"/>
      <c r="W856" s="1352"/>
    </row>
    <row r="857" spans="1:23" s="1317" customFormat="1" ht="105" x14ac:dyDescent="0.25">
      <c r="A857" s="1400">
        <v>2022931</v>
      </c>
      <c r="B857" s="1401">
        <v>7658</v>
      </c>
      <c r="C857" s="1402" t="s">
        <v>679</v>
      </c>
      <c r="D857" s="1403" t="s">
        <v>692</v>
      </c>
      <c r="E857" s="1404">
        <v>80111600</v>
      </c>
      <c r="F857" s="1404" t="s">
        <v>1079</v>
      </c>
      <c r="G857" s="1406">
        <v>44866</v>
      </c>
      <c r="H857" s="1406">
        <v>44895</v>
      </c>
      <c r="I857" s="1407">
        <v>2</v>
      </c>
      <c r="J857" s="1407" t="s">
        <v>673</v>
      </c>
      <c r="K857" s="1408" t="s">
        <v>674</v>
      </c>
      <c r="L857" s="1409" t="s">
        <v>675</v>
      </c>
      <c r="M857" s="1410">
        <v>9700000</v>
      </c>
      <c r="N857" s="1411" t="s">
        <v>1035</v>
      </c>
      <c r="O857" s="1404" t="s">
        <v>1036</v>
      </c>
      <c r="P857" s="1413" t="s">
        <v>678</v>
      </c>
      <c r="R857" s="1352"/>
      <c r="S857" s="1352"/>
      <c r="T857" s="1352">
        <f>+Tabla16[[#This Row],[CDPS A 31 JULIO 2022]]-Tabla16[[#This Row],[CDP]]</f>
        <v>0</v>
      </c>
      <c r="U857" s="1352"/>
      <c r="V857" s="1352"/>
      <c r="W857" s="1352"/>
    </row>
    <row r="858" spans="1:23" s="1317" customFormat="1" ht="105" x14ac:dyDescent="0.25">
      <c r="A858" s="1400">
        <v>2022932</v>
      </c>
      <c r="B858" s="1401">
        <v>7658</v>
      </c>
      <c r="C858" s="1402" t="s">
        <v>679</v>
      </c>
      <c r="D858" s="1403" t="s">
        <v>692</v>
      </c>
      <c r="E858" s="1404">
        <v>80111600</v>
      </c>
      <c r="F858" s="1404" t="s">
        <v>1475</v>
      </c>
      <c r="G858" s="1406">
        <v>44866</v>
      </c>
      <c r="H858" s="1406">
        <v>44895</v>
      </c>
      <c r="I858" s="1407">
        <v>2</v>
      </c>
      <c r="J858" s="1407" t="s">
        <v>673</v>
      </c>
      <c r="K858" s="1408" t="s">
        <v>674</v>
      </c>
      <c r="L858" s="1409" t="s">
        <v>675</v>
      </c>
      <c r="M858" s="1410">
        <v>4500000</v>
      </c>
      <c r="N858" s="1411" t="s">
        <v>1035</v>
      </c>
      <c r="O858" s="1404" t="s">
        <v>1036</v>
      </c>
      <c r="P858" s="1413" t="s">
        <v>757</v>
      </c>
      <c r="R858" s="1352"/>
      <c r="S858" s="1352"/>
      <c r="T858" s="1352">
        <f>+Tabla16[[#This Row],[CDPS A 31 JULIO 2022]]-Tabla16[[#This Row],[CDP]]</f>
        <v>0</v>
      </c>
      <c r="U858" s="1352"/>
      <c r="V858" s="1352"/>
      <c r="W858" s="1352"/>
    </row>
    <row r="859" spans="1:23" s="1317" customFormat="1" ht="105" x14ac:dyDescent="0.25">
      <c r="A859" s="1400">
        <v>2022933</v>
      </c>
      <c r="B859" s="1401">
        <v>7658</v>
      </c>
      <c r="C859" s="1402" t="s">
        <v>679</v>
      </c>
      <c r="D859" s="1403" t="s">
        <v>692</v>
      </c>
      <c r="E859" s="1404">
        <v>80111600</v>
      </c>
      <c r="F859" s="1404" t="s">
        <v>1476</v>
      </c>
      <c r="G859" s="1406">
        <v>44866</v>
      </c>
      <c r="H859" s="1406">
        <v>44895</v>
      </c>
      <c r="I859" s="1407">
        <v>2</v>
      </c>
      <c r="J859" s="1407" t="s">
        <v>673</v>
      </c>
      <c r="K859" s="1408" t="s">
        <v>674</v>
      </c>
      <c r="L859" s="1409" t="s">
        <v>675</v>
      </c>
      <c r="M859" s="1410">
        <v>14420000</v>
      </c>
      <c r="N859" s="1411" t="s">
        <v>1035</v>
      </c>
      <c r="O859" s="1404" t="s">
        <v>1036</v>
      </c>
      <c r="P859" s="1413" t="s">
        <v>757</v>
      </c>
      <c r="R859" s="1352"/>
      <c r="S859" s="1352"/>
      <c r="T859" s="1352">
        <f>+Tabla16[[#This Row],[CDPS A 31 JULIO 2022]]-Tabla16[[#This Row],[CDP]]</f>
        <v>0</v>
      </c>
      <c r="U859" s="1352"/>
      <c r="V859" s="1352"/>
      <c r="W859" s="1352"/>
    </row>
    <row r="860" spans="1:23" s="1317" customFormat="1" ht="105" x14ac:dyDescent="0.25">
      <c r="A860" s="1400">
        <v>2022934</v>
      </c>
      <c r="B860" s="1401">
        <v>7658</v>
      </c>
      <c r="C860" s="1402" t="s">
        <v>679</v>
      </c>
      <c r="D860" s="1403" t="s">
        <v>692</v>
      </c>
      <c r="E860" s="1404">
        <v>80111600</v>
      </c>
      <c r="F860" s="1404" t="s">
        <v>1477</v>
      </c>
      <c r="G860" s="1406">
        <v>44866</v>
      </c>
      <c r="H860" s="1406">
        <v>44895</v>
      </c>
      <c r="I860" s="1407">
        <v>2</v>
      </c>
      <c r="J860" s="1407" t="s">
        <v>673</v>
      </c>
      <c r="K860" s="1408" t="s">
        <v>674</v>
      </c>
      <c r="L860" s="1409" t="s">
        <v>675</v>
      </c>
      <c r="M860" s="1410">
        <v>3850000</v>
      </c>
      <c r="N860" s="1411" t="s">
        <v>1035</v>
      </c>
      <c r="O860" s="1404" t="s">
        <v>1036</v>
      </c>
      <c r="P860" s="1413" t="s">
        <v>757</v>
      </c>
      <c r="R860" s="1352"/>
      <c r="S860" s="1352"/>
      <c r="T860" s="1352">
        <f>+Tabla16[[#This Row],[CDPS A 31 JULIO 2022]]-Tabla16[[#This Row],[CDP]]</f>
        <v>0</v>
      </c>
      <c r="U860" s="1352"/>
      <c r="V860" s="1352"/>
      <c r="W860" s="1352"/>
    </row>
    <row r="861" spans="1:23" s="1317" customFormat="1" ht="105" x14ac:dyDescent="0.25">
      <c r="A861" s="1400">
        <v>2022935</v>
      </c>
      <c r="B861" s="1401">
        <v>7658</v>
      </c>
      <c r="C861" s="1402" t="s">
        <v>679</v>
      </c>
      <c r="D861" s="1403" t="s">
        <v>692</v>
      </c>
      <c r="E861" s="1404">
        <v>80111600</v>
      </c>
      <c r="F861" s="1404" t="s">
        <v>1478</v>
      </c>
      <c r="G861" s="1406">
        <v>44866</v>
      </c>
      <c r="H861" s="1406">
        <v>44895</v>
      </c>
      <c r="I861" s="1407">
        <v>2</v>
      </c>
      <c r="J861" s="1407" t="s">
        <v>673</v>
      </c>
      <c r="K861" s="1408" t="s">
        <v>674</v>
      </c>
      <c r="L861" s="1409" t="s">
        <v>675</v>
      </c>
      <c r="M861" s="1410">
        <v>2750000</v>
      </c>
      <c r="N861" s="1411" t="s">
        <v>1035</v>
      </c>
      <c r="O861" s="1404" t="s">
        <v>1036</v>
      </c>
      <c r="P861" s="1413" t="s">
        <v>757</v>
      </c>
      <c r="R861" s="1352"/>
      <c r="S861" s="1352"/>
      <c r="T861" s="1352">
        <f>+Tabla16[[#This Row],[CDPS A 31 JULIO 2022]]-Tabla16[[#This Row],[CDP]]</f>
        <v>0</v>
      </c>
      <c r="U861" s="1352"/>
      <c r="V861" s="1352"/>
      <c r="W861" s="1352"/>
    </row>
    <row r="862" spans="1:23" s="1317" customFormat="1" ht="105" x14ac:dyDescent="0.25">
      <c r="A862" s="1400">
        <v>2022936</v>
      </c>
      <c r="B862" s="1401">
        <v>7658</v>
      </c>
      <c r="C862" s="1402" t="s">
        <v>679</v>
      </c>
      <c r="D862" s="1403" t="s">
        <v>692</v>
      </c>
      <c r="E862" s="1404">
        <v>80111600</v>
      </c>
      <c r="F862" s="1404" t="s">
        <v>1479</v>
      </c>
      <c r="G862" s="1406">
        <v>44866</v>
      </c>
      <c r="H862" s="1406">
        <v>44895</v>
      </c>
      <c r="I862" s="1407">
        <v>2</v>
      </c>
      <c r="J862" s="1407" t="s">
        <v>673</v>
      </c>
      <c r="K862" s="1408" t="s">
        <v>674</v>
      </c>
      <c r="L862" s="1409" t="s">
        <v>675</v>
      </c>
      <c r="M862" s="1410">
        <v>2750000</v>
      </c>
      <c r="N862" s="1411" t="s">
        <v>1035</v>
      </c>
      <c r="O862" s="1404" t="s">
        <v>1036</v>
      </c>
      <c r="P862" s="1413" t="s">
        <v>757</v>
      </c>
      <c r="R862" s="1352"/>
      <c r="S862" s="1352"/>
      <c r="T862" s="1352">
        <f>+Tabla16[[#This Row],[CDPS A 31 JULIO 2022]]-Tabla16[[#This Row],[CDP]]</f>
        <v>0</v>
      </c>
      <c r="U862" s="1352"/>
      <c r="V862" s="1352"/>
      <c r="W862" s="1352"/>
    </row>
    <row r="863" spans="1:23" s="1317" customFormat="1" ht="105" x14ac:dyDescent="0.25">
      <c r="A863" s="1400">
        <v>2022937</v>
      </c>
      <c r="B863" s="1401">
        <v>7658</v>
      </c>
      <c r="C863" s="1402" t="s">
        <v>679</v>
      </c>
      <c r="D863" s="1403" t="s">
        <v>692</v>
      </c>
      <c r="E863" s="1404">
        <v>80111600</v>
      </c>
      <c r="F863" s="1404" t="s">
        <v>1480</v>
      </c>
      <c r="G863" s="1406">
        <v>44866</v>
      </c>
      <c r="H863" s="1406">
        <v>44895</v>
      </c>
      <c r="I863" s="1407">
        <v>2</v>
      </c>
      <c r="J863" s="1407" t="s">
        <v>673</v>
      </c>
      <c r="K863" s="1408" t="s">
        <v>674</v>
      </c>
      <c r="L863" s="1409" t="s">
        <v>675</v>
      </c>
      <c r="M863" s="1410">
        <v>8000000</v>
      </c>
      <c r="N863" s="1411" t="s">
        <v>1035</v>
      </c>
      <c r="O863" s="1404" t="s">
        <v>1036</v>
      </c>
      <c r="P863" s="1413" t="s">
        <v>757</v>
      </c>
      <c r="R863" s="1352"/>
      <c r="S863" s="1352"/>
      <c r="T863" s="1352">
        <f>+Tabla16[[#This Row],[CDPS A 31 JULIO 2022]]-Tabla16[[#This Row],[CDP]]</f>
        <v>0</v>
      </c>
      <c r="U863" s="1352"/>
      <c r="V863" s="1352"/>
      <c r="W863" s="1352"/>
    </row>
    <row r="864" spans="1:23" s="1317" customFormat="1" ht="105" x14ac:dyDescent="0.25">
      <c r="A864" s="1400">
        <v>2022938</v>
      </c>
      <c r="B864" s="1401">
        <v>7658</v>
      </c>
      <c r="C864" s="1402" t="s">
        <v>679</v>
      </c>
      <c r="D864" s="1403" t="s">
        <v>692</v>
      </c>
      <c r="E864" s="1404">
        <v>80111600</v>
      </c>
      <c r="F864" s="1404" t="s">
        <v>1481</v>
      </c>
      <c r="G864" s="1406">
        <v>44866</v>
      </c>
      <c r="H864" s="1406">
        <v>44895</v>
      </c>
      <c r="I864" s="1407">
        <v>2</v>
      </c>
      <c r="J864" s="1407" t="s">
        <v>673</v>
      </c>
      <c r="K864" s="1408" t="s">
        <v>674</v>
      </c>
      <c r="L864" s="1409" t="s">
        <v>675</v>
      </c>
      <c r="M864" s="1410">
        <v>2800000</v>
      </c>
      <c r="N864" s="1411" t="s">
        <v>1035</v>
      </c>
      <c r="O864" s="1404" t="s">
        <v>1036</v>
      </c>
      <c r="P864" s="1413" t="s">
        <v>757</v>
      </c>
      <c r="R864" s="1352"/>
      <c r="S864" s="1352"/>
      <c r="T864" s="1352">
        <f>+Tabla16[[#This Row],[CDPS A 31 JULIO 2022]]-Tabla16[[#This Row],[CDP]]</f>
        <v>0</v>
      </c>
      <c r="U864" s="1352"/>
      <c r="V864" s="1352"/>
      <c r="W864" s="1352"/>
    </row>
    <row r="865" spans="1:23" s="1317" customFormat="1" ht="105" x14ac:dyDescent="0.25">
      <c r="A865" s="1400">
        <v>2022939</v>
      </c>
      <c r="B865" s="1401">
        <v>7658</v>
      </c>
      <c r="C865" s="1402" t="s">
        <v>679</v>
      </c>
      <c r="D865" s="1403" t="s">
        <v>692</v>
      </c>
      <c r="E865" s="1404">
        <v>80111600</v>
      </c>
      <c r="F865" s="1404" t="s">
        <v>1482</v>
      </c>
      <c r="G865" s="1406">
        <v>44866</v>
      </c>
      <c r="H865" s="1406">
        <v>44895</v>
      </c>
      <c r="I865" s="1407">
        <v>2</v>
      </c>
      <c r="J865" s="1407" t="s">
        <v>673</v>
      </c>
      <c r="K865" s="1408" t="s">
        <v>674</v>
      </c>
      <c r="L865" s="1409" t="s">
        <v>675</v>
      </c>
      <c r="M865" s="1410">
        <v>3350000</v>
      </c>
      <c r="N865" s="1411" t="s">
        <v>1035</v>
      </c>
      <c r="O865" s="1404" t="s">
        <v>1036</v>
      </c>
      <c r="P865" s="1413" t="s">
        <v>757</v>
      </c>
      <c r="R865" s="1352"/>
      <c r="S865" s="1352"/>
      <c r="T865" s="1352">
        <f>+Tabla16[[#This Row],[CDPS A 31 JULIO 2022]]-Tabla16[[#This Row],[CDP]]</f>
        <v>0</v>
      </c>
      <c r="U865" s="1352"/>
      <c r="V865" s="1352"/>
      <c r="W865" s="1352"/>
    </row>
    <row r="866" spans="1:23" s="1317" customFormat="1" ht="105" x14ac:dyDescent="0.25">
      <c r="A866" s="1400">
        <v>2022940</v>
      </c>
      <c r="B866" s="1401">
        <v>7658</v>
      </c>
      <c r="C866" s="1402" t="s">
        <v>679</v>
      </c>
      <c r="D866" s="1403" t="s">
        <v>692</v>
      </c>
      <c r="E866" s="1404">
        <v>80111600</v>
      </c>
      <c r="F866" s="1404" t="s">
        <v>1483</v>
      </c>
      <c r="G866" s="1406">
        <v>44866</v>
      </c>
      <c r="H866" s="1406">
        <v>44895</v>
      </c>
      <c r="I866" s="1407">
        <v>2</v>
      </c>
      <c r="J866" s="1407" t="s">
        <v>673</v>
      </c>
      <c r="K866" s="1408" t="s">
        <v>674</v>
      </c>
      <c r="L866" s="1409" t="s">
        <v>675</v>
      </c>
      <c r="M866" s="1410">
        <v>3300000</v>
      </c>
      <c r="N866" s="1411" t="s">
        <v>1035</v>
      </c>
      <c r="O866" s="1404" t="s">
        <v>1036</v>
      </c>
      <c r="P866" s="1413" t="s">
        <v>757</v>
      </c>
      <c r="R866" s="1352"/>
      <c r="S866" s="1352"/>
      <c r="T866" s="1352">
        <f>+Tabla16[[#This Row],[CDPS A 31 JULIO 2022]]-Tabla16[[#This Row],[CDP]]</f>
        <v>0</v>
      </c>
      <c r="U866" s="1352"/>
      <c r="V866" s="1352"/>
      <c r="W866" s="1352"/>
    </row>
    <row r="867" spans="1:23" s="1317" customFormat="1" ht="105" x14ac:dyDescent="0.25">
      <c r="A867" s="1400">
        <v>2022941</v>
      </c>
      <c r="B867" s="1401">
        <v>7658</v>
      </c>
      <c r="C867" s="1402" t="s">
        <v>679</v>
      </c>
      <c r="D867" s="1403" t="s">
        <v>692</v>
      </c>
      <c r="E867" s="1404">
        <v>80111600</v>
      </c>
      <c r="F867" s="1404" t="s">
        <v>1484</v>
      </c>
      <c r="G867" s="1406">
        <v>44866</v>
      </c>
      <c r="H867" s="1406">
        <v>44895</v>
      </c>
      <c r="I867" s="1407">
        <v>2</v>
      </c>
      <c r="J867" s="1407" t="s">
        <v>673</v>
      </c>
      <c r="K867" s="1408" t="s">
        <v>674</v>
      </c>
      <c r="L867" s="1409" t="s">
        <v>675</v>
      </c>
      <c r="M867" s="1410">
        <v>4850000</v>
      </c>
      <c r="N867" s="1411" t="s">
        <v>1035</v>
      </c>
      <c r="O867" s="1404" t="s">
        <v>1036</v>
      </c>
      <c r="P867" s="1413" t="s">
        <v>757</v>
      </c>
      <c r="R867" s="1352"/>
      <c r="S867" s="1352"/>
      <c r="T867" s="1352">
        <f>+Tabla16[[#This Row],[CDPS A 31 JULIO 2022]]-Tabla16[[#This Row],[CDP]]</f>
        <v>0</v>
      </c>
      <c r="U867" s="1352"/>
      <c r="V867" s="1352"/>
      <c r="W867" s="1352"/>
    </row>
    <row r="868" spans="1:23" s="1317" customFormat="1" ht="105" x14ac:dyDescent="0.25">
      <c r="A868" s="1400">
        <v>2022942</v>
      </c>
      <c r="B868" s="1401">
        <v>7658</v>
      </c>
      <c r="C868" s="1402" t="s">
        <v>679</v>
      </c>
      <c r="D868" s="1403" t="s">
        <v>692</v>
      </c>
      <c r="E868" s="1404">
        <v>80111600</v>
      </c>
      <c r="F868" s="1404" t="s">
        <v>1485</v>
      </c>
      <c r="G868" s="1406">
        <v>44866</v>
      </c>
      <c r="H868" s="1406">
        <v>44895</v>
      </c>
      <c r="I868" s="1407">
        <v>2</v>
      </c>
      <c r="J868" s="1407" t="s">
        <v>673</v>
      </c>
      <c r="K868" s="1408" t="s">
        <v>674</v>
      </c>
      <c r="L868" s="1409" t="s">
        <v>675</v>
      </c>
      <c r="M868" s="1410">
        <v>3500000</v>
      </c>
      <c r="N868" s="1411" t="s">
        <v>1035</v>
      </c>
      <c r="O868" s="1404" t="s">
        <v>1036</v>
      </c>
      <c r="P868" s="1413" t="s">
        <v>757</v>
      </c>
      <c r="R868" s="1352"/>
      <c r="S868" s="1352"/>
      <c r="T868" s="1352">
        <f>+Tabla16[[#This Row],[CDPS A 31 JULIO 2022]]-Tabla16[[#This Row],[CDP]]</f>
        <v>0</v>
      </c>
      <c r="U868" s="1352"/>
      <c r="V868" s="1352"/>
      <c r="W868" s="1352"/>
    </row>
    <row r="869" spans="1:23" s="1317" customFormat="1" ht="105" x14ac:dyDescent="0.25">
      <c r="A869" s="1400">
        <v>2022943</v>
      </c>
      <c r="B869" s="1401">
        <v>7658</v>
      </c>
      <c r="C869" s="1402" t="s">
        <v>679</v>
      </c>
      <c r="D869" s="1403" t="s">
        <v>692</v>
      </c>
      <c r="E869" s="1404">
        <v>80111600</v>
      </c>
      <c r="F869" s="1404" t="s">
        <v>1486</v>
      </c>
      <c r="G869" s="1406">
        <v>44866</v>
      </c>
      <c r="H869" s="1406">
        <v>44895</v>
      </c>
      <c r="I869" s="1407">
        <v>2</v>
      </c>
      <c r="J869" s="1407" t="s">
        <v>673</v>
      </c>
      <c r="K869" s="1408" t="s">
        <v>674</v>
      </c>
      <c r="L869" s="1409" t="s">
        <v>675</v>
      </c>
      <c r="M869" s="1410">
        <v>4700000</v>
      </c>
      <c r="N869" s="1411" t="s">
        <v>1035</v>
      </c>
      <c r="O869" s="1404" t="s">
        <v>1036</v>
      </c>
      <c r="P869" s="1413" t="s">
        <v>757</v>
      </c>
      <c r="R869" s="1352"/>
      <c r="S869" s="1352"/>
      <c r="T869" s="1352">
        <f>+Tabla16[[#This Row],[CDPS A 31 JULIO 2022]]-Tabla16[[#This Row],[CDP]]</f>
        <v>0</v>
      </c>
      <c r="U869" s="1352"/>
      <c r="V869" s="1352"/>
      <c r="W869" s="1352"/>
    </row>
    <row r="870" spans="1:23" s="1317" customFormat="1" ht="105" x14ac:dyDescent="0.25">
      <c r="A870" s="1400">
        <v>2022944</v>
      </c>
      <c r="B870" s="1401">
        <v>7655</v>
      </c>
      <c r="C870" s="1402" t="s">
        <v>668</v>
      </c>
      <c r="D870" s="1403" t="s">
        <v>692</v>
      </c>
      <c r="E870" s="1404">
        <v>80111600</v>
      </c>
      <c r="F870" s="1404" t="s">
        <v>1487</v>
      </c>
      <c r="G870" s="1406">
        <v>44562</v>
      </c>
      <c r="H870" s="1406">
        <v>44620</v>
      </c>
      <c r="I870" s="1407">
        <v>2</v>
      </c>
      <c r="J870" s="1407" t="s">
        <v>673</v>
      </c>
      <c r="K870" s="1408" t="s">
        <v>674</v>
      </c>
      <c r="L870" s="1409" t="s">
        <v>675</v>
      </c>
      <c r="M870" s="1410">
        <v>10000000</v>
      </c>
      <c r="N870" s="1411" t="s">
        <v>781</v>
      </c>
      <c r="O870" s="1404" t="s">
        <v>771</v>
      </c>
      <c r="P870" s="1413" t="s">
        <v>757</v>
      </c>
      <c r="R870" s="1352"/>
      <c r="S870" s="1352"/>
      <c r="T870" s="1352">
        <f>+Tabla16[[#This Row],[CDPS A 31 JULIO 2022]]-Tabla16[[#This Row],[CDP]]</f>
        <v>0</v>
      </c>
      <c r="U870" s="1352"/>
      <c r="V870" s="1352"/>
      <c r="W870" s="1352"/>
    </row>
    <row r="871" spans="1:23" s="1317" customFormat="1" x14ac:dyDescent="0.25">
      <c r="A871" s="1322"/>
      <c r="B871" s="1339"/>
      <c r="C871" s="1345"/>
      <c r="D871" s="1334"/>
      <c r="E871" s="1335"/>
      <c r="F871" s="1335"/>
      <c r="G871" s="1327"/>
      <c r="H871" s="1327"/>
      <c r="I871" s="1323"/>
      <c r="J871" s="1323"/>
      <c r="K871" s="1324"/>
      <c r="L871" s="1325"/>
      <c r="M871" s="1336"/>
      <c r="N871" s="1338"/>
      <c r="O871" s="1335"/>
      <c r="P871" s="1316"/>
      <c r="R871" s="1352"/>
      <c r="S871" s="1352"/>
      <c r="T871" s="1352">
        <f>+Tabla16[[#This Row],[CDPS A 31 JULIO 2022]]-Tabla16[[#This Row],[CDP]]</f>
        <v>0</v>
      </c>
      <c r="U871" s="1352"/>
      <c r="V871" s="1352"/>
      <c r="W871" s="1352"/>
    </row>
    <row r="872" spans="1:23" s="1317" customFormat="1" x14ac:dyDescent="0.25">
      <c r="A872" s="1322"/>
      <c r="B872" s="1339"/>
      <c r="C872" s="1345"/>
      <c r="D872" s="1334"/>
      <c r="E872" s="1335"/>
      <c r="F872" s="1335"/>
      <c r="G872" s="1327"/>
      <c r="H872" s="1327"/>
      <c r="I872" s="1323"/>
      <c r="J872" s="1323"/>
      <c r="K872" s="1324"/>
      <c r="L872" s="1325"/>
      <c r="M872" s="1336"/>
      <c r="N872" s="1338"/>
      <c r="O872" s="1335"/>
      <c r="P872" s="1316"/>
      <c r="R872" s="1352"/>
      <c r="S872" s="1352"/>
      <c r="T872" s="1352">
        <f>+Tabla16[[#This Row],[CDPS A 31 JULIO 2022]]-Tabla16[[#This Row],[CDP]]</f>
        <v>0</v>
      </c>
      <c r="U872" s="1352"/>
      <c r="V872" s="1352"/>
      <c r="W872" s="1352"/>
    </row>
    <row r="873" spans="1:23" s="1317" customFormat="1" x14ac:dyDescent="0.25">
      <c r="A873" s="1322"/>
      <c r="B873" s="1339"/>
      <c r="C873" s="1345"/>
      <c r="D873" s="1334"/>
      <c r="E873" s="1335"/>
      <c r="F873" s="1335"/>
      <c r="G873" s="1327"/>
      <c r="H873" s="1327"/>
      <c r="I873" s="1323"/>
      <c r="J873" s="1323"/>
      <c r="K873" s="1324"/>
      <c r="L873" s="1325"/>
      <c r="M873" s="1336"/>
      <c r="N873" s="1338"/>
      <c r="O873" s="1335"/>
      <c r="P873" s="1316"/>
      <c r="R873" s="1352"/>
      <c r="S873" s="1352"/>
      <c r="T873" s="1352">
        <f>+Tabla16[[#This Row],[CDPS A 31 JULIO 2022]]-Tabla16[[#This Row],[CDP]]</f>
        <v>0</v>
      </c>
      <c r="U873" s="1352"/>
      <c r="V873" s="1352"/>
      <c r="W873" s="1352"/>
    </row>
    <row r="874" spans="1:23" s="1317" customFormat="1" x14ac:dyDescent="0.25">
      <c r="A874" s="1322"/>
      <c r="B874" s="1339"/>
      <c r="C874" s="1345"/>
      <c r="D874" s="1334"/>
      <c r="E874" s="1335"/>
      <c r="F874" s="1335"/>
      <c r="G874" s="1327"/>
      <c r="H874" s="1327"/>
      <c r="I874" s="1323"/>
      <c r="J874" s="1323"/>
      <c r="K874" s="1324"/>
      <c r="L874" s="1325"/>
      <c r="M874" s="1336"/>
      <c r="N874" s="1338"/>
      <c r="O874" s="1335"/>
      <c r="P874" s="1316"/>
      <c r="R874" s="1352"/>
      <c r="S874" s="1352"/>
      <c r="T874" s="1352">
        <f>+Tabla16[[#This Row],[CDPS A 31 JULIO 2022]]-Tabla16[[#This Row],[CDP]]</f>
        <v>0</v>
      </c>
      <c r="U874" s="1352"/>
      <c r="V874" s="1352"/>
      <c r="W874" s="1352"/>
    </row>
    <row r="875" spans="1:23" s="1317" customFormat="1" x14ac:dyDescent="0.25">
      <c r="A875" s="1322"/>
      <c r="B875" s="1339"/>
      <c r="C875" s="1345"/>
      <c r="D875" s="1334"/>
      <c r="E875" s="1335"/>
      <c r="F875" s="1335"/>
      <c r="G875" s="1327"/>
      <c r="H875" s="1327"/>
      <c r="I875" s="1323"/>
      <c r="J875" s="1323"/>
      <c r="K875" s="1324"/>
      <c r="L875" s="1325"/>
      <c r="M875" s="1336"/>
      <c r="N875" s="1338"/>
      <c r="O875" s="1335"/>
      <c r="P875" s="1316"/>
      <c r="R875" s="1352"/>
      <c r="S875" s="1352"/>
      <c r="T875" s="1352">
        <f>+Tabla16[[#This Row],[CDPS A 31 JULIO 2022]]-Tabla16[[#This Row],[CDP]]</f>
        <v>0</v>
      </c>
      <c r="U875" s="1352"/>
      <c r="V875" s="1352"/>
      <c r="W875" s="1352"/>
    </row>
    <row r="876" spans="1:23" s="1317" customFormat="1" x14ac:dyDescent="0.25">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23" s="1317" customFormat="1" x14ac:dyDescent="0.25">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23" s="1317" customFormat="1" x14ac:dyDescent="0.25">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23" s="1317" customFormat="1" x14ac:dyDescent="0.25">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23" s="1317" customFormat="1" x14ac:dyDescent="0.25">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x14ac:dyDescent="0.25">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x14ac:dyDescent="0.25">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x14ac:dyDescent="0.25">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x14ac:dyDescent="0.25">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x14ac:dyDescent="0.25">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x14ac:dyDescent="0.25">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x14ac:dyDescent="0.25">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x14ac:dyDescent="0.25">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x14ac:dyDescent="0.25">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x14ac:dyDescent="0.25">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x14ac:dyDescent="0.25">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x14ac:dyDescent="0.25">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x14ac:dyDescent="0.25">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x14ac:dyDescent="0.25">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x14ac:dyDescent="0.25">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x14ac:dyDescent="0.25">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x14ac:dyDescent="0.25">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x14ac:dyDescent="0.25">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x14ac:dyDescent="0.25">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x14ac:dyDescent="0.25">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x14ac:dyDescent="0.25">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x14ac:dyDescent="0.25">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x14ac:dyDescent="0.25">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x14ac:dyDescent="0.25">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x14ac:dyDescent="0.25">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x14ac:dyDescent="0.25">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x14ac:dyDescent="0.25">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x14ac:dyDescent="0.25">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x14ac:dyDescent="0.25">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x14ac:dyDescent="0.25">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x14ac:dyDescent="0.25">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x14ac:dyDescent="0.25">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x14ac:dyDescent="0.25">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x14ac:dyDescent="0.25">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x14ac:dyDescent="0.25">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x14ac:dyDescent="0.25">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x14ac:dyDescent="0.25">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x14ac:dyDescent="0.25">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x14ac:dyDescent="0.25">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x14ac:dyDescent="0.25">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x14ac:dyDescent="0.25">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x14ac:dyDescent="0.25">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x14ac:dyDescent="0.25">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x14ac:dyDescent="0.25">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x14ac:dyDescent="0.25">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x14ac:dyDescent="0.25">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x14ac:dyDescent="0.25">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x14ac:dyDescent="0.25">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x14ac:dyDescent="0.25">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x14ac:dyDescent="0.25">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x14ac:dyDescent="0.25">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x14ac:dyDescent="0.25">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x14ac:dyDescent="0.25">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x14ac:dyDescent="0.25">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x14ac:dyDescent="0.25">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x14ac:dyDescent="0.25">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x14ac:dyDescent="0.25">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x14ac:dyDescent="0.25">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x14ac:dyDescent="0.25">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x14ac:dyDescent="0.25">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x14ac:dyDescent="0.25">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x14ac:dyDescent="0.25">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x14ac:dyDescent="0.25">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x14ac:dyDescent="0.25">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x14ac:dyDescent="0.25">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x14ac:dyDescent="0.25">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x14ac:dyDescent="0.25">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x14ac:dyDescent="0.25">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x14ac:dyDescent="0.25">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x14ac:dyDescent="0.25">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x14ac:dyDescent="0.25">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x14ac:dyDescent="0.25">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x14ac:dyDescent="0.25">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x14ac:dyDescent="0.25">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x14ac:dyDescent="0.25">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x14ac:dyDescent="0.25">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x14ac:dyDescent="0.25">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x14ac:dyDescent="0.25">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x14ac:dyDescent="0.25">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x14ac:dyDescent="0.25">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x14ac:dyDescent="0.25">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x14ac:dyDescent="0.25">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x14ac:dyDescent="0.25">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x14ac:dyDescent="0.25">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x14ac:dyDescent="0.25">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x14ac:dyDescent="0.25">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x14ac:dyDescent="0.25">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x14ac:dyDescent="0.25">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x14ac:dyDescent="0.25">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x14ac:dyDescent="0.25">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x14ac:dyDescent="0.25">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x14ac:dyDescent="0.25">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x14ac:dyDescent="0.25">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x14ac:dyDescent="0.25">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x14ac:dyDescent="0.25">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x14ac:dyDescent="0.25">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x14ac:dyDescent="0.25">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x14ac:dyDescent="0.25">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x14ac:dyDescent="0.25">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x14ac:dyDescent="0.25">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x14ac:dyDescent="0.25">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x14ac:dyDescent="0.25">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x14ac:dyDescent="0.25">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x14ac:dyDescent="0.25">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x14ac:dyDescent="0.25">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x14ac:dyDescent="0.25">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x14ac:dyDescent="0.25">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x14ac:dyDescent="0.25">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x14ac:dyDescent="0.25">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x14ac:dyDescent="0.25">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x14ac:dyDescent="0.25">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x14ac:dyDescent="0.25">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x14ac:dyDescent="0.25">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x14ac:dyDescent="0.25">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x14ac:dyDescent="0.25">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x14ac:dyDescent="0.25">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x14ac:dyDescent="0.25">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x14ac:dyDescent="0.25">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x14ac:dyDescent="0.25">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x14ac:dyDescent="0.25">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x14ac:dyDescent="0.25">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x14ac:dyDescent="0.25">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x14ac:dyDescent="0.25">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x14ac:dyDescent="0.25">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x14ac:dyDescent="0.25">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x14ac:dyDescent="0.25">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x14ac:dyDescent="0.25">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x14ac:dyDescent="0.25">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x14ac:dyDescent="0.25">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x14ac:dyDescent="0.25">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x14ac:dyDescent="0.25">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x14ac:dyDescent="0.25">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x14ac:dyDescent="0.25">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x14ac:dyDescent="0.25">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x14ac:dyDescent="0.25">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x14ac:dyDescent="0.25">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x14ac:dyDescent="0.25">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x14ac:dyDescent="0.25">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x14ac:dyDescent="0.25">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x14ac:dyDescent="0.25">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x14ac:dyDescent="0.25">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x14ac:dyDescent="0.25">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x14ac:dyDescent="0.25">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x14ac:dyDescent="0.25">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x14ac:dyDescent="0.25">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x14ac:dyDescent="0.25">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x14ac:dyDescent="0.25">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x14ac:dyDescent="0.25">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x14ac:dyDescent="0.25">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x14ac:dyDescent="0.25">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x14ac:dyDescent="0.25">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x14ac:dyDescent="0.25">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x14ac:dyDescent="0.25">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x14ac:dyDescent="0.25">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x14ac:dyDescent="0.25">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x14ac:dyDescent="0.25">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x14ac:dyDescent="0.25">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x14ac:dyDescent="0.25">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x14ac:dyDescent="0.25">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x14ac:dyDescent="0.25">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x14ac:dyDescent="0.25">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x14ac:dyDescent="0.25">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x14ac:dyDescent="0.25">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x14ac:dyDescent="0.25">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x14ac:dyDescent="0.25">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x14ac:dyDescent="0.25">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x14ac:dyDescent="0.25">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x14ac:dyDescent="0.25">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x14ac:dyDescent="0.25">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x14ac:dyDescent="0.25">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x14ac:dyDescent="0.25">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x14ac:dyDescent="0.25">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x14ac:dyDescent="0.25">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x14ac:dyDescent="0.25">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x14ac:dyDescent="0.25">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x14ac:dyDescent="0.25">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x14ac:dyDescent="0.25">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x14ac:dyDescent="0.25">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x14ac:dyDescent="0.25">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x14ac:dyDescent="0.25">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x14ac:dyDescent="0.25">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x14ac:dyDescent="0.25">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x14ac:dyDescent="0.25">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x14ac:dyDescent="0.25">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x14ac:dyDescent="0.25">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x14ac:dyDescent="0.25">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x14ac:dyDescent="0.25">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x14ac:dyDescent="0.25">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x14ac:dyDescent="0.25">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x14ac:dyDescent="0.25">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x14ac:dyDescent="0.25">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x14ac:dyDescent="0.25">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x14ac:dyDescent="0.25">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x14ac:dyDescent="0.25">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x14ac:dyDescent="0.25">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x14ac:dyDescent="0.25">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x14ac:dyDescent="0.25">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x14ac:dyDescent="0.25">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x14ac:dyDescent="0.25">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x14ac:dyDescent="0.25">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x14ac:dyDescent="0.25">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x14ac:dyDescent="0.25">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x14ac:dyDescent="0.25">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x14ac:dyDescent="0.25">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x14ac:dyDescent="0.25">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x14ac:dyDescent="0.25">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x14ac:dyDescent="0.25">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x14ac:dyDescent="0.25">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23" s="1317" customFormat="1" x14ac:dyDescent="0.25">
      <c r="A1089" s="1322"/>
      <c r="B1089" s="1339"/>
      <c r="C1089" s="1345"/>
      <c r="D1089" s="1334"/>
      <c r="E1089" s="1335"/>
      <c r="F1089" s="1335"/>
      <c r="G1089" s="1327"/>
      <c r="H1089" s="1327"/>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23" s="1317" customFormat="1" x14ac:dyDescent="0.25">
      <c r="A1090" s="1322"/>
      <c r="B1090" s="1339"/>
      <c r="C1090" s="1345"/>
      <c r="D1090" s="1334"/>
      <c r="E1090" s="1335"/>
      <c r="F1090" s="1335"/>
      <c r="G1090" s="1327"/>
      <c r="H1090" s="1327"/>
      <c r="I1090" s="1323"/>
      <c r="J1090" s="1323"/>
      <c r="K1090" s="1324"/>
      <c r="L1090" s="1325"/>
      <c r="M1090" s="1336"/>
      <c r="N1090" s="1338"/>
      <c r="O1090" s="1335"/>
      <c r="P1090" s="1316"/>
      <c r="R1090" s="1352"/>
      <c r="S1090" s="1352"/>
      <c r="T1090" s="1352">
        <f>+Tabla16[[#This Row],[CDPS A 31 JULIO 2022]]-Tabla16[[#This Row],[CDP]]</f>
        <v>0</v>
      </c>
      <c r="U1090" s="1352"/>
      <c r="V1090" s="1352"/>
      <c r="W1090" s="1352"/>
    </row>
    <row r="1091" spans="1:23" s="1317" customFormat="1" x14ac:dyDescent="0.25">
      <c r="A1091" s="1322"/>
      <c r="B1091" s="1339"/>
      <c r="C1091" s="1345"/>
      <c r="D1091" s="1334"/>
      <c r="E1091" s="1335"/>
      <c r="F1091" s="1335"/>
      <c r="G1091" s="1327"/>
      <c r="H1091" s="1327"/>
      <c r="I1091" s="1323"/>
      <c r="J1091" s="1323"/>
      <c r="K1091" s="1324"/>
      <c r="L1091" s="1325"/>
      <c r="M1091" s="1336"/>
      <c r="N1091" s="1338"/>
      <c r="O1091" s="1335"/>
      <c r="P1091" s="1316"/>
      <c r="R1091" s="1352"/>
      <c r="S1091" s="1352"/>
      <c r="T1091" s="1352">
        <f>+Tabla16[[#This Row],[CDPS A 31 JULIO 2022]]-Tabla16[[#This Row],[CDP]]</f>
        <v>0</v>
      </c>
      <c r="U1091" s="1352"/>
      <c r="V1091" s="1352"/>
      <c r="W1091" s="1352"/>
    </row>
    <row r="1092" spans="1:23" s="1317" customFormat="1" x14ac:dyDescent="0.25">
      <c r="A1092" s="1322"/>
      <c r="B1092" s="1339"/>
      <c r="C1092" s="1345"/>
      <c r="D1092" s="1334"/>
      <c r="E1092" s="1335"/>
      <c r="F1092" s="1335"/>
      <c r="G1092" s="1327"/>
      <c r="H1092" s="1327"/>
      <c r="I1092" s="1323"/>
      <c r="J1092" s="1323"/>
      <c r="K1092" s="1324"/>
      <c r="L1092" s="1325"/>
      <c r="M1092" s="1336"/>
      <c r="N1092" s="1338"/>
      <c r="O1092" s="1335"/>
      <c r="P1092" s="1316"/>
      <c r="R1092" s="1352"/>
      <c r="S1092" s="1352"/>
      <c r="T1092" s="1352">
        <f>+Tabla16[[#This Row],[CDPS A 31 JULIO 2022]]-Tabla16[[#This Row],[CDP]]</f>
        <v>0</v>
      </c>
      <c r="U1092" s="1352"/>
      <c r="V1092" s="1352"/>
      <c r="W1092" s="1352"/>
    </row>
    <row r="1093" spans="1:23" s="1317" customFormat="1" x14ac:dyDescent="0.25">
      <c r="A1093" s="1322"/>
      <c r="B1093" s="1339"/>
      <c r="C1093" s="1345"/>
      <c r="D1093" s="1334"/>
      <c r="E1093" s="1335"/>
      <c r="F1093" s="1335"/>
      <c r="G1093" s="1327"/>
      <c r="H1093" s="1327"/>
      <c r="I1093" s="1323"/>
      <c r="J1093" s="1323"/>
      <c r="K1093" s="1324"/>
      <c r="L1093" s="1325"/>
      <c r="M1093" s="1336"/>
      <c r="N1093" s="1338"/>
      <c r="O1093" s="1335"/>
      <c r="P1093" s="1316"/>
      <c r="R1093" s="1352"/>
      <c r="S1093" s="1352"/>
      <c r="T1093" s="1352">
        <f>+Tabla16[[#This Row],[CDPS A 31 JULIO 2022]]-Tabla16[[#This Row],[CDP]]</f>
        <v>0</v>
      </c>
      <c r="U1093" s="1352"/>
      <c r="V1093" s="1352"/>
      <c r="W1093" s="1352"/>
    </row>
    <row r="1094" spans="1:23" s="1317" customFormat="1" x14ac:dyDescent="0.25">
      <c r="A1094" s="1322"/>
      <c r="B1094" s="1339"/>
      <c r="C1094" s="1345"/>
      <c r="D1094" s="1334"/>
      <c r="E1094" s="1335"/>
      <c r="F1094" s="1335"/>
      <c r="G1094" s="1326"/>
      <c r="H1094" s="1326"/>
      <c r="I1094" s="1323"/>
      <c r="J1094" s="1323"/>
      <c r="K1094" s="1324"/>
      <c r="L1094" s="1325"/>
      <c r="M1094" s="1336"/>
      <c r="N1094" s="1338"/>
      <c r="O1094" s="1335"/>
      <c r="P1094" s="1316"/>
      <c r="R1094" s="1352"/>
      <c r="S1094" s="1352"/>
      <c r="T1094" s="1352">
        <f>+Tabla16[[#This Row],[CDPS A 31 JULIO 2022]]-Tabla16[[#This Row],[CDP]]</f>
        <v>0</v>
      </c>
      <c r="U1094" s="1352"/>
      <c r="V1094" s="1352"/>
      <c r="W1094" s="1352"/>
    </row>
    <row r="1095" spans="1:23" s="1317" customFormat="1" x14ac:dyDescent="0.25">
      <c r="A1095" s="1328"/>
      <c r="B1095" s="1340"/>
      <c r="C1095" s="1346"/>
      <c r="D1095" s="1341"/>
      <c r="E1095" s="1329"/>
      <c r="F1095" s="1329"/>
      <c r="G1095" s="1330"/>
      <c r="H1095" s="1330"/>
      <c r="I1095" s="1331"/>
      <c r="J1095" s="1331"/>
      <c r="K1095" s="1332"/>
      <c r="L1095" s="1333"/>
      <c r="M1095" s="1344"/>
      <c r="N1095" s="1342"/>
      <c r="O1095" s="1329"/>
      <c r="P1095" s="1316"/>
      <c r="R1095" s="1352"/>
      <c r="S1095" s="1352"/>
      <c r="T1095" s="1352">
        <f>+Tabla16[[#This Row],[CDPS A 31 JULIO 2022]]-Tabla16[[#This Row],[CDP]]</f>
        <v>0</v>
      </c>
      <c r="U1095" s="1352"/>
      <c r="V1095" s="1352"/>
      <c r="W1095" s="1352"/>
    </row>
    <row r="1096" spans="1:23" x14ac:dyDescent="0.25">
      <c r="A1096" s="1322"/>
      <c r="B1096" s="1375"/>
      <c r="C1096" s="1345"/>
      <c r="D1096" s="1334"/>
      <c r="E1096" s="1370"/>
      <c r="F1096" s="1335"/>
      <c r="G1096" s="1376"/>
      <c r="H1096" s="1326"/>
      <c r="I1096" s="1371"/>
      <c r="J1096" s="1372"/>
      <c r="K1096" s="1324"/>
      <c r="L1096" s="1373"/>
      <c r="M1096" s="1336"/>
      <c r="N1096" s="1338"/>
      <c r="O1096" s="1374"/>
      <c r="P1096" s="1163"/>
      <c r="R1096" s="1352"/>
      <c r="S1096" s="1352"/>
      <c r="T1096" s="1352">
        <f>+Tabla16[[#This Row],[CDPS A 31 JULIO 2022]]-Tabla16[[#This Row],[CDP]]</f>
        <v>0</v>
      </c>
      <c r="U1096" s="1352"/>
      <c r="V1096" s="1352"/>
      <c r="W1096" s="1352"/>
    </row>
    <row r="1097" spans="1:23" x14ac:dyDescent="0.25">
      <c r="A1097" s="1322"/>
      <c r="B1097" s="1375"/>
      <c r="C1097" s="1345"/>
      <c r="D1097" s="1334"/>
      <c r="E1097" s="1370"/>
      <c r="F1097" s="1335"/>
      <c r="G1097" s="1376"/>
      <c r="H1097" s="1326"/>
      <c r="I1097" s="1371"/>
      <c r="J1097" s="1372"/>
      <c r="K1097" s="1324"/>
      <c r="L1097" s="1373"/>
      <c r="M1097" s="1336"/>
      <c r="N1097" s="1338"/>
      <c r="O1097" s="1374"/>
      <c r="P1097" s="1163"/>
      <c r="R1097" s="1352"/>
      <c r="S1097" s="1352"/>
      <c r="T1097" s="1352">
        <f>+Tabla16[[#This Row],[CDPS A 31 JULIO 2022]]-Tabla16[[#This Row],[CDP]]</f>
        <v>0</v>
      </c>
      <c r="U1097" s="1352"/>
      <c r="V1097" s="1352"/>
      <c r="W1097" s="1352"/>
    </row>
    <row r="1098" spans="1:23" x14ac:dyDescent="0.25">
      <c r="A1098" s="1322"/>
      <c r="B1098" s="1375"/>
      <c r="C1098" s="1345"/>
      <c r="D1098" s="1334"/>
      <c r="E1098" s="1370"/>
      <c r="F1098" s="1335"/>
      <c r="G1098" s="1376"/>
      <c r="H1098" s="1326"/>
      <c r="I1098" s="1371"/>
      <c r="J1098" s="1372"/>
      <c r="K1098" s="1324"/>
      <c r="L1098" s="1373"/>
      <c r="M1098" s="1336"/>
      <c r="N1098" s="1338"/>
      <c r="O1098" s="1374"/>
      <c r="P1098" s="1163"/>
      <c r="R1098" s="1352"/>
      <c r="S1098" s="1352"/>
      <c r="T1098" s="1352">
        <f>+Tabla16[[#This Row],[CDPS A 31 JULIO 2022]]-Tabla16[[#This Row],[CDP]]</f>
        <v>0</v>
      </c>
      <c r="U1098" s="1352"/>
      <c r="V1098" s="1352"/>
      <c r="W1098" s="1352"/>
    </row>
    <row r="1099" spans="1:23" x14ac:dyDescent="0.25">
      <c r="A1099" s="1322"/>
      <c r="B1099" s="1375"/>
      <c r="C1099" s="1345"/>
      <c r="D1099" s="1334"/>
      <c r="E1099" s="1370"/>
      <c r="F1099" s="1335"/>
      <c r="G1099" s="1376"/>
      <c r="H1099" s="1326"/>
      <c r="I1099" s="1371"/>
      <c r="J1099" s="1372"/>
      <c r="K1099" s="1324"/>
      <c r="L1099" s="1373"/>
      <c r="M1099" s="1336"/>
      <c r="N1099" s="1338"/>
      <c r="O1099" s="1374"/>
      <c r="P1099" s="1163"/>
      <c r="R1099" s="1352"/>
      <c r="S1099" s="1352"/>
      <c r="T1099" s="1352">
        <f>+Tabla16[[#This Row],[CDPS A 31 JULIO 2022]]-Tabla16[[#This Row],[CDP]]</f>
        <v>0</v>
      </c>
      <c r="U1099" s="1352"/>
      <c r="V1099" s="1352"/>
      <c r="W1099" s="1352"/>
    </row>
    <row r="1100" spans="1:23" x14ac:dyDescent="0.25">
      <c r="A1100" s="1322"/>
      <c r="B1100" s="1375"/>
      <c r="C1100" s="1345"/>
      <c r="D1100" s="1334"/>
      <c r="E1100" s="1370"/>
      <c r="F1100" s="1335"/>
      <c r="G1100" s="1376"/>
      <c r="H1100" s="1326"/>
      <c r="I1100" s="1371"/>
      <c r="J1100" s="1372"/>
      <c r="K1100" s="1324"/>
      <c r="L1100" s="1373"/>
      <c r="M1100" s="1336"/>
      <c r="N1100" s="1338"/>
      <c r="O1100" s="1374"/>
      <c r="P1100" s="1163"/>
      <c r="R1100" s="1352"/>
      <c r="S1100" s="1352"/>
      <c r="T1100" s="1352">
        <f>+Tabla16[[#This Row],[CDPS A 31 JULIO 2022]]-Tabla16[[#This Row],[CDP]]</f>
        <v>0</v>
      </c>
      <c r="U1100" s="1352"/>
      <c r="V1100" s="1352"/>
      <c r="W1100" s="1352"/>
    </row>
    <row r="1101" spans="1:23" x14ac:dyDescent="0.25">
      <c r="A1101" s="1322"/>
      <c r="B1101" s="1375"/>
      <c r="C1101" s="1345"/>
      <c r="D1101" s="1334"/>
      <c r="E1101" s="1370"/>
      <c r="F1101" s="1335"/>
      <c r="G1101" s="1376"/>
      <c r="H1101" s="1326"/>
      <c r="I1101" s="1371"/>
      <c r="J1101" s="1372"/>
      <c r="K1101" s="1324"/>
      <c r="L1101" s="1373"/>
      <c r="M1101" s="1336"/>
      <c r="N1101" s="1338"/>
      <c r="O1101" s="1374"/>
      <c r="P1101" s="1163"/>
      <c r="R1101" s="1352"/>
      <c r="S1101" s="1352"/>
      <c r="T1101" s="1352">
        <f>+Tabla16[[#This Row],[CDPS A 31 JULIO 2022]]-Tabla16[[#This Row],[CDP]]</f>
        <v>0</v>
      </c>
      <c r="U1101" s="1352"/>
      <c r="V1101" s="1352"/>
      <c r="W1101" s="1352"/>
    </row>
    <row r="1102" spans="1:23" x14ac:dyDescent="0.25">
      <c r="A1102" s="1322"/>
      <c r="B1102" s="1375"/>
      <c r="C1102" s="1345"/>
      <c r="D1102" s="1334"/>
      <c r="E1102" s="1370"/>
      <c r="F1102" s="1335"/>
      <c r="G1102" s="1376"/>
      <c r="H1102" s="1326"/>
      <c r="I1102" s="1371"/>
      <c r="J1102" s="1372"/>
      <c r="K1102" s="1324"/>
      <c r="L1102" s="1373"/>
      <c r="M1102" s="1336"/>
      <c r="N1102" s="1338"/>
      <c r="O1102" s="1374"/>
      <c r="P1102" s="1163"/>
      <c r="R1102" s="1352"/>
      <c r="S1102" s="1352"/>
      <c r="T1102" s="1352">
        <f>+Tabla16[[#This Row],[CDPS A 31 JULIO 2022]]-Tabla16[[#This Row],[CDP]]</f>
        <v>0</v>
      </c>
      <c r="U1102" s="1352"/>
      <c r="V1102" s="1352"/>
      <c r="W1102" s="1352"/>
    </row>
    <row r="1103" spans="1:23" x14ac:dyDescent="0.25">
      <c r="A1103" s="1322"/>
      <c r="B1103" s="1375"/>
      <c r="C1103" s="1345"/>
      <c r="D1103" s="1334"/>
      <c r="E1103" s="1370"/>
      <c r="F1103" s="1335"/>
      <c r="G1103" s="1376"/>
      <c r="H1103" s="1326"/>
      <c r="I1103" s="1371"/>
      <c r="J1103" s="1372"/>
      <c r="K1103" s="1324"/>
      <c r="L1103" s="1373"/>
      <c r="M1103" s="1336"/>
      <c r="N1103" s="1338"/>
      <c r="O1103" s="1374"/>
      <c r="P1103" s="1163"/>
      <c r="R1103" s="1352"/>
      <c r="S1103" s="1352"/>
      <c r="T1103" s="1352">
        <f>+Tabla16[[#This Row],[CDPS A 31 JULIO 2022]]-Tabla16[[#This Row],[CDP]]</f>
        <v>0</v>
      </c>
      <c r="U1103" s="1352"/>
      <c r="V1103" s="1352"/>
      <c r="W1103" s="1352"/>
    </row>
    <row r="1104" spans="1:23" x14ac:dyDescent="0.25">
      <c r="A1104" s="1322"/>
      <c r="B1104" s="1375"/>
      <c r="C1104" s="1345"/>
      <c r="D1104" s="1334"/>
      <c r="E1104" s="1370"/>
      <c r="F1104" s="1335"/>
      <c r="G1104" s="1376"/>
      <c r="H1104" s="1326"/>
      <c r="I1104" s="1371"/>
      <c r="J1104" s="1372"/>
      <c r="K1104" s="1324"/>
      <c r="L1104" s="1373"/>
      <c r="M1104" s="1336"/>
      <c r="N1104" s="1338"/>
      <c r="O1104" s="1374"/>
      <c r="P1104" s="1163"/>
      <c r="R1104" s="1352"/>
      <c r="S1104" s="1352"/>
      <c r="T1104" s="1352">
        <f>+Tabla16[[#This Row],[CDPS A 31 JULIO 2022]]-Tabla16[[#This Row],[CDP]]</f>
        <v>0</v>
      </c>
      <c r="U1104" s="1352"/>
      <c r="V1104" s="1352"/>
      <c r="W1104" s="1352"/>
    </row>
    <row r="1105" spans="1:84" x14ac:dyDescent="0.25">
      <c r="A1105" s="1322"/>
      <c r="B1105" s="1375"/>
      <c r="C1105" s="1345"/>
      <c r="D1105" s="1334"/>
      <c r="E1105" s="1370"/>
      <c r="F1105" s="1335"/>
      <c r="G1105" s="1376"/>
      <c r="H1105" s="1326"/>
      <c r="I1105" s="1371"/>
      <c r="J1105" s="1372"/>
      <c r="K1105" s="1324"/>
      <c r="L1105" s="1373"/>
      <c r="M1105" s="1336"/>
      <c r="N1105" s="1338"/>
      <c r="O1105" s="1374"/>
      <c r="P1105" s="1163"/>
      <c r="R1105" s="1352"/>
      <c r="S1105" s="1352"/>
      <c r="T1105" s="1352">
        <f>+Tabla16[[#This Row],[CDPS A 31 JULIO 2022]]-Tabla16[[#This Row],[CDP]]</f>
        <v>0</v>
      </c>
      <c r="U1105" s="1352"/>
      <c r="V1105" s="1352"/>
      <c r="W1105" s="1352"/>
    </row>
    <row r="1106" spans="1:84" x14ac:dyDescent="0.25">
      <c r="A1106" s="1322"/>
      <c r="B1106" s="1375"/>
      <c r="C1106" s="1345"/>
      <c r="D1106" s="1334"/>
      <c r="E1106" s="1370"/>
      <c r="F1106" s="1335"/>
      <c r="G1106" s="1376"/>
      <c r="H1106" s="1326"/>
      <c r="I1106" s="1371"/>
      <c r="J1106" s="1372"/>
      <c r="K1106" s="1324"/>
      <c r="L1106" s="1373"/>
      <c r="M1106" s="1336"/>
      <c r="N1106" s="1338"/>
      <c r="O1106" s="1374"/>
      <c r="P1106" s="1163"/>
      <c r="R1106" s="1352"/>
      <c r="S1106" s="1352"/>
      <c r="T1106" s="1352">
        <f>+Tabla16[[#This Row],[CDPS A 31 JULIO 2022]]-Tabla16[[#This Row],[CDP]]</f>
        <v>0</v>
      </c>
      <c r="U1106" s="1352"/>
      <c r="V1106" s="1352"/>
      <c r="W1106" s="1352"/>
    </row>
    <row r="1107" spans="1:84" x14ac:dyDescent="0.25">
      <c r="A1107" s="1322"/>
      <c r="B1107" s="1375"/>
      <c r="C1107" s="1345"/>
      <c r="D1107" s="1334"/>
      <c r="E1107" s="1370"/>
      <c r="F1107" s="1335"/>
      <c r="G1107" s="1376"/>
      <c r="H1107" s="1326"/>
      <c r="I1107" s="1371"/>
      <c r="J1107" s="1372"/>
      <c r="K1107" s="1324"/>
      <c r="L1107" s="1373"/>
      <c r="M1107" s="1336"/>
      <c r="N1107" s="1338"/>
      <c r="O1107" s="1374"/>
      <c r="P1107" s="1163"/>
      <c r="R1107" s="1352"/>
      <c r="S1107" s="1352"/>
      <c r="T1107" s="1352">
        <f>+Tabla16[[#This Row],[CDPS A 31 JULIO 2022]]-Tabla16[[#This Row],[CDP]]</f>
        <v>0</v>
      </c>
      <c r="U1107" s="1352"/>
      <c r="V1107" s="1352"/>
      <c r="W1107" s="1352"/>
      <c r="AZ1107" s="1207"/>
      <c r="BA1107" s="1207"/>
      <c r="BB1107" s="1207"/>
      <c r="BC1107" s="1207"/>
      <c r="BD1107" s="1207"/>
      <c r="BE1107" s="1207"/>
      <c r="BF1107" s="1207"/>
      <c r="BG1107" s="1207"/>
      <c r="BH1107" s="1207"/>
      <c r="BI1107" s="1207"/>
      <c r="BJ1107" s="1207"/>
      <c r="BK1107" s="1207"/>
      <c r="BL1107" s="1207"/>
      <c r="BM1107" s="1207"/>
      <c r="BN1107" s="1207"/>
      <c r="BO1107" s="1207"/>
      <c r="BP1107" s="1207"/>
      <c r="BQ1107" s="1207"/>
      <c r="BR1107" s="1207"/>
      <c r="BS1107" s="1207"/>
      <c r="BT1107" s="1207"/>
      <c r="BU1107" s="1207"/>
      <c r="BV1107" s="1207"/>
      <c r="BW1107" s="1207"/>
      <c r="BX1107" s="1207"/>
      <c r="BY1107" s="1207"/>
      <c r="BZ1107" s="1207"/>
      <c r="CA1107" s="1207"/>
      <c r="CB1107" s="1207"/>
      <c r="CC1107" s="1207"/>
      <c r="CD1107" s="1207"/>
      <c r="CE1107" s="1207"/>
      <c r="CF1107" s="1207"/>
    </row>
    <row r="1108" spans="1:84" x14ac:dyDescent="0.25">
      <c r="A1108" s="1322"/>
      <c r="B1108" s="1375"/>
      <c r="C1108" s="1345"/>
      <c r="D1108" s="1334"/>
      <c r="E1108" s="1370"/>
      <c r="F1108" s="1335"/>
      <c r="G1108" s="1376"/>
      <c r="H1108" s="1326"/>
      <c r="I1108" s="1371"/>
      <c r="J1108" s="1372"/>
      <c r="K1108" s="1324"/>
      <c r="L1108" s="1373"/>
      <c r="M1108" s="1336"/>
      <c r="N1108" s="1338"/>
      <c r="O1108" s="1374"/>
      <c r="P1108" s="1163"/>
      <c r="R1108" s="1352"/>
      <c r="S1108" s="1352"/>
      <c r="T1108" s="1352">
        <f>+Tabla16[[#This Row],[CDPS A 31 JULIO 2022]]-Tabla16[[#This Row],[CDP]]</f>
        <v>0</v>
      </c>
      <c r="U1108" s="1352"/>
      <c r="V1108" s="1352"/>
      <c r="W1108" s="1352"/>
    </row>
    <row r="1109" spans="1:84" x14ac:dyDescent="0.25">
      <c r="A1109" s="1322"/>
      <c r="B1109" s="1375"/>
      <c r="C1109" s="1345"/>
      <c r="D1109" s="1334"/>
      <c r="E1109" s="1370"/>
      <c r="F1109" s="1335"/>
      <c r="G1109" s="1376"/>
      <c r="H1109" s="1326"/>
      <c r="I1109" s="1371"/>
      <c r="J1109" s="1372"/>
      <c r="K1109" s="1324"/>
      <c r="L1109" s="1373"/>
      <c r="M1109" s="1336"/>
      <c r="N1109" s="1338"/>
      <c r="O1109" s="1374"/>
      <c r="P1109" s="1163"/>
      <c r="R1109" s="1352"/>
      <c r="S1109" s="1352"/>
      <c r="T1109" s="1352">
        <f>+Tabla16[[#This Row],[CDPS A 31 JULIO 2022]]-Tabla16[[#This Row],[CDP]]</f>
        <v>0</v>
      </c>
      <c r="U1109" s="1352"/>
      <c r="V1109" s="1352"/>
      <c r="W1109" s="1352"/>
    </row>
    <row r="1110" spans="1:84" ht="15.6" x14ac:dyDescent="0.3">
      <c r="A1110" s="1425"/>
      <c r="B1110" s="1426"/>
      <c r="C1110" s="1285"/>
      <c r="D1110" s="1243"/>
      <c r="E1110" s="1427"/>
      <c r="F1110" s="1285"/>
      <c r="G1110" s="1428"/>
      <c r="H1110" s="1429"/>
      <c r="I1110" s="1430"/>
      <c r="J1110" s="1431"/>
      <c r="K1110" s="1285"/>
      <c r="L1110" s="1432"/>
      <c r="M1110" s="1433"/>
      <c r="N1110" s="1178"/>
      <c r="P1110" s="1207"/>
      <c r="Q1110"/>
      <c r="R1110"/>
      <c r="S1110"/>
      <c r="T1110"/>
      <c r="U1110" s="1362"/>
      <c r="V1110" s="1362"/>
      <c r="W1110"/>
    </row>
    <row r="1111" spans="1:84" x14ac:dyDescent="0.25">
      <c r="F1111" s="1163" t="s">
        <v>1488</v>
      </c>
      <c r="L1111" s="1365"/>
      <c r="M1111" s="1347"/>
      <c r="R1111" s="1369">
        <f>SUM(R7:R711)</f>
        <v>45884238145</v>
      </c>
    </row>
    <row r="1112" spans="1:84" x14ac:dyDescent="0.25">
      <c r="M1112" s="1348"/>
      <c r="N1112" s="1347"/>
    </row>
    <row r="1113" spans="1:84" x14ac:dyDescent="0.25">
      <c r="J1113" s="1347"/>
      <c r="M1113" s="1348"/>
    </row>
    <row r="1114" spans="1:84" x14ac:dyDescent="0.25">
      <c r="J1114" s="1347"/>
      <c r="M1114" s="1348"/>
      <c r="N1114" s="1348"/>
    </row>
  </sheetData>
  <protectedRanges>
    <protectedRange sqref="F27" name="Rango1_4_4_1_2"/>
  </protectedRanges>
  <mergeCells count="3">
    <mergeCell ref="A1:L1"/>
    <mergeCell ref="A2:L2"/>
    <mergeCell ref="M4:N4"/>
  </mergeCells>
  <phoneticPr fontId="108" type="noConversion"/>
  <dataValidations count="16">
    <dataValidation type="list" allowBlank="1" showInputMessage="1" showErrorMessage="1" sqref="O630" xr:uid="{00000000-0002-0000-0700-000000000000}">
      <formula1>$AK$38:$AK$41</formula1>
    </dataValidation>
    <dataValidation type="list" allowBlank="1" showInputMessage="1" showErrorMessage="1" sqref="N630" xr:uid="{00000000-0002-0000-0700-000001000000}">
      <formula1>$AL$38:$AL$47</formula1>
    </dataValidation>
    <dataValidation type="list" allowBlank="1" showInputMessage="1" showErrorMessage="1" sqref="O623 O636:O637" xr:uid="{00000000-0002-0000-0700-000002000000}">
      <formula1>$AK$40:$AK$43</formula1>
    </dataValidation>
    <dataValidation type="list" allowBlank="1" showInputMessage="1" showErrorMessage="1" sqref="N623 N636:N637" xr:uid="{00000000-0002-0000-0700-000003000000}">
      <formula1>$AL$40:$AL$49</formula1>
    </dataValidation>
    <dataValidation type="list" allowBlank="1" showInputMessage="1" showErrorMessage="1" sqref="O624:O629 O631:O635 O638:O1095 O372:O622 O7:O310 O312:O370" xr:uid="{00000000-0002-0000-0700-000004000000}">
      <formula1>$AK$39:$AK$42</formula1>
    </dataValidation>
    <dataValidation type="list" allowBlank="1" showInputMessage="1" showErrorMessage="1" sqref="N631:N635 N624:N629 N638:N1095 N372:N622 N7:N310 N312:N370" xr:uid="{00000000-0002-0000-0700-000005000000}">
      <formula1>$AL$39:$AL$48</formula1>
    </dataValidation>
    <dataValidation type="list" allowBlank="1" showInputMessage="1" showErrorMessage="1" sqref="B372:B1098 B7:B310 B312:B370" xr:uid="{00000000-0002-0000-0700-000006000000}">
      <formula1>$AJ$5:$AJ$8</formula1>
    </dataValidation>
    <dataValidation type="list" allowBlank="1" showInputMessage="1" showErrorMessage="1" sqref="C372:C1098 C7:C310 C312:C370" xr:uid="{00000000-0002-0000-0700-000007000000}">
      <formula1>$AK$5:$AK$7</formula1>
    </dataValidation>
    <dataValidation type="list" allowBlank="1" showInputMessage="1" showErrorMessage="1" sqref="D372:D1098 D7:D310 D312:D370" xr:uid="{00000000-0002-0000-0700-000008000000}">
      <formula1>$AL$5:$AL$14</formula1>
    </dataValidation>
    <dataValidation type="list" allowBlank="1" showInputMessage="1" showErrorMessage="1" sqref="J372:J1098 J7:J310 J312:J370" xr:uid="{00000000-0002-0000-0700-000009000000}">
      <formula1>$AM$5:$AM$23</formula1>
    </dataValidation>
    <dataValidation type="list" allowBlank="1" showInputMessage="1" showErrorMessage="1" sqref="J371" xr:uid="{00000000-0002-0000-0700-00000A000000}">
      <formula1>$AL$5:$AL$23</formula1>
    </dataValidation>
    <dataValidation type="list" allowBlank="1" showInputMessage="1" showErrorMessage="1" sqref="D371" xr:uid="{00000000-0002-0000-0700-00000B000000}">
      <formula1>$AK$5:$AK$14</formula1>
    </dataValidation>
    <dataValidation type="list" allowBlank="1" showInputMessage="1" showErrorMessage="1" sqref="C371" xr:uid="{00000000-0002-0000-0700-00000C000000}">
      <formula1>$AJ$5:$AJ$7</formula1>
    </dataValidation>
    <dataValidation type="list" allowBlank="1" showInputMessage="1" showErrorMessage="1" sqref="B371" xr:uid="{00000000-0002-0000-0700-00000D000000}">
      <formula1>$AI$5:$AI$8</formula1>
    </dataValidation>
    <dataValidation type="list" allowBlank="1" showInputMessage="1" showErrorMessage="1" sqref="N371" xr:uid="{00000000-0002-0000-0700-00000E000000}">
      <formula1>$AK$40:$AK$50</formula1>
    </dataValidation>
    <dataValidation type="list" allowBlank="1" showInputMessage="1" showErrorMessage="1" sqref="O371" xr:uid="{00000000-0002-0000-0700-00000F000000}">
      <formula1>$AJ$40:$AJ$44</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4140625" defaultRowHeight="13.2" x14ac:dyDescent="0.25"/>
  <cols>
    <col min="1" max="1" width="9.5546875" style="1001" customWidth="1"/>
    <col min="2" max="2" width="14" style="1002" customWidth="1"/>
    <col min="3" max="3" width="21.6640625" style="1001" customWidth="1"/>
    <col min="4" max="4" width="16.44140625" style="1103" customWidth="1"/>
    <col min="5" max="5" width="14.88671875" style="1002" customWidth="1"/>
    <col min="6" max="6" width="39.6640625" style="1126" customWidth="1"/>
    <col min="7" max="7" width="20.33203125" style="1103" customWidth="1"/>
    <col min="8" max="8" width="17.6640625" style="1103" customWidth="1"/>
    <col min="9" max="9" width="13.33203125" style="1103" customWidth="1"/>
    <col min="10" max="10" width="17.6640625" style="1103" customWidth="1"/>
    <col min="11" max="11" width="15.6640625" style="1103" customWidth="1"/>
    <col min="12" max="12" width="19.5546875" style="1127" customWidth="1"/>
    <col min="13" max="13" width="20.44140625" style="1103" bestFit="1" customWidth="1"/>
    <col min="14" max="14" width="21.88671875" style="1103" customWidth="1"/>
    <col min="15" max="15" width="32.6640625" style="1103" customWidth="1"/>
    <col min="16" max="16" width="12.44140625" style="1103" bestFit="1" customWidth="1"/>
    <col min="17" max="17" width="18.44140625" style="1127" customWidth="1"/>
    <col min="18" max="19" width="11.44140625" style="1127"/>
    <col min="20" max="20" width="16.44140625" style="1157" bestFit="1" customWidth="1"/>
    <col min="21" max="16384" width="11.44140625" style="1103"/>
  </cols>
  <sheetData>
    <row r="1" spans="1:20" s="995" customFormat="1" ht="26.4" customHeight="1" x14ac:dyDescent="0.3">
      <c r="A1" s="991"/>
      <c r="B1" s="992"/>
      <c r="C1" s="992"/>
      <c r="D1" s="992"/>
      <c r="E1" s="993"/>
      <c r="F1" s="1451" t="s">
        <v>641</v>
      </c>
      <c r="G1" s="1451"/>
      <c r="H1" s="1451"/>
      <c r="I1" s="992"/>
      <c r="J1" s="992"/>
      <c r="K1" s="992"/>
      <c r="L1" s="992"/>
      <c r="M1" s="992"/>
      <c r="N1" s="992"/>
      <c r="O1" s="992"/>
      <c r="P1" s="992"/>
      <c r="Q1" s="994"/>
      <c r="R1" s="994"/>
      <c r="S1" s="994"/>
      <c r="T1" s="1154"/>
    </row>
    <row r="2" spans="1:20" s="995" customFormat="1" x14ac:dyDescent="0.3">
      <c r="A2" s="992"/>
      <c r="B2" s="992"/>
      <c r="C2" s="992"/>
      <c r="D2" s="992"/>
      <c r="E2" s="993"/>
      <c r="F2" s="996"/>
      <c r="G2" s="997"/>
      <c r="H2" s="992"/>
      <c r="I2" s="992"/>
      <c r="J2" s="992"/>
      <c r="K2" s="992"/>
      <c r="L2" s="992"/>
      <c r="M2" s="992"/>
      <c r="N2" s="992"/>
      <c r="O2" s="992"/>
      <c r="P2" s="992"/>
      <c r="Q2" s="994"/>
      <c r="R2" s="994"/>
      <c r="S2" s="994"/>
      <c r="T2" s="1154"/>
    </row>
    <row r="3" spans="1:20" s="995" customFormat="1" x14ac:dyDescent="0.3">
      <c r="B3" s="992"/>
      <c r="C3" s="992"/>
      <c r="D3" s="992"/>
      <c r="E3" s="993"/>
      <c r="F3" s="996" t="s">
        <v>1489</v>
      </c>
      <c r="G3" s="997"/>
      <c r="I3" s="992"/>
      <c r="J3" s="992"/>
      <c r="K3" s="992"/>
      <c r="L3" s="992"/>
      <c r="M3" s="992"/>
      <c r="N3" s="992"/>
      <c r="O3" s="992"/>
      <c r="P3" s="992"/>
      <c r="Q3" s="994"/>
      <c r="R3" s="994"/>
      <c r="S3" s="994"/>
      <c r="T3" s="1154"/>
    </row>
    <row r="4" spans="1:20" s="995" customFormat="1" x14ac:dyDescent="0.3">
      <c r="B4" s="994"/>
      <c r="D4" s="998"/>
      <c r="E4" s="994"/>
      <c r="F4" s="999"/>
      <c r="G4" s="998"/>
      <c r="H4" s="998"/>
      <c r="I4" s="998"/>
      <c r="J4" s="998"/>
      <c r="K4" s="998"/>
      <c r="L4" s="1000"/>
      <c r="M4" s="1452" t="s">
        <v>1490</v>
      </c>
      <c r="N4" s="1452"/>
      <c r="Q4" s="994"/>
      <c r="R4" s="994"/>
      <c r="S4" s="994"/>
      <c r="T4" s="1154"/>
    </row>
    <row r="5" spans="1:20" s="995" customFormat="1" x14ac:dyDescent="0.3">
      <c r="A5" s="1001"/>
      <c r="B5" s="1002"/>
      <c r="C5" s="1001"/>
      <c r="D5" s="1001"/>
      <c r="E5" s="994"/>
      <c r="F5" s="999"/>
      <c r="K5" s="1003"/>
      <c r="L5" s="1004"/>
      <c r="M5" s="1005">
        <f>+SUBTOTAL(9,M7:M616)</f>
        <v>67248064999.699997</v>
      </c>
      <c r="N5" s="1006"/>
      <c r="Q5" s="994"/>
      <c r="R5" s="994"/>
      <c r="S5" s="994"/>
      <c r="T5" s="1154"/>
    </row>
    <row r="6" spans="1:20" s="1012" customFormat="1" ht="66" x14ac:dyDescent="0.3">
      <c r="A6" s="1007" t="s">
        <v>646</v>
      </c>
      <c r="B6" s="1007" t="s">
        <v>642</v>
      </c>
      <c r="C6" s="1007" t="s">
        <v>647</v>
      </c>
      <c r="D6" s="1007" t="s">
        <v>648</v>
      </c>
      <c r="E6" s="1007" t="s">
        <v>649</v>
      </c>
      <c r="F6" s="1008" t="s">
        <v>650</v>
      </c>
      <c r="G6" s="1009" t="s">
        <v>651</v>
      </c>
      <c r="H6" s="1009" t="s">
        <v>652</v>
      </c>
      <c r="I6" s="1007" t="s">
        <v>1491</v>
      </c>
      <c r="J6" s="1007" t="s">
        <v>654</v>
      </c>
      <c r="K6" s="1007" t="s">
        <v>655</v>
      </c>
      <c r="L6" s="1010" t="s">
        <v>656</v>
      </c>
      <c r="M6" s="1007" t="s">
        <v>657</v>
      </c>
      <c r="N6" s="1007" t="s">
        <v>658</v>
      </c>
      <c r="O6" s="1007" t="s">
        <v>1492</v>
      </c>
      <c r="P6" s="1011" t="s">
        <v>664</v>
      </c>
      <c r="Q6" s="1007" t="s">
        <v>1493</v>
      </c>
      <c r="R6" s="1012" t="s">
        <v>663</v>
      </c>
      <c r="S6" s="1012" t="s">
        <v>665</v>
      </c>
      <c r="T6" s="1155" t="s">
        <v>1494</v>
      </c>
    </row>
    <row r="7" spans="1:20" s="1022" customFormat="1" ht="105.6" x14ac:dyDescent="0.3">
      <c r="A7" s="1013">
        <v>2022001</v>
      </c>
      <c r="B7" s="1013">
        <v>7637</v>
      </c>
      <c r="C7" s="1013" t="s">
        <v>643</v>
      </c>
      <c r="D7" s="1014" t="s">
        <v>671</v>
      </c>
      <c r="E7" s="1015">
        <v>80111600</v>
      </c>
      <c r="F7" s="1016" t="s">
        <v>672</v>
      </c>
      <c r="G7" s="1017" t="s">
        <v>1495</v>
      </c>
      <c r="H7" s="1017" t="s">
        <v>1495</v>
      </c>
      <c r="I7" s="1017">
        <v>11</v>
      </c>
      <c r="J7" s="1017" t="s">
        <v>1496</v>
      </c>
      <c r="K7" s="1018" t="s">
        <v>674</v>
      </c>
      <c r="L7" s="1019" t="s">
        <v>675</v>
      </c>
      <c r="M7" s="1020">
        <f>93500000-23400000</f>
        <v>70100000</v>
      </c>
      <c r="N7" s="1021" t="s">
        <v>732</v>
      </c>
      <c r="O7" s="1021" t="s">
        <v>1497</v>
      </c>
      <c r="P7" s="1021"/>
      <c r="Q7" s="1017"/>
      <c r="S7" s="1130"/>
      <c r="T7" s="1156"/>
    </row>
    <row r="8" spans="1:20" s="995" customFormat="1" ht="92.4" x14ac:dyDescent="0.3">
      <c r="A8" s="1023">
        <v>2022002</v>
      </c>
      <c r="B8" s="1023">
        <v>7637</v>
      </c>
      <c r="C8" s="1023" t="s">
        <v>643</v>
      </c>
      <c r="D8" s="1024" t="s">
        <v>671</v>
      </c>
      <c r="E8" s="1025">
        <v>80111600</v>
      </c>
      <c r="F8" s="1026" t="s">
        <v>681</v>
      </c>
      <c r="G8" s="1027" t="s">
        <v>1495</v>
      </c>
      <c r="H8" s="1027" t="s">
        <v>1495</v>
      </c>
      <c r="I8" s="1027">
        <v>11</v>
      </c>
      <c r="J8" s="1027" t="s">
        <v>1496</v>
      </c>
      <c r="K8" s="1028" t="s">
        <v>674</v>
      </c>
      <c r="L8" s="1029" t="s">
        <v>675</v>
      </c>
      <c r="M8" s="1030">
        <v>77000000</v>
      </c>
      <c r="N8" s="1031" t="s">
        <v>732</v>
      </c>
      <c r="O8" s="1031" t="s">
        <v>1497</v>
      </c>
      <c r="P8" s="1031"/>
      <c r="Q8" s="1027"/>
      <c r="R8" s="1022"/>
      <c r="S8" s="1130">
        <v>259</v>
      </c>
      <c r="T8" s="1156">
        <v>74800000</v>
      </c>
    </row>
    <row r="9" spans="1:20" s="995" customFormat="1" ht="92.4" x14ac:dyDescent="0.3">
      <c r="A9" s="1023">
        <v>2022003</v>
      </c>
      <c r="B9" s="1023">
        <v>7637</v>
      </c>
      <c r="C9" s="1023" t="s">
        <v>643</v>
      </c>
      <c r="D9" s="1024" t="s">
        <v>671</v>
      </c>
      <c r="E9" s="1025">
        <v>80111600</v>
      </c>
      <c r="F9" s="1026" t="s">
        <v>684</v>
      </c>
      <c r="G9" s="1027" t="s">
        <v>1495</v>
      </c>
      <c r="H9" s="1027" t="s">
        <v>1495</v>
      </c>
      <c r="I9" s="1027">
        <v>11</v>
      </c>
      <c r="J9" s="1027" t="s">
        <v>1496</v>
      </c>
      <c r="K9" s="1028" t="s">
        <v>674</v>
      </c>
      <c r="L9" s="1029" t="s">
        <v>675</v>
      </c>
      <c r="M9" s="1030">
        <v>77000000</v>
      </c>
      <c r="N9" s="1031" t="s">
        <v>738</v>
      </c>
      <c r="O9" s="1031" t="s">
        <v>1497</v>
      </c>
      <c r="P9" s="1031"/>
      <c r="Q9" s="1027"/>
      <c r="R9" s="1022"/>
      <c r="S9" s="1130">
        <v>404</v>
      </c>
      <c r="T9" s="1156">
        <v>49600000</v>
      </c>
    </row>
    <row r="10" spans="1:20" s="995" customFormat="1" ht="92.4" x14ac:dyDescent="0.3">
      <c r="A10" s="1023">
        <v>2022004</v>
      </c>
      <c r="B10" s="1023">
        <v>7637</v>
      </c>
      <c r="C10" s="1023" t="s">
        <v>643</v>
      </c>
      <c r="D10" s="1024" t="s">
        <v>671</v>
      </c>
      <c r="E10" s="1025">
        <v>80111600</v>
      </c>
      <c r="F10" s="1026" t="s">
        <v>688</v>
      </c>
      <c r="G10" s="1027" t="s">
        <v>1495</v>
      </c>
      <c r="H10" s="1027" t="s">
        <v>1495</v>
      </c>
      <c r="I10" s="1027">
        <v>11</v>
      </c>
      <c r="J10" s="1027" t="s">
        <v>1496</v>
      </c>
      <c r="K10" s="1028" t="s">
        <v>674</v>
      </c>
      <c r="L10" s="1029" t="s">
        <v>675</v>
      </c>
      <c r="M10" s="1030">
        <v>77000000</v>
      </c>
      <c r="N10" s="1031" t="s">
        <v>732</v>
      </c>
      <c r="O10" s="1031" t="s">
        <v>1497</v>
      </c>
      <c r="P10" s="1031"/>
      <c r="Q10" s="1027"/>
      <c r="R10" s="1022"/>
      <c r="S10" s="1130">
        <v>311</v>
      </c>
      <c r="T10" s="1156">
        <v>74800000</v>
      </c>
    </row>
    <row r="11" spans="1:20" s="995" customFormat="1" ht="92.4" x14ac:dyDescent="0.3">
      <c r="A11" s="1023">
        <v>2022005</v>
      </c>
      <c r="B11" s="1023">
        <v>7637</v>
      </c>
      <c r="C11" s="1023" t="s">
        <v>643</v>
      </c>
      <c r="D11" s="1024" t="s">
        <v>671</v>
      </c>
      <c r="E11" s="1025">
        <v>80111600</v>
      </c>
      <c r="F11" s="1026" t="s">
        <v>691</v>
      </c>
      <c r="G11" s="1027" t="s">
        <v>1495</v>
      </c>
      <c r="H11" s="1027" t="s">
        <v>1495</v>
      </c>
      <c r="I11" s="1027">
        <v>11</v>
      </c>
      <c r="J11" s="1027" t="s">
        <v>1496</v>
      </c>
      <c r="K11" s="1028" t="s">
        <v>674</v>
      </c>
      <c r="L11" s="1029" t="s">
        <v>675</v>
      </c>
      <c r="M11" s="1030">
        <v>77000000</v>
      </c>
      <c r="N11" s="1031" t="s">
        <v>732</v>
      </c>
      <c r="O11" s="1031" t="s">
        <v>1497</v>
      </c>
      <c r="P11" s="1031"/>
      <c r="Q11" s="1027"/>
      <c r="R11" s="1022"/>
      <c r="S11" s="1130">
        <v>452</v>
      </c>
      <c r="T11" s="1156">
        <v>40800000</v>
      </c>
    </row>
    <row r="12" spans="1:20" s="995" customFormat="1" ht="92.4" x14ac:dyDescent="0.3">
      <c r="A12" s="1023">
        <v>2022006</v>
      </c>
      <c r="B12" s="1023">
        <v>7637</v>
      </c>
      <c r="C12" s="1023" t="s">
        <v>643</v>
      </c>
      <c r="D12" s="1024" t="s">
        <v>671</v>
      </c>
      <c r="E12" s="1025">
        <v>80111600</v>
      </c>
      <c r="F12" s="1026" t="s">
        <v>694</v>
      </c>
      <c r="G12" s="1027" t="s">
        <v>1495</v>
      </c>
      <c r="H12" s="1027" t="s">
        <v>1495</v>
      </c>
      <c r="I12" s="1027">
        <v>11</v>
      </c>
      <c r="J12" s="1027" t="s">
        <v>1496</v>
      </c>
      <c r="K12" s="1028" t="s">
        <v>674</v>
      </c>
      <c r="L12" s="1029" t="s">
        <v>675</v>
      </c>
      <c r="M12" s="1030">
        <v>66000000</v>
      </c>
      <c r="N12" s="1031" t="s">
        <v>732</v>
      </c>
      <c r="O12" s="1031" t="s">
        <v>1497</v>
      </c>
      <c r="P12" s="1031"/>
      <c r="Q12" s="1027"/>
      <c r="R12" s="1022"/>
      <c r="S12" s="1130">
        <v>474</v>
      </c>
      <c r="T12" s="1156">
        <v>48000000</v>
      </c>
    </row>
    <row r="13" spans="1:20" s="995" customFormat="1" ht="92.4" x14ac:dyDescent="0.3">
      <c r="A13" s="1023">
        <v>2022007</v>
      </c>
      <c r="B13" s="1023">
        <v>7637</v>
      </c>
      <c r="C13" s="1023" t="s">
        <v>643</v>
      </c>
      <c r="D13" s="1024" t="s">
        <v>671</v>
      </c>
      <c r="E13" s="1025">
        <v>80111600</v>
      </c>
      <c r="F13" s="1026" t="s">
        <v>697</v>
      </c>
      <c r="G13" s="1027" t="s">
        <v>1495</v>
      </c>
      <c r="H13" s="1027" t="s">
        <v>1495</v>
      </c>
      <c r="I13" s="1027">
        <v>11</v>
      </c>
      <c r="J13" s="1027" t="s">
        <v>1496</v>
      </c>
      <c r="K13" s="1028" t="s">
        <v>674</v>
      </c>
      <c r="L13" s="1029" t="s">
        <v>675</v>
      </c>
      <c r="M13" s="1030">
        <v>77000000</v>
      </c>
      <c r="N13" s="1031" t="s">
        <v>732</v>
      </c>
      <c r="O13" s="1031" t="s">
        <v>1497</v>
      </c>
      <c r="P13" s="1031"/>
      <c r="Q13" s="1027"/>
      <c r="R13" s="1022"/>
      <c r="S13" s="1130">
        <v>260</v>
      </c>
      <c r="T13" s="1156">
        <v>74800000</v>
      </c>
    </row>
    <row r="14" spans="1:20" s="995" customFormat="1" ht="92.4" x14ac:dyDescent="0.3">
      <c r="A14" s="1023">
        <v>2022008</v>
      </c>
      <c r="B14" s="1023">
        <v>7637</v>
      </c>
      <c r="C14" s="1023" t="s">
        <v>643</v>
      </c>
      <c r="D14" s="1024" t="s">
        <v>671</v>
      </c>
      <c r="E14" s="1025">
        <v>80111600</v>
      </c>
      <c r="F14" s="1026" t="s">
        <v>700</v>
      </c>
      <c r="G14" s="1027" t="s">
        <v>1495</v>
      </c>
      <c r="H14" s="1027" t="s">
        <v>1495</v>
      </c>
      <c r="I14" s="1027">
        <v>11</v>
      </c>
      <c r="J14" s="1027" t="s">
        <v>1496</v>
      </c>
      <c r="K14" s="1028" t="s">
        <v>674</v>
      </c>
      <c r="L14" s="1029" t="s">
        <v>675</v>
      </c>
      <c r="M14" s="1030">
        <v>77000000</v>
      </c>
      <c r="N14" s="1031" t="s">
        <v>732</v>
      </c>
      <c r="O14" s="1031" t="s">
        <v>1497</v>
      </c>
      <c r="P14" s="1031"/>
      <c r="Q14" s="1027"/>
      <c r="R14" s="1022"/>
      <c r="S14" s="1130">
        <v>310</v>
      </c>
      <c r="T14" s="1156">
        <v>74800000</v>
      </c>
    </row>
    <row r="15" spans="1:20" s="995" customFormat="1" ht="92.4" x14ac:dyDescent="0.3">
      <c r="A15" s="1023">
        <v>2022009</v>
      </c>
      <c r="B15" s="1023">
        <v>7637</v>
      </c>
      <c r="C15" s="1023" t="s">
        <v>643</v>
      </c>
      <c r="D15" s="1024" t="s">
        <v>671</v>
      </c>
      <c r="E15" s="1025">
        <v>80111600</v>
      </c>
      <c r="F15" s="1026" t="s">
        <v>703</v>
      </c>
      <c r="G15" s="1027" t="s">
        <v>1495</v>
      </c>
      <c r="H15" s="1027" t="s">
        <v>1495</v>
      </c>
      <c r="I15" s="1027">
        <v>11</v>
      </c>
      <c r="J15" s="1027" t="s">
        <v>1496</v>
      </c>
      <c r="K15" s="1028" t="s">
        <v>674</v>
      </c>
      <c r="L15" s="1029" t="s">
        <v>675</v>
      </c>
      <c r="M15" s="1030">
        <v>77000000</v>
      </c>
      <c r="N15" s="1031" t="s">
        <v>736</v>
      </c>
      <c r="O15" s="1031" t="s">
        <v>1497</v>
      </c>
      <c r="P15" s="1031"/>
      <c r="Q15" s="1027"/>
      <c r="R15" s="1022"/>
      <c r="S15" s="1130">
        <v>459</v>
      </c>
      <c r="T15" s="1156">
        <v>49600000</v>
      </c>
    </row>
    <row r="16" spans="1:20" s="995" customFormat="1" ht="92.4" x14ac:dyDescent="0.3">
      <c r="A16" s="1023">
        <v>2022010</v>
      </c>
      <c r="B16" s="1023">
        <v>7637</v>
      </c>
      <c r="C16" s="1023" t="s">
        <v>643</v>
      </c>
      <c r="D16" s="1024" t="s">
        <v>671</v>
      </c>
      <c r="E16" s="1025">
        <v>80111600</v>
      </c>
      <c r="F16" s="1026" t="s">
        <v>706</v>
      </c>
      <c r="G16" s="1027" t="s">
        <v>1495</v>
      </c>
      <c r="H16" s="1027" t="s">
        <v>1495</v>
      </c>
      <c r="I16" s="1027">
        <v>11</v>
      </c>
      <c r="J16" s="1027" t="s">
        <v>1496</v>
      </c>
      <c r="K16" s="1028" t="s">
        <v>674</v>
      </c>
      <c r="L16" s="1029" t="s">
        <v>675</v>
      </c>
      <c r="M16" s="1030">
        <v>66000000</v>
      </c>
      <c r="N16" s="1031" t="s">
        <v>732</v>
      </c>
      <c r="O16" s="1031" t="s">
        <v>1497</v>
      </c>
      <c r="P16" s="1031"/>
      <c r="Q16" s="1027"/>
      <c r="R16" s="1022"/>
      <c r="S16" s="1130">
        <v>449</v>
      </c>
      <c r="T16" s="1156">
        <v>49600000</v>
      </c>
    </row>
    <row r="17" spans="1:20" s="995" customFormat="1" ht="92.4" x14ac:dyDescent="0.3">
      <c r="A17" s="1023">
        <v>2022011</v>
      </c>
      <c r="B17" s="1023">
        <v>7637</v>
      </c>
      <c r="C17" s="1023" t="s">
        <v>643</v>
      </c>
      <c r="D17" s="1024" t="s">
        <v>671</v>
      </c>
      <c r="E17" s="1025">
        <v>80111600</v>
      </c>
      <c r="F17" s="1026" t="s">
        <v>708</v>
      </c>
      <c r="G17" s="1027" t="s">
        <v>1495</v>
      </c>
      <c r="H17" s="1027" t="s">
        <v>1495</v>
      </c>
      <c r="I17" s="1027">
        <v>11</v>
      </c>
      <c r="J17" s="1027" t="s">
        <v>1496</v>
      </c>
      <c r="K17" s="1028" t="s">
        <v>674</v>
      </c>
      <c r="L17" s="1029" t="s">
        <v>675</v>
      </c>
      <c r="M17" s="1030">
        <v>33000000</v>
      </c>
      <c r="N17" s="1031" t="s">
        <v>732</v>
      </c>
      <c r="O17" s="1031" t="s">
        <v>1497</v>
      </c>
      <c r="P17" s="1031"/>
      <c r="Q17" s="1027"/>
      <c r="R17" s="1022"/>
      <c r="S17" s="1130">
        <v>372</v>
      </c>
      <c r="T17" s="1156">
        <v>24000000</v>
      </c>
    </row>
    <row r="18" spans="1:20" s="995" customFormat="1" ht="92.4" x14ac:dyDescent="0.3">
      <c r="A18" s="1023">
        <v>2022012</v>
      </c>
      <c r="B18" s="1023">
        <v>7637</v>
      </c>
      <c r="C18" s="1023" t="s">
        <v>643</v>
      </c>
      <c r="D18" s="1024" t="s">
        <v>671</v>
      </c>
      <c r="E18" s="1025">
        <v>80111600</v>
      </c>
      <c r="F18" s="1026" t="s">
        <v>710</v>
      </c>
      <c r="G18" s="1027" t="s">
        <v>1495</v>
      </c>
      <c r="H18" s="1027" t="s">
        <v>1495</v>
      </c>
      <c r="I18" s="1027">
        <v>11</v>
      </c>
      <c r="J18" s="1027" t="s">
        <v>1496</v>
      </c>
      <c r="K18" s="1028" t="s">
        <v>674</v>
      </c>
      <c r="L18" s="1029" t="s">
        <v>675</v>
      </c>
      <c r="M18" s="1030">
        <v>49500000</v>
      </c>
      <c r="N18" s="1031" t="s">
        <v>732</v>
      </c>
      <c r="O18" s="1031" t="s">
        <v>1497</v>
      </c>
      <c r="P18" s="1031"/>
      <c r="Q18" s="1027"/>
      <c r="R18" s="1022"/>
      <c r="S18" s="1130">
        <v>209</v>
      </c>
      <c r="T18" s="1156">
        <v>49500000</v>
      </c>
    </row>
    <row r="19" spans="1:20" s="995" customFormat="1" ht="92.4" x14ac:dyDescent="0.3">
      <c r="A19" s="1023">
        <v>2022013</v>
      </c>
      <c r="B19" s="1023">
        <v>7637</v>
      </c>
      <c r="C19" s="1023" t="s">
        <v>643</v>
      </c>
      <c r="D19" s="1024" t="s">
        <v>671</v>
      </c>
      <c r="E19" s="1025">
        <v>80111600</v>
      </c>
      <c r="F19" s="1026" t="s">
        <v>712</v>
      </c>
      <c r="G19" s="1027" t="s">
        <v>1495</v>
      </c>
      <c r="H19" s="1027" t="s">
        <v>1495</v>
      </c>
      <c r="I19" s="1027">
        <v>11</v>
      </c>
      <c r="J19" s="1027" t="s">
        <v>1496</v>
      </c>
      <c r="K19" s="1028" t="s">
        <v>674</v>
      </c>
      <c r="L19" s="1029" t="s">
        <v>675</v>
      </c>
      <c r="M19" s="1030">
        <v>49500000</v>
      </c>
      <c r="N19" s="1031" t="s">
        <v>732</v>
      </c>
      <c r="O19" s="1031" t="s">
        <v>1497</v>
      </c>
      <c r="P19" s="1031"/>
      <c r="Q19" s="1027"/>
      <c r="R19" s="1022"/>
      <c r="S19" s="1130">
        <v>448</v>
      </c>
      <c r="T19" s="1156">
        <v>49500000</v>
      </c>
    </row>
    <row r="20" spans="1:20" s="995" customFormat="1" ht="92.4" x14ac:dyDescent="0.3">
      <c r="A20" s="1023">
        <v>2022014</v>
      </c>
      <c r="B20" s="1023">
        <v>7637</v>
      </c>
      <c r="C20" s="1023" t="s">
        <v>643</v>
      </c>
      <c r="D20" s="1024" t="s">
        <v>671</v>
      </c>
      <c r="E20" s="1025">
        <v>80111600</v>
      </c>
      <c r="F20" s="1026" t="s">
        <v>714</v>
      </c>
      <c r="G20" s="1027" t="s">
        <v>1495</v>
      </c>
      <c r="H20" s="1027" t="s">
        <v>1495</v>
      </c>
      <c r="I20" s="1027">
        <v>11</v>
      </c>
      <c r="J20" s="1027" t="s">
        <v>1496</v>
      </c>
      <c r="K20" s="1028" t="s">
        <v>674</v>
      </c>
      <c r="L20" s="1029" t="s">
        <v>675</v>
      </c>
      <c r="M20" s="1030">
        <v>77000000</v>
      </c>
      <c r="N20" s="1031" t="s">
        <v>736</v>
      </c>
      <c r="O20" s="1031" t="s">
        <v>1497</v>
      </c>
      <c r="P20" s="1031"/>
      <c r="Q20" s="1027"/>
      <c r="R20" s="1022"/>
      <c r="S20" s="1130">
        <v>74</v>
      </c>
      <c r="T20" s="1156">
        <v>54400000</v>
      </c>
    </row>
    <row r="21" spans="1:20" s="995" customFormat="1" ht="92.4" x14ac:dyDescent="0.3">
      <c r="A21" s="1023">
        <v>2022015</v>
      </c>
      <c r="B21" s="1023">
        <v>7637</v>
      </c>
      <c r="C21" s="1023" t="s">
        <v>643</v>
      </c>
      <c r="D21" s="1024" t="s">
        <v>671</v>
      </c>
      <c r="E21" s="1025">
        <v>80111600</v>
      </c>
      <c r="F21" s="1026" t="s">
        <v>716</v>
      </c>
      <c r="G21" s="1027" t="s">
        <v>1495</v>
      </c>
      <c r="H21" s="1027" t="s">
        <v>1495</v>
      </c>
      <c r="I21" s="1027">
        <v>11</v>
      </c>
      <c r="J21" s="1027" t="s">
        <v>1496</v>
      </c>
      <c r="K21" s="1028" t="s">
        <v>674</v>
      </c>
      <c r="L21" s="1029" t="s">
        <v>675</v>
      </c>
      <c r="M21" s="1030">
        <v>77000000</v>
      </c>
      <c r="N21" s="1031" t="s">
        <v>732</v>
      </c>
      <c r="O21" s="1031" t="s">
        <v>1497</v>
      </c>
      <c r="P21" s="1031"/>
      <c r="Q21" s="1027"/>
      <c r="R21" s="1022"/>
      <c r="S21" s="1130">
        <v>387</v>
      </c>
      <c r="T21" s="1156">
        <v>54400000</v>
      </c>
    </row>
    <row r="22" spans="1:20" s="995" customFormat="1" ht="92.4" x14ac:dyDescent="0.3">
      <c r="A22" s="1023">
        <v>2022016</v>
      </c>
      <c r="B22" s="1023">
        <v>7637</v>
      </c>
      <c r="C22" s="1023" t="s">
        <v>643</v>
      </c>
      <c r="D22" s="1024" t="s">
        <v>671</v>
      </c>
      <c r="E22" s="1025">
        <v>80111600</v>
      </c>
      <c r="F22" s="1026" t="s">
        <v>718</v>
      </c>
      <c r="G22" s="1027" t="s">
        <v>1495</v>
      </c>
      <c r="H22" s="1027" t="s">
        <v>1495</v>
      </c>
      <c r="I22" s="1027">
        <v>9.9</v>
      </c>
      <c r="J22" s="1027" t="s">
        <v>1496</v>
      </c>
      <c r="K22" s="1028" t="s">
        <v>674</v>
      </c>
      <c r="L22" s="1029" t="s">
        <v>675</v>
      </c>
      <c r="M22" s="1030">
        <v>49500000</v>
      </c>
      <c r="N22" s="1031" t="s">
        <v>736</v>
      </c>
      <c r="O22" s="1031" t="s">
        <v>1497</v>
      </c>
      <c r="P22" s="1031"/>
      <c r="Q22" s="1027"/>
      <c r="R22" s="1022"/>
      <c r="S22" s="1130">
        <v>472</v>
      </c>
      <c r="T22" s="1156">
        <v>30000000</v>
      </c>
    </row>
    <row r="23" spans="1:20" s="995" customFormat="1" ht="92.4" x14ac:dyDescent="0.3">
      <c r="A23" s="1023">
        <v>2022017</v>
      </c>
      <c r="B23" s="1023">
        <v>7637</v>
      </c>
      <c r="C23" s="1023" t="s">
        <v>643</v>
      </c>
      <c r="D23" s="1024" t="s">
        <v>671</v>
      </c>
      <c r="E23" s="1025">
        <v>80111600</v>
      </c>
      <c r="F23" s="1026" t="s">
        <v>719</v>
      </c>
      <c r="G23" s="1027" t="s">
        <v>1495</v>
      </c>
      <c r="H23" s="1027" t="s">
        <v>1495</v>
      </c>
      <c r="I23" s="1027">
        <v>11</v>
      </c>
      <c r="J23" s="1027" t="s">
        <v>1496</v>
      </c>
      <c r="K23" s="1028" t="s">
        <v>674</v>
      </c>
      <c r="L23" s="1029" t="s">
        <v>675</v>
      </c>
      <c r="M23" s="1030">
        <v>33000000</v>
      </c>
      <c r="N23" s="1031" t="s">
        <v>732</v>
      </c>
      <c r="O23" s="1031" t="s">
        <v>1497</v>
      </c>
      <c r="P23" s="1031"/>
      <c r="Q23" s="1027"/>
      <c r="R23" s="1022"/>
      <c r="S23" s="1130">
        <v>313</v>
      </c>
      <c r="T23" s="1156">
        <v>16800000</v>
      </c>
    </row>
    <row r="24" spans="1:20" s="995" customFormat="1" ht="92.4" x14ac:dyDescent="0.3">
      <c r="A24" s="1023">
        <v>2022018</v>
      </c>
      <c r="B24" s="1023">
        <v>7637</v>
      </c>
      <c r="C24" s="1027" t="s">
        <v>643</v>
      </c>
      <c r="D24" s="1024" t="s">
        <v>671</v>
      </c>
      <c r="E24" s="1025">
        <v>80111600</v>
      </c>
      <c r="F24" s="1026" t="s">
        <v>721</v>
      </c>
      <c r="G24" s="1027" t="s">
        <v>1495</v>
      </c>
      <c r="H24" s="1027" t="s">
        <v>1495</v>
      </c>
      <c r="I24" s="1027" t="s">
        <v>1498</v>
      </c>
      <c r="J24" s="1027" t="s">
        <v>1496</v>
      </c>
      <c r="K24" s="1027" t="s">
        <v>674</v>
      </c>
      <c r="L24" s="1027" t="s">
        <v>675</v>
      </c>
      <c r="M24" s="1030">
        <f>33000000-3500000</f>
        <v>29500000</v>
      </c>
      <c r="N24" s="1031" t="s">
        <v>732</v>
      </c>
      <c r="O24" s="1031" t="s">
        <v>1497</v>
      </c>
      <c r="P24" s="1031"/>
      <c r="Q24" s="1027"/>
      <c r="R24" s="1022"/>
      <c r="S24" s="1130">
        <v>451</v>
      </c>
      <c r="T24" s="1156">
        <v>24000000</v>
      </c>
    </row>
    <row r="25" spans="1:20" s="995" customFormat="1" ht="92.4" x14ac:dyDescent="0.3">
      <c r="A25" s="1023">
        <v>2022019</v>
      </c>
      <c r="B25" s="1023">
        <v>7637</v>
      </c>
      <c r="C25" s="1023" t="s">
        <v>643</v>
      </c>
      <c r="D25" s="1024" t="s">
        <v>671</v>
      </c>
      <c r="E25" s="1025">
        <v>80111600</v>
      </c>
      <c r="F25" s="1026" t="s">
        <v>723</v>
      </c>
      <c r="G25" s="1027" t="s">
        <v>1495</v>
      </c>
      <c r="H25" s="1027" t="s">
        <v>1495</v>
      </c>
      <c r="I25" s="1027">
        <v>11</v>
      </c>
      <c r="J25" s="1027" t="s">
        <v>1496</v>
      </c>
      <c r="K25" s="1027" t="s">
        <v>674</v>
      </c>
      <c r="L25" s="1029" t="s">
        <v>675</v>
      </c>
      <c r="M25" s="1030">
        <v>68200000</v>
      </c>
      <c r="N25" s="1031" t="s">
        <v>732</v>
      </c>
      <c r="O25" s="1031" t="s">
        <v>1497</v>
      </c>
      <c r="P25" s="1031"/>
      <c r="Q25" s="1027"/>
      <c r="R25" s="1022"/>
      <c r="S25" s="1130">
        <v>415</v>
      </c>
      <c r="T25" s="1156">
        <v>41400000</v>
      </c>
    </row>
    <row r="26" spans="1:20" s="995" customFormat="1" ht="92.4" x14ac:dyDescent="0.3">
      <c r="A26" s="1023">
        <v>2022020</v>
      </c>
      <c r="B26" s="1023">
        <v>7637</v>
      </c>
      <c r="C26" s="1023" t="s">
        <v>643</v>
      </c>
      <c r="D26" s="1024" t="s">
        <v>671</v>
      </c>
      <c r="E26" s="1025">
        <v>80111600</v>
      </c>
      <c r="F26" s="1026" t="s">
        <v>725</v>
      </c>
      <c r="G26" s="1027" t="s">
        <v>1495</v>
      </c>
      <c r="H26" s="1027" t="s">
        <v>1495</v>
      </c>
      <c r="I26" s="1027">
        <v>11</v>
      </c>
      <c r="J26" s="1027" t="s">
        <v>1496</v>
      </c>
      <c r="K26" s="1027" t="s">
        <v>674</v>
      </c>
      <c r="L26" s="1029" t="s">
        <v>675</v>
      </c>
      <c r="M26" s="1030">
        <v>49500000</v>
      </c>
      <c r="N26" s="1031" t="s">
        <v>732</v>
      </c>
      <c r="O26" s="1031" t="s">
        <v>1497</v>
      </c>
      <c r="P26" s="1031"/>
      <c r="Q26" s="1027"/>
      <c r="R26" s="1022"/>
      <c r="S26" s="1130">
        <v>284</v>
      </c>
      <c r="T26" s="1156">
        <v>36000000</v>
      </c>
    </row>
    <row r="27" spans="1:20" s="995" customFormat="1" ht="92.4" x14ac:dyDescent="0.3">
      <c r="A27" s="1013">
        <v>2022021</v>
      </c>
      <c r="B27" s="1013">
        <v>7637</v>
      </c>
      <c r="C27" s="1013" t="s">
        <v>643</v>
      </c>
      <c r="D27" s="1019" t="s">
        <v>671</v>
      </c>
      <c r="E27" s="1032" t="s">
        <v>1499</v>
      </c>
      <c r="F27" s="1016" t="s">
        <v>1500</v>
      </c>
      <c r="G27" s="1017" t="s">
        <v>1501</v>
      </c>
      <c r="H27" s="1017" t="s">
        <v>1502</v>
      </c>
      <c r="I27" s="1017">
        <v>6</v>
      </c>
      <c r="J27" s="1017" t="s">
        <v>1503</v>
      </c>
      <c r="K27" s="1017" t="s">
        <v>674</v>
      </c>
      <c r="L27" s="1019" t="s">
        <v>729</v>
      </c>
      <c r="M27" s="1020">
        <v>60000000</v>
      </c>
      <c r="N27" s="1021" t="s">
        <v>732</v>
      </c>
      <c r="O27" s="1021" t="s">
        <v>1497</v>
      </c>
      <c r="P27" s="1021"/>
      <c r="Q27" s="1017"/>
      <c r="R27" s="1022"/>
      <c r="S27" s="1130"/>
      <c r="T27" s="1156"/>
    </row>
    <row r="28" spans="1:20" s="995" customFormat="1" ht="92.4" x14ac:dyDescent="0.3">
      <c r="A28" s="1013">
        <v>2022022</v>
      </c>
      <c r="B28" s="1013">
        <v>7637</v>
      </c>
      <c r="C28" s="1013" t="s">
        <v>643</v>
      </c>
      <c r="D28" s="1019" t="s">
        <v>671</v>
      </c>
      <c r="E28" s="1032" t="s">
        <v>1504</v>
      </c>
      <c r="F28" s="1016" t="s">
        <v>728</v>
      </c>
      <c r="G28" s="1017" t="s">
        <v>1495</v>
      </c>
      <c r="H28" s="1017" t="s">
        <v>1505</v>
      </c>
      <c r="I28" s="1017">
        <v>1</v>
      </c>
      <c r="J28" s="1017" t="s">
        <v>1506</v>
      </c>
      <c r="K28" s="1017" t="s">
        <v>674</v>
      </c>
      <c r="L28" s="1019" t="s">
        <v>729</v>
      </c>
      <c r="M28" s="1020">
        <v>600000000</v>
      </c>
      <c r="N28" s="1021" t="s">
        <v>732</v>
      </c>
      <c r="O28" s="1021" t="s">
        <v>1497</v>
      </c>
      <c r="P28" s="1021"/>
      <c r="Q28" s="1017"/>
      <c r="R28" s="1022"/>
      <c r="S28" s="1130"/>
      <c r="T28" s="1156"/>
    </row>
    <row r="29" spans="1:20" s="995" customFormat="1" ht="92.4" x14ac:dyDescent="0.3">
      <c r="A29" s="1013">
        <v>2022023</v>
      </c>
      <c r="B29" s="1013">
        <v>7637</v>
      </c>
      <c r="C29" s="1013" t="s">
        <v>643</v>
      </c>
      <c r="D29" s="1019" t="s">
        <v>671</v>
      </c>
      <c r="E29" s="1032">
        <v>81112401</v>
      </c>
      <c r="F29" s="1016" t="s">
        <v>731</v>
      </c>
      <c r="G29" s="1017" t="s">
        <v>1501</v>
      </c>
      <c r="H29" s="1017" t="s">
        <v>1501</v>
      </c>
      <c r="I29" s="1017">
        <v>3</v>
      </c>
      <c r="J29" s="1017" t="s">
        <v>1506</v>
      </c>
      <c r="K29" s="1017" t="s">
        <v>674</v>
      </c>
      <c r="L29" s="1019" t="s">
        <v>729</v>
      </c>
      <c r="M29" s="1020">
        <v>195700000</v>
      </c>
      <c r="N29" s="1021" t="s">
        <v>732</v>
      </c>
      <c r="O29" s="1021" t="s">
        <v>1497</v>
      </c>
      <c r="P29" s="1021"/>
      <c r="Q29" s="1017"/>
      <c r="R29" s="1022"/>
      <c r="S29" s="1130"/>
      <c r="T29" s="1156"/>
    </row>
    <row r="30" spans="1:20" s="995" customFormat="1" ht="92.4" x14ac:dyDescent="0.3">
      <c r="A30" s="1013">
        <v>2022024</v>
      </c>
      <c r="B30" s="1013">
        <v>7637</v>
      </c>
      <c r="C30" s="1013" t="s">
        <v>643</v>
      </c>
      <c r="D30" s="1019" t="s">
        <v>671</v>
      </c>
      <c r="E30" s="1032" t="s">
        <v>1507</v>
      </c>
      <c r="F30" s="1016" t="s">
        <v>1508</v>
      </c>
      <c r="G30" s="1017" t="s">
        <v>1505</v>
      </c>
      <c r="H30" s="1017" t="s">
        <v>1502</v>
      </c>
      <c r="I30" s="1017">
        <v>6</v>
      </c>
      <c r="J30" s="1017" t="s">
        <v>1503</v>
      </c>
      <c r="K30" s="1017" t="s">
        <v>674</v>
      </c>
      <c r="L30" s="1019" t="s">
        <v>675</v>
      </c>
      <c r="M30" s="1020">
        <v>114000000</v>
      </c>
      <c r="N30" s="1021" t="s">
        <v>732</v>
      </c>
      <c r="O30" s="1021" t="s">
        <v>1497</v>
      </c>
      <c r="P30" s="1021"/>
      <c r="Q30" s="1017"/>
      <c r="R30" s="1022"/>
      <c r="S30" s="1130"/>
      <c r="T30" s="1156"/>
    </row>
    <row r="31" spans="1:20" s="995" customFormat="1" ht="92.4" x14ac:dyDescent="0.3">
      <c r="A31" s="1013">
        <v>2022025</v>
      </c>
      <c r="B31" s="1013">
        <v>7637</v>
      </c>
      <c r="C31" s="1013" t="s">
        <v>643</v>
      </c>
      <c r="D31" s="1019" t="s">
        <v>671</v>
      </c>
      <c r="E31" s="1032">
        <v>81112217</v>
      </c>
      <c r="F31" s="1016" t="s">
        <v>737</v>
      </c>
      <c r="G31" s="1017" t="s">
        <v>1509</v>
      </c>
      <c r="H31" s="1017" t="s">
        <v>1510</v>
      </c>
      <c r="I31" s="1017">
        <v>12</v>
      </c>
      <c r="J31" s="1017" t="s">
        <v>1506</v>
      </c>
      <c r="K31" s="1017" t="s">
        <v>674</v>
      </c>
      <c r="L31" s="1019" t="s">
        <v>735</v>
      </c>
      <c r="M31" s="1020">
        <v>50000000</v>
      </c>
      <c r="N31" s="1021" t="s">
        <v>738</v>
      </c>
      <c r="O31" s="1021" t="s">
        <v>1497</v>
      </c>
      <c r="P31" s="1021"/>
      <c r="Q31" s="1017"/>
      <c r="R31" s="1022"/>
      <c r="S31" s="1130"/>
      <c r="T31" s="1156"/>
    </row>
    <row r="32" spans="1:20" s="995" customFormat="1" ht="92.4" x14ac:dyDescent="0.3">
      <c r="A32" s="1023">
        <v>2022026</v>
      </c>
      <c r="B32" s="1023">
        <v>7637</v>
      </c>
      <c r="C32" s="1023" t="s">
        <v>643</v>
      </c>
      <c r="D32" s="1029" t="s">
        <v>671</v>
      </c>
      <c r="E32" s="1033" t="s">
        <v>1511</v>
      </c>
      <c r="F32" s="1026" t="s">
        <v>740</v>
      </c>
      <c r="G32" s="1027" t="s">
        <v>1509</v>
      </c>
      <c r="H32" s="1027" t="s">
        <v>1510</v>
      </c>
      <c r="I32" s="1027">
        <v>12</v>
      </c>
      <c r="J32" s="1027" t="s">
        <v>1506</v>
      </c>
      <c r="K32" s="1027" t="s">
        <v>674</v>
      </c>
      <c r="L32" s="1029" t="s">
        <v>735</v>
      </c>
      <c r="M32" s="1030">
        <v>150000000</v>
      </c>
      <c r="N32" s="1031" t="s">
        <v>732</v>
      </c>
      <c r="O32" s="1031" t="s">
        <v>1497</v>
      </c>
      <c r="P32" s="1031"/>
      <c r="Q32" s="1027"/>
      <c r="R32" s="1022"/>
      <c r="S32" s="1130">
        <v>465</v>
      </c>
      <c r="T32" s="1156">
        <v>142667750</v>
      </c>
    </row>
    <row r="33" spans="1:103" s="995" customFormat="1" ht="92.4" x14ac:dyDescent="0.3">
      <c r="A33" s="1013">
        <v>2022027</v>
      </c>
      <c r="B33" s="1013">
        <v>7637</v>
      </c>
      <c r="C33" s="1013" t="s">
        <v>643</v>
      </c>
      <c r="D33" s="1019" t="s">
        <v>671</v>
      </c>
      <c r="E33" s="1032">
        <v>81161712</v>
      </c>
      <c r="F33" s="1016" t="s">
        <v>742</v>
      </c>
      <c r="G33" s="1017" t="s">
        <v>1502</v>
      </c>
      <c r="H33" s="1017" t="s">
        <v>1509</v>
      </c>
      <c r="I33" s="1017">
        <v>1</v>
      </c>
      <c r="J33" s="1017" t="s">
        <v>1512</v>
      </c>
      <c r="K33" s="1017" t="s">
        <v>674</v>
      </c>
      <c r="L33" s="1019" t="s">
        <v>743</v>
      </c>
      <c r="M33" s="1020">
        <v>10000000</v>
      </c>
      <c r="N33" s="1021" t="s">
        <v>732</v>
      </c>
      <c r="O33" s="1021" t="s">
        <v>1497</v>
      </c>
      <c r="P33" s="1021"/>
      <c r="Q33" s="1017"/>
      <c r="R33" s="1022"/>
      <c r="S33" s="1130"/>
      <c r="T33" s="1156"/>
    </row>
    <row r="34" spans="1:103" s="1034" customFormat="1" ht="92.4" x14ac:dyDescent="0.3">
      <c r="A34" s="1023">
        <v>2022028</v>
      </c>
      <c r="B34" s="1023">
        <v>7637</v>
      </c>
      <c r="C34" s="1023" t="s">
        <v>643</v>
      </c>
      <c r="D34" s="1029" t="s">
        <v>671</v>
      </c>
      <c r="E34" s="1033" t="s">
        <v>1513</v>
      </c>
      <c r="F34" s="1026" t="s">
        <v>746</v>
      </c>
      <c r="G34" s="1027" t="s">
        <v>1501</v>
      </c>
      <c r="H34" s="1027" t="s">
        <v>1501</v>
      </c>
      <c r="I34" s="1027">
        <v>5</v>
      </c>
      <c r="J34" s="1024"/>
      <c r="K34" s="1027" t="s">
        <v>674</v>
      </c>
      <c r="L34" s="1029" t="s">
        <v>747</v>
      </c>
      <c r="M34" s="1030">
        <v>81000000</v>
      </c>
      <c r="N34" s="1031" t="s">
        <v>732</v>
      </c>
      <c r="O34" s="1031" t="s">
        <v>1497</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92.4" x14ac:dyDescent="0.3">
      <c r="A35" s="1013">
        <v>2022029</v>
      </c>
      <c r="B35" s="1013">
        <v>7637</v>
      </c>
      <c r="C35" s="1013" t="s">
        <v>643</v>
      </c>
      <c r="D35" s="1019" t="s">
        <v>671</v>
      </c>
      <c r="E35" s="1032" t="s">
        <v>1513</v>
      </c>
      <c r="F35" s="1016" t="s">
        <v>751</v>
      </c>
      <c r="G35" s="1017" t="s">
        <v>1510</v>
      </c>
      <c r="H35" s="1017" t="s">
        <v>1514</v>
      </c>
      <c r="I35" s="1017">
        <v>4</v>
      </c>
      <c r="J35" s="1017" t="s">
        <v>1515</v>
      </c>
      <c r="K35" s="1017" t="s">
        <v>674</v>
      </c>
      <c r="L35" s="1019" t="s">
        <v>747</v>
      </c>
      <c r="M35" s="1020">
        <v>80000000</v>
      </c>
      <c r="N35" s="1021" t="s">
        <v>732</v>
      </c>
      <c r="O35" s="1021" t="s">
        <v>1497</v>
      </c>
      <c r="P35" s="1021"/>
      <c r="Q35" s="1017"/>
      <c r="R35" s="1022"/>
      <c r="S35" s="1130"/>
      <c r="T35" s="1156"/>
    </row>
    <row r="36" spans="1:103" s="995" customFormat="1" ht="92.4" x14ac:dyDescent="0.3">
      <c r="A36" s="1013">
        <v>2022030</v>
      </c>
      <c r="B36" s="1013">
        <v>7637</v>
      </c>
      <c r="C36" s="1013" t="s">
        <v>643</v>
      </c>
      <c r="D36" s="1019" t="s">
        <v>671</v>
      </c>
      <c r="E36" s="1032">
        <v>81111700</v>
      </c>
      <c r="F36" s="1016" t="s">
        <v>1516</v>
      </c>
      <c r="G36" s="1017" t="s">
        <v>1505</v>
      </c>
      <c r="H36" s="1017" t="s">
        <v>1505</v>
      </c>
      <c r="I36" s="1017">
        <v>10</v>
      </c>
      <c r="J36" s="1017" t="s">
        <v>1506</v>
      </c>
      <c r="K36" s="1017" t="s">
        <v>674</v>
      </c>
      <c r="L36" s="1019" t="s">
        <v>675</v>
      </c>
      <c r="M36" s="1020">
        <v>20000000</v>
      </c>
      <c r="N36" s="1021" t="s">
        <v>732</v>
      </c>
      <c r="O36" s="1021" t="s">
        <v>1497</v>
      </c>
      <c r="P36" s="1021"/>
      <c r="Q36" s="1017"/>
      <c r="R36" s="1022"/>
      <c r="S36" s="1130"/>
      <c r="T36" s="1156"/>
    </row>
    <row r="37" spans="1:103" s="1034" customFormat="1" ht="92.4" x14ac:dyDescent="0.3">
      <c r="A37" s="1131">
        <v>2022031</v>
      </c>
      <c r="B37" s="1131">
        <v>7637</v>
      </c>
      <c r="C37" s="1131" t="s">
        <v>643</v>
      </c>
      <c r="D37" s="1132" t="s">
        <v>671</v>
      </c>
      <c r="E37" s="1133" t="s">
        <v>1517</v>
      </c>
      <c r="F37" s="1134" t="s">
        <v>754</v>
      </c>
      <c r="G37" s="1135" t="s">
        <v>1495</v>
      </c>
      <c r="H37" s="1017" t="s">
        <v>1505</v>
      </c>
      <c r="I37" s="1135">
        <v>1</v>
      </c>
      <c r="J37" s="1135" t="s">
        <v>1518</v>
      </c>
      <c r="K37" s="1135" t="s">
        <v>674</v>
      </c>
      <c r="L37" s="1132" t="s">
        <v>675</v>
      </c>
      <c r="M37" s="1136">
        <v>72100000</v>
      </c>
      <c r="N37" s="1137" t="s">
        <v>736</v>
      </c>
      <c r="O37" s="1137" t="s">
        <v>1497</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92.4" x14ac:dyDescent="0.3">
      <c r="A38" s="1013">
        <v>2022032</v>
      </c>
      <c r="B38" s="1013">
        <v>7637</v>
      </c>
      <c r="C38" s="1013" t="s">
        <v>643</v>
      </c>
      <c r="D38" s="1019" t="s">
        <v>671</v>
      </c>
      <c r="E38" s="1032">
        <v>81112222</v>
      </c>
      <c r="F38" s="1016" t="s">
        <v>1519</v>
      </c>
      <c r="G38" s="1017" t="s">
        <v>1514</v>
      </c>
      <c r="H38" s="1017" t="s">
        <v>1520</v>
      </c>
      <c r="I38" s="1017">
        <v>12</v>
      </c>
      <c r="J38" s="1017" t="s">
        <v>1515</v>
      </c>
      <c r="K38" s="1017" t="s">
        <v>674</v>
      </c>
      <c r="L38" s="1019" t="s">
        <v>675</v>
      </c>
      <c r="M38" s="1020">
        <v>120000000</v>
      </c>
      <c r="N38" s="1021" t="s">
        <v>732</v>
      </c>
      <c r="O38" s="1021" t="s">
        <v>1497</v>
      </c>
      <c r="P38" s="1021"/>
      <c r="Q38" s="1017"/>
      <c r="R38" s="1022"/>
      <c r="S38" s="1130"/>
      <c r="T38" s="1156"/>
    </row>
    <row r="39" spans="1:103" s="995" customFormat="1" ht="92.4" x14ac:dyDescent="0.3">
      <c r="A39" s="1013">
        <v>2022033</v>
      </c>
      <c r="B39" s="1013">
        <v>7637</v>
      </c>
      <c r="C39" s="1013" t="s">
        <v>643</v>
      </c>
      <c r="D39" s="1019" t="s">
        <v>671</v>
      </c>
      <c r="E39" s="1032" t="s">
        <v>1521</v>
      </c>
      <c r="F39" s="1016" t="s">
        <v>1522</v>
      </c>
      <c r="G39" s="1017" t="s">
        <v>1509</v>
      </c>
      <c r="H39" s="1017" t="s">
        <v>1510</v>
      </c>
      <c r="I39" s="1017">
        <v>3</v>
      </c>
      <c r="J39" s="1017" t="s">
        <v>1515</v>
      </c>
      <c r="K39" s="1017" t="s">
        <v>674</v>
      </c>
      <c r="L39" s="1019" t="s">
        <v>735</v>
      </c>
      <c r="M39" s="1020">
        <v>50000000</v>
      </c>
      <c r="N39" s="1021" t="s">
        <v>732</v>
      </c>
      <c r="O39" s="1021" t="s">
        <v>1497</v>
      </c>
      <c r="P39" s="1021"/>
      <c r="Q39" s="1017"/>
      <c r="R39" s="1022"/>
      <c r="S39" s="1130"/>
      <c r="T39" s="1156"/>
    </row>
    <row r="40" spans="1:103" s="995" customFormat="1" ht="92.4" x14ac:dyDescent="0.3">
      <c r="A40" s="1013">
        <v>2022034</v>
      </c>
      <c r="B40" s="1013">
        <v>7637</v>
      </c>
      <c r="C40" s="1013" t="s">
        <v>643</v>
      </c>
      <c r="D40" s="1019" t="s">
        <v>671</v>
      </c>
      <c r="E40" s="1032">
        <v>81112217</v>
      </c>
      <c r="F40" s="1016" t="s">
        <v>1523</v>
      </c>
      <c r="G40" s="1017" t="s">
        <v>1524</v>
      </c>
      <c r="H40" s="1017" t="s">
        <v>1525</v>
      </c>
      <c r="I40" s="1017">
        <v>1</v>
      </c>
      <c r="J40" s="1017" t="s">
        <v>1518</v>
      </c>
      <c r="K40" s="1017" t="s">
        <v>674</v>
      </c>
      <c r="L40" s="1019" t="s">
        <v>675</v>
      </c>
      <c r="M40" s="1020">
        <v>35077000</v>
      </c>
      <c r="N40" s="1014" t="s">
        <v>736</v>
      </c>
      <c r="O40" s="1021" t="s">
        <v>1497</v>
      </c>
      <c r="P40" s="1021"/>
      <c r="Q40" s="1017"/>
      <c r="R40" s="1022"/>
      <c r="S40" s="1130"/>
      <c r="T40" s="1156"/>
    </row>
    <row r="41" spans="1:103" s="995" customFormat="1" ht="92.4" x14ac:dyDescent="0.3">
      <c r="A41" s="1013">
        <v>2022035</v>
      </c>
      <c r="B41" s="1013">
        <v>7637</v>
      </c>
      <c r="C41" s="1013" t="s">
        <v>643</v>
      </c>
      <c r="D41" s="1019" t="s">
        <v>671</v>
      </c>
      <c r="E41" s="1035" t="s">
        <v>1283</v>
      </c>
      <c r="F41" s="1016" t="s">
        <v>1526</v>
      </c>
      <c r="G41" s="1017" t="s">
        <v>1502</v>
      </c>
      <c r="H41" s="1017" t="s">
        <v>1509</v>
      </c>
      <c r="I41" s="1017">
        <v>8</v>
      </c>
      <c r="J41" s="1017" t="s">
        <v>1518</v>
      </c>
      <c r="K41" s="1017" t="s">
        <v>674</v>
      </c>
      <c r="L41" s="1019" t="s">
        <v>675</v>
      </c>
      <c r="M41" s="1020">
        <v>70000000</v>
      </c>
      <c r="N41" s="1021" t="s">
        <v>732</v>
      </c>
      <c r="O41" s="1021" t="s">
        <v>1497</v>
      </c>
      <c r="P41" s="1021"/>
      <c r="Q41" s="1017"/>
      <c r="R41" s="1022"/>
      <c r="S41" s="1130"/>
      <c r="T41" s="1156"/>
    </row>
    <row r="42" spans="1:103" s="995" customFormat="1" ht="92.4" x14ac:dyDescent="0.3">
      <c r="A42" s="1023">
        <v>2022036</v>
      </c>
      <c r="B42" s="1023">
        <v>7637</v>
      </c>
      <c r="C42" s="1023" t="s">
        <v>643</v>
      </c>
      <c r="D42" s="1029" t="s">
        <v>671</v>
      </c>
      <c r="E42" s="1036" t="s">
        <v>1527</v>
      </c>
      <c r="F42" s="1036" t="s">
        <v>761</v>
      </c>
      <c r="G42" s="1027" t="s">
        <v>1495</v>
      </c>
      <c r="H42" s="1027" t="s">
        <v>1495</v>
      </c>
      <c r="I42" s="1027">
        <v>11</v>
      </c>
      <c r="J42" s="1027" t="s">
        <v>1515</v>
      </c>
      <c r="K42" s="1027" t="s">
        <v>674</v>
      </c>
      <c r="L42" s="1029" t="s">
        <v>735</v>
      </c>
      <c r="M42" s="1030">
        <v>487640000</v>
      </c>
      <c r="N42" s="1031" t="s">
        <v>732</v>
      </c>
      <c r="O42" s="1031" t="s">
        <v>1497</v>
      </c>
      <c r="P42" s="1031"/>
      <c r="Q42" s="1027"/>
      <c r="R42" s="1022"/>
      <c r="S42" s="1130">
        <v>440</v>
      </c>
      <c r="T42" s="1156">
        <v>232050000</v>
      </c>
    </row>
    <row r="43" spans="1:103" s="1034" customFormat="1" ht="92.4" x14ac:dyDescent="0.3">
      <c r="A43" s="1131">
        <v>2022037</v>
      </c>
      <c r="B43" s="1131">
        <v>7637</v>
      </c>
      <c r="C43" s="1131" t="s">
        <v>643</v>
      </c>
      <c r="D43" s="1132" t="s">
        <v>671</v>
      </c>
      <c r="E43" s="1138" t="s">
        <v>1528</v>
      </c>
      <c r="F43" s="1134" t="s">
        <v>763</v>
      </c>
      <c r="G43" s="1135" t="s">
        <v>1495</v>
      </c>
      <c r="H43" s="1017" t="s">
        <v>1495</v>
      </c>
      <c r="I43" s="1135">
        <v>12</v>
      </c>
      <c r="J43" s="1135" t="s">
        <v>1518</v>
      </c>
      <c r="K43" s="1135" t="s">
        <v>674</v>
      </c>
      <c r="L43" s="1132" t="s">
        <v>729</v>
      </c>
      <c r="M43" s="1136">
        <v>104794000</v>
      </c>
      <c r="N43" s="1137" t="s">
        <v>732</v>
      </c>
      <c r="O43" s="1137" t="s">
        <v>1497</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92.4" x14ac:dyDescent="0.3">
      <c r="A44" s="1013">
        <v>2022038</v>
      </c>
      <c r="B44" s="1013">
        <v>7637</v>
      </c>
      <c r="C44" s="1013" t="s">
        <v>643</v>
      </c>
      <c r="D44" s="1019" t="s">
        <v>671</v>
      </c>
      <c r="E44" s="1015">
        <v>81111812</v>
      </c>
      <c r="F44" s="1016" t="s">
        <v>1529</v>
      </c>
      <c r="G44" s="1017" t="s">
        <v>1505</v>
      </c>
      <c r="H44" s="1017" t="s">
        <v>1501</v>
      </c>
      <c r="I44" s="1017">
        <v>12</v>
      </c>
      <c r="J44" s="1017" t="s">
        <v>1518</v>
      </c>
      <c r="K44" s="1017" t="s">
        <v>674</v>
      </c>
      <c r="L44" s="1019" t="s">
        <v>675</v>
      </c>
      <c r="M44" s="1020">
        <v>38500000</v>
      </c>
      <c r="N44" s="1021" t="s">
        <v>732</v>
      </c>
      <c r="O44" s="1021" t="s">
        <v>1497</v>
      </c>
      <c r="P44" s="1021"/>
      <c r="Q44" s="1017"/>
      <c r="R44" s="1022"/>
      <c r="S44" s="1130"/>
      <c r="T44" s="1156"/>
    </row>
    <row r="45" spans="1:103" s="995" customFormat="1" ht="92.4" x14ac:dyDescent="0.3">
      <c r="A45" s="1013">
        <v>2022039</v>
      </c>
      <c r="B45" s="1013">
        <v>7637</v>
      </c>
      <c r="C45" s="1013" t="s">
        <v>643</v>
      </c>
      <c r="D45" s="1019" t="s">
        <v>671</v>
      </c>
      <c r="E45" s="1032">
        <v>43233200</v>
      </c>
      <c r="F45" s="1016" t="s">
        <v>1530</v>
      </c>
      <c r="G45" s="1017" t="s">
        <v>1509</v>
      </c>
      <c r="H45" s="1017" t="s">
        <v>1509</v>
      </c>
      <c r="I45" s="1017">
        <v>3</v>
      </c>
      <c r="J45" s="1017" t="s">
        <v>1506</v>
      </c>
      <c r="K45" s="1017" t="s">
        <v>770</v>
      </c>
      <c r="L45" s="1019" t="s">
        <v>735</v>
      </c>
      <c r="M45" s="1020">
        <v>170000000</v>
      </c>
      <c r="N45" s="1037" t="s">
        <v>736</v>
      </c>
      <c r="O45" s="1021" t="s">
        <v>1497</v>
      </c>
      <c r="P45" s="1021"/>
      <c r="Q45" s="1017"/>
      <c r="R45" s="1022"/>
      <c r="S45" s="1130"/>
      <c r="T45" s="1156"/>
    </row>
    <row r="46" spans="1:103" s="995" customFormat="1" ht="92.4" x14ac:dyDescent="0.3">
      <c r="A46" s="1013">
        <v>2022040</v>
      </c>
      <c r="B46" s="1013">
        <v>7637</v>
      </c>
      <c r="C46" s="1013" t="s">
        <v>643</v>
      </c>
      <c r="D46" s="1019" t="s">
        <v>671</v>
      </c>
      <c r="E46" s="1032">
        <v>43222600</v>
      </c>
      <c r="F46" s="1016" t="s">
        <v>1531</v>
      </c>
      <c r="G46" s="1017" t="s">
        <v>1502</v>
      </c>
      <c r="H46" s="1017" t="s">
        <v>1502</v>
      </c>
      <c r="I46" s="1017">
        <v>3</v>
      </c>
      <c r="J46" s="1017" t="s">
        <v>1518</v>
      </c>
      <c r="K46" s="1017" t="s">
        <v>770</v>
      </c>
      <c r="L46" s="1019" t="s">
        <v>735</v>
      </c>
      <c r="M46" s="1020">
        <v>600000000</v>
      </c>
      <c r="N46" s="1021" t="s">
        <v>732</v>
      </c>
      <c r="O46" s="1021" t="s">
        <v>1497</v>
      </c>
      <c r="P46" s="1021"/>
      <c r="Q46" s="1017"/>
      <c r="R46" s="1022"/>
      <c r="S46" s="1130"/>
      <c r="T46" s="1156"/>
    </row>
    <row r="47" spans="1:103" s="995" customFormat="1" ht="92.4" x14ac:dyDescent="0.3">
      <c r="A47" s="1013">
        <v>2022041</v>
      </c>
      <c r="B47" s="1013">
        <v>7637</v>
      </c>
      <c r="C47" s="1013" t="s">
        <v>643</v>
      </c>
      <c r="D47" s="1019" t="s">
        <v>671</v>
      </c>
      <c r="E47" s="1035" t="s">
        <v>1532</v>
      </c>
      <c r="F47" s="1016" t="s">
        <v>1533</v>
      </c>
      <c r="G47" s="1017" t="s">
        <v>1502</v>
      </c>
      <c r="H47" s="1017" t="s">
        <v>1509</v>
      </c>
      <c r="I47" s="1017">
        <v>3</v>
      </c>
      <c r="J47" s="1017" t="s">
        <v>1518</v>
      </c>
      <c r="K47" s="1017" t="s">
        <v>770</v>
      </c>
      <c r="L47" s="1019" t="s">
        <v>735</v>
      </c>
      <c r="M47" s="1020">
        <v>600000000</v>
      </c>
      <c r="N47" s="1021" t="s">
        <v>732</v>
      </c>
      <c r="O47" s="1021" t="s">
        <v>1497</v>
      </c>
      <c r="P47" s="1021"/>
      <c r="Q47" s="1017"/>
      <c r="R47" s="1022"/>
      <c r="S47" s="1130"/>
      <c r="T47" s="1156"/>
    </row>
    <row r="48" spans="1:103" s="995" customFormat="1" ht="92.4" x14ac:dyDescent="0.3">
      <c r="A48" s="1013">
        <v>2022042</v>
      </c>
      <c r="B48" s="1013">
        <v>7637</v>
      </c>
      <c r="C48" s="1013" t="s">
        <v>643</v>
      </c>
      <c r="D48" s="1019" t="s">
        <v>671</v>
      </c>
      <c r="E48" s="1015"/>
      <c r="F48" s="1016" t="s">
        <v>776</v>
      </c>
      <c r="G48" s="1017"/>
      <c r="H48" s="1017"/>
      <c r="I48" s="1017"/>
      <c r="J48" s="1017"/>
      <c r="K48" s="1017" t="s">
        <v>674</v>
      </c>
      <c r="L48" s="1019" t="s">
        <v>675</v>
      </c>
      <c r="M48" s="1020">
        <v>22500000</v>
      </c>
      <c r="N48" s="1038" t="s">
        <v>732</v>
      </c>
      <c r="O48" s="1038" t="s">
        <v>1497</v>
      </c>
      <c r="P48" s="1038"/>
      <c r="Q48" s="1017"/>
      <c r="R48" s="1022"/>
      <c r="S48" s="1130"/>
      <c r="T48" s="1156"/>
    </row>
    <row r="49" spans="1:20" s="995" customFormat="1" ht="92.4" x14ac:dyDescent="0.3">
      <c r="A49" s="1023">
        <v>2022043</v>
      </c>
      <c r="B49" s="1023">
        <v>7655</v>
      </c>
      <c r="C49" s="1023" t="s">
        <v>668</v>
      </c>
      <c r="D49" s="1039" t="s">
        <v>689</v>
      </c>
      <c r="E49" s="1040" t="s">
        <v>778</v>
      </c>
      <c r="F49" s="1026" t="s">
        <v>779</v>
      </c>
      <c r="G49" s="1041">
        <v>44575</v>
      </c>
      <c r="H49" s="1041">
        <v>44575</v>
      </c>
      <c r="I49" s="1042" t="s">
        <v>1534</v>
      </c>
      <c r="J49" s="1043" t="s">
        <v>1535</v>
      </c>
      <c r="K49" s="1027" t="s">
        <v>674</v>
      </c>
      <c r="L49" s="1029" t="s">
        <v>780</v>
      </c>
      <c r="M49" s="1030">
        <v>92000000</v>
      </c>
      <c r="N49" s="1044" t="s">
        <v>730</v>
      </c>
      <c r="O49" s="1044" t="s">
        <v>1536</v>
      </c>
      <c r="P49" s="1044"/>
      <c r="Q49" s="1027"/>
      <c r="R49" s="1022"/>
      <c r="S49" s="1130">
        <v>84</v>
      </c>
      <c r="T49" s="1156">
        <v>92000000</v>
      </c>
    </row>
    <row r="50" spans="1:20" s="995" customFormat="1" ht="66" x14ac:dyDescent="0.3">
      <c r="A50" s="1023">
        <v>2022044</v>
      </c>
      <c r="B50" s="1023">
        <v>7655</v>
      </c>
      <c r="C50" s="1023" t="s">
        <v>668</v>
      </c>
      <c r="D50" s="1039" t="s">
        <v>689</v>
      </c>
      <c r="E50" s="1040" t="s">
        <v>778</v>
      </c>
      <c r="F50" s="1026" t="s">
        <v>783</v>
      </c>
      <c r="G50" s="1041">
        <v>44575</v>
      </c>
      <c r="H50" s="1041">
        <v>44575</v>
      </c>
      <c r="I50" s="1042" t="s">
        <v>1534</v>
      </c>
      <c r="J50" s="1043" t="s">
        <v>1535</v>
      </c>
      <c r="K50" s="1027" t="s">
        <v>674</v>
      </c>
      <c r="L50" s="1029" t="s">
        <v>780</v>
      </c>
      <c r="M50" s="1030">
        <v>103500000</v>
      </c>
      <c r="N50" s="1044" t="s">
        <v>730</v>
      </c>
      <c r="O50" s="1044" t="s">
        <v>1536</v>
      </c>
      <c r="P50" s="1044"/>
      <c r="Q50" s="1027"/>
      <c r="R50" s="1022"/>
      <c r="S50" s="1130">
        <v>61</v>
      </c>
      <c r="T50" s="1156">
        <v>103500000</v>
      </c>
    </row>
    <row r="51" spans="1:20" s="995" customFormat="1" ht="79.2" x14ac:dyDescent="0.3">
      <c r="A51" s="1023">
        <v>2022045</v>
      </c>
      <c r="B51" s="1023">
        <v>7655</v>
      </c>
      <c r="C51" s="1023" t="s">
        <v>668</v>
      </c>
      <c r="D51" s="1039" t="s">
        <v>689</v>
      </c>
      <c r="E51" s="1040" t="s">
        <v>778</v>
      </c>
      <c r="F51" s="1026" t="s">
        <v>785</v>
      </c>
      <c r="G51" s="1041">
        <v>44575</v>
      </c>
      <c r="H51" s="1041">
        <v>44575</v>
      </c>
      <c r="I51" s="1042" t="s">
        <v>1534</v>
      </c>
      <c r="J51" s="1043" t="s">
        <v>1535</v>
      </c>
      <c r="K51" s="1027" t="s">
        <v>674</v>
      </c>
      <c r="L51" s="1029" t="s">
        <v>675</v>
      </c>
      <c r="M51" s="1030">
        <v>57500000</v>
      </c>
      <c r="N51" s="1044" t="s">
        <v>730</v>
      </c>
      <c r="O51" s="1044" t="s">
        <v>1536</v>
      </c>
      <c r="P51" s="1044"/>
      <c r="Q51" s="1027"/>
      <c r="R51" s="1022"/>
      <c r="S51" s="1130">
        <v>95</v>
      </c>
      <c r="T51" s="1156">
        <v>57500000</v>
      </c>
    </row>
    <row r="52" spans="1:20" s="995" customFormat="1" ht="79.2" x14ac:dyDescent="0.3">
      <c r="A52" s="1023">
        <v>2022046</v>
      </c>
      <c r="B52" s="1023">
        <v>7655</v>
      </c>
      <c r="C52" s="1023" t="s">
        <v>668</v>
      </c>
      <c r="D52" s="1039" t="s">
        <v>689</v>
      </c>
      <c r="E52" s="1040" t="s">
        <v>778</v>
      </c>
      <c r="F52" s="1026" t="s">
        <v>786</v>
      </c>
      <c r="G52" s="1041">
        <v>44575</v>
      </c>
      <c r="H52" s="1041">
        <v>44575</v>
      </c>
      <c r="I52" s="1042" t="s">
        <v>1534</v>
      </c>
      <c r="J52" s="1043" t="s">
        <v>1535</v>
      </c>
      <c r="K52" s="1027" t="s">
        <v>674</v>
      </c>
      <c r="L52" s="1029" t="s">
        <v>675</v>
      </c>
      <c r="M52" s="1030">
        <v>78200000</v>
      </c>
      <c r="N52" s="1044" t="s">
        <v>730</v>
      </c>
      <c r="O52" s="1044" t="s">
        <v>1536</v>
      </c>
      <c r="P52" s="1044"/>
      <c r="Q52" s="1027"/>
      <c r="R52" s="1022"/>
      <c r="S52" s="1130">
        <v>203</v>
      </c>
      <c r="T52" s="1156">
        <v>78200000</v>
      </c>
    </row>
    <row r="53" spans="1:20" s="995" customFormat="1" ht="66" x14ac:dyDescent="0.3">
      <c r="A53" s="1023">
        <v>2022047</v>
      </c>
      <c r="B53" s="1023">
        <v>7655</v>
      </c>
      <c r="C53" s="1023" t="s">
        <v>668</v>
      </c>
      <c r="D53" s="1039" t="s">
        <v>689</v>
      </c>
      <c r="E53" s="1040" t="s">
        <v>778</v>
      </c>
      <c r="F53" s="1026" t="s">
        <v>787</v>
      </c>
      <c r="G53" s="1041">
        <v>44575</v>
      </c>
      <c r="H53" s="1041">
        <v>44575</v>
      </c>
      <c r="I53" s="1042" t="s">
        <v>1534</v>
      </c>
      <c r="J53" s="1043" t="s">
        <v>1535</v>
      </c>
      <c r="K53" s="1027" t="s">
        <v>674</v>
      </c>
      <c r="L53" s="1029" t="s">
        <v>675</v>
      </c>
      <c r="M53" s="1030">
        <v>38525000</v>
      </c>
      <c r="N53" s="1044" t="s">
        <v>730</v>
      </c>
      <c r="O53" s="1044" t="s">
        <v>1536</v>
      </c>
      <c r="P53" s="1044"/>
      <c r="Q53" s="1027"/>
      <c r="R53" s="1022"/>
      <c r="S53" s="1130">
        <v>65</v>
      </c>
      <c r="T53" s="1156">
        <v>38525000</v>
      </c>
    </row>
    <row r="54" spans="1:20" s="995" customFormat="1" ht="79.2" x14ac:dyDescent="0.3">
      <c r="A54" s="1023">
        <v>2022048</v>
      </c>
      <c r="B54" s="1023">
        <v>7655</v>
      </c>
      <c r="C54" s="1023" t="s">
        <v>668</v>
      </c>
      <c r="D54" s="1039" t="s">
        <v>689</v>
      </c>
      <c r="E54" s="1040" t="s">
        <v>778</v>
      </c>
      <c r="F54" s="1026" t="s">
        <v>788</v>
      </c>
      <c r="G54" s="1041">
        <v>44575</v>
      </c>
      <c r="H54" s="1041">
        <v>44575</v>
      </c>
      <c r="I54" s="1042" t="s">
        <v>1534</v>
      </c>
      <c r="J54" s="1043" t="s">
        <v>1535</v>
      </c>
      <c r="K54" s="1027" t="s">
        <v>674</v>
      </c>
      <c r="L54" s="1029" t="s">
        <v>780</v>
      </c>
      <c r="M54" s="1030">
        <v>92000000</v>
      </c>
      <c r="N54" s="1044" t="s">
        <v>730</v>
      </c>
      <c r="O54" s="1044" t="s">
        <v>1536</v>
      </c>
      <c r="P54" s="1044"/>
      <c r="Q54" s="1027"/>
      <c r="R54" s="1022"/>
      <c r="S54" s="1130">
        <v>66</v>
      </c>
      <c r="T54" s="1156">
        <v>92000000</v>
      </c>
    </row>
    <row r="55" spans="1:20" s="995" customFormat="1" ht="66" x14ac:dyDescent="0.3">
      <c r="A55" s="1023">
        <v>2022049</v>
      </c>
      <c r="B55" s="1023">
        <v>7655</v>
      </c>
      <c r="C55" s="1023" t="s">
        <v>668</v>
      </c>
      <c r="D55" s="1039" t="s">
        <v>689</v>
      </c>
      <c r="E55" s="1040" t="s">
        <v>778</v>
      </c>
      <c r="F55" s="1026" t="s">
        <v>1305</v>
      </c>
      <c r="G55" s="1041">
        <v>44575</v>
      </c>
      <c r="H55" s="1041">
        <v>44575</v>
      </c>
      <c r="I55" s="1042" t="s">
        <v>1537</v>
      </c>
      <c r="J55" s="1043" t="s">
        <v>1535</v>
      </c>
      <c r="K55" s="1027" t="s">
        <v>674</v>
      </c>
      <c r="L55" s="1029" t="s">
        <v>675</v>
      </c>
      <c r="M55" s="1030">
        <v>16800000</v>
      </c>
      <c r="N55" s="1044" t="s">
        <v>730</v>
      </c>
      <c r="O55" s="1044" t="s">
        <v>1536</v>
      </c>
      <c r="P55" s="1044"/>
      <c r="Q55" s="1027"/>
      <c r="R55" s="1022"/>
      <c r="S55" s="1130">
        <v>83</v>
      </c>
      <c r="T55" s="1156">
        <v>16800000</v>
      </c>
    </row>
    <row r="56" spans="1:20" s="995" customFormat="1" ht="66" x14ac:dyDescent="0.3">
      <c r="A56" s="1023">
        <v>2022050</v>
      </c>
      <c r="B56" s="1023">
        <v>7655</v>
      </c>
      <c r="C56" s="1023" t="s">
        <v>668</v>
      </c>
      <c r="D56" s="1039" t="s">
        <v>689</v>
      </c>
      <c r="E56" s="1040" t="s">
        <v>778</v>
      </c>
      <c r="F56" s="1026" t="s">
        <v>789</v>
      </c>
      <c r="G56" s="1041">
        <v>44575</v>
      </c>
      <c r="H56" s="1041">
        <v>44575</v>
      </c>
      <c r="I56" s="1042" t="s">
        <v>1538</v>
      </c>
      <c r="J56" s="1043" t="s">
        <v>1535</v>
      </c>
      <c r="K56" s="1027" t="s">
        <v>674</v>
      </c>
      <c r="L56" s="1029" t="s">
        <v>675</v>
      </c>
      <c r="M56" s="1030">
        <v>38500000</v>
      </c>
      <c r="N56" s="1044" t="s">
        <v>730</v>
      </c>
      <c r="O56" s="1044" t="s">
        <v>1536</v>
      </c>
      <c r="P56" s="1044"/>
      <c r="Q56" s="1027"/>
      <c r="R56" s="1022"/>
      <c r="S56" s="1130">
        <v>361</v>
      </c>
      <c r="T56" s="1156">
        <v>38500000</v>
      </c>
    </row>
    <row r="57" spans="1:20" s="995" customFormat="1" ht="66" x14ac:dyDescent="0.3">
      <c r="A57" s="1023">
        <v>2022051</v>
      </c>
      <c r="B57" s="1023">
        <v>7655</v>
      </c>
      <c r="C57" s="1023" t="s">
        <v>668</v>
      </c>
      <c r="D57" s="1039" t="s">
        <v>689</v>
      </c>
      <c r="E57" s="1040" t="s">
        <v>778</v>
      </c>
      <c r="F57" s="1026" t="s">
        <v>790</v>
      </c>
      <c r="G57" s="1041">
        <v>44575</v>
      </c>
      <c r="H57" s="1041">
        <v>44575</v>
      </c>
      <c r="I57" s="1042" t="s">
        <v>1534</v>
      </c>
      <c r="J57" s="1043" t="s">
        <v>1535</v>
      </c>
      <c r="K57" s="1027" t="s">
        <v>674</v>
      </c>
      <c r="L57" s="1029" t="s">
        <v>675</v>
      </c>
      <c r="M57" s="1030">
        <v>20700000</v>
      </c>
      <c r="N57" s="1044" t="s">
        <v>730</v>
      </c>
      <c r="O57" s="1044" t="s">
        <v>1536</v>
      </c>
      <c r="P57" s="1044"/>
      <c r="Q57" s="1027"/>
      <c r="R57" s="1022"/>
      <c r="S57" s="1130">
        <v>87</v>
      </c>
      <c r="T57" s="1156">
        <v>20700000</v>
      </c>
    </row>
    <row r="58" spans="1:20" s="995" customFormat="1" ht="79.2" x14ac:dyDescent="0.3">
      <c r="A58" s="1023">
        <v>2022052</v>
      </c>
      <c r="B58" s="1023">
        <v>7655</v>
      </c>
      <c r="C58" s="1023" t="s">
        <v>668</v>
      </c>
      <c r="D58" s="1039" t="s">
        <v>689</v>
      </c>
      <c r="E58" s="1040" t="s">
        <v>778</v>
      </c>
      <c r="F58" s="1026" t="s">
        <v>791</v>
      </c>
      <c r="G58" s="1041">
        <v>44575</v>
      </c>
      <c r="H58" s="1041">
        <v>44575</v>
      </c>
      <c r="I58" s="1042" t="s">
        <v>1534</v>
      </c>
      <c r="J58" s="1043" t="s">
        <v>1535</v>
      </c>
      <c r="K58" s="1027" t="s">
        <v>674</v>
      </c>
      <c r="L58" s="1029" t="s">
        <v>675</v>
      </c>
      <c r="M58" s="1030">
        <v>83950000</v>
      </c>
      <c r="N58" s="1044" t="s">
        <v>730</v>
      </c>
      <c r="O58" s="1044" t="s">
        <v>1536</v>
      </c>
      <c r="P58" s="1044"/>
      <c r="Q58" s="1027"/>
      <c r="R58" s="1022"/>
      <c r="S58" s="1130">
        <v>82</v>
      </c>
      <c r="T58" s="1156">
        <v>83950000</v>
      </c>
    </row>
    <row r="59" spans="1:20" s="995" customFormat="1" ht="66" x14ac:dyDescent="0.3">
      <c r="A59" s="1023">
        <v>2022053</v>
      </c>
      <c r="B59" s="1023">
        <v>7655</v>
      </c>
      <c r="C59" s="1023" t="s">
        <v>668</v>
      </c>
      <c r="D59" s="1039" t="s">
        <v>689</v>
      </c>
      <c r="E59" s="1040" t="s">
        <v>778</v>
      </c>
      <c r="F59" s="1026" t="s">
        <v>792</v>
      </c>
      <c r="G59" s="1041">
        <v>44575</v>
      </c>
      <c r="H59" s="1041">
        <v>44575</v>
      </c>
      <c r="I59" s="1042" t="s">
        <v>1534</v>
      </c>
      <c r="J59" s="1043" t="s">
        <v>1535</v>
      </c>
      <c r="K59" s="1027" t="s">
        <v>674</v>
      </c>
      <c r="L59" s="1029" t="s">
        <v>675</v>
      </c>
      <c r="M59" s="1030">
        <v>38525000</v>
      </c>
      <c r="N59" s="1044" t="s">
        <v>730</v>
      </c>
      <c r="O59" s="1044" t="s">
        <v>1536</v>
      </c>
      <c r="P59" s="1044"/>
      <c r="Q59" s="1027"/>
      <c r="R59" s="1022"/>
      <c r="S59" s="1130">
        <v>375</v>
      </c>
      <c r="T59" s="1156">
        <v>38525000</v>
      </c>
    </row>
    <row r="60" spans="1:20" s="995" customFormat="1" ht="66" x14ac:dyDescent="0.3">
      <c r="A60" s="1023">
        <v>2022054</v>
      </c>
      <c r="B60" s="1023">
        <v>7655</v>
      </c>
      <c r="C60" s="1023" t="s">
        <v>668</v>
      </c>
      <c r="D60" s="1039" t="s">
        <v>689</v>
      </c>
      <c r="E60" s="1040" t="s">
        <v>778</v>
      </c>
      <c r="F60" s="1026" t="s">
        <v>793</v>
      </c>
      <c r="G60" s="1041">
        <v>44575</v>
      </c>
      <c r="H60" s="1041">
        <v>44575</v>
      </c>
      <c r="I60" s="1042" t="s">
        <v>1537</v>
      </c>
      <c r="J60" s="1043" t="s">
        <v>1535</v>
      </c>
      <c r="K60" s="1027" t="s">
        <v>674</v>
      </c>
      <c r="L60" s="1029" t="s">
        <v>675</v>
      </c>
      <c r="M60" s="1030">
        <v>27000000</v>
      </c>
      <c r="N60" s="1044" t="s">
        <v>730</v>
      </c>
      <c r="O60" s="1044" t="s">
        <v>1536</v>
      </c>
      <c r="P60" s="1044"/>
      <c r="Q60" s="1027"/>
      <c r="R60" s="1022"/>
      <c r="S60" s="1130">
        <v>352</v>
      </c>
      <c r="T60" s="1156">
        <v>27000000</v>
      </c>
    </row>
    <row r="61" spans="1:20" s="995" customFormat="1" ht="66" x14ac:dyDescent="0.3">
      <c r="A61" s="1023">
        <v>2022055</v>
      </c>
      <c r="B61" s="1023">
        <v>7655</v>
      </c>
      <c r="C61" s="1023" t="s">
        <v>668</v>
      </c>
      <c r="D61" s="1039" t="s">
        <v>689</v>
      </c>
      <c r="E61" s="1040" t="s">
        <v>778</v>
      </c>
      <c r="F61" s="1026" t="s">
        <v>794</v>
      </c>
      <c r="G61" s="1041">
        <v>44575</v>
      </c>
      <c r="H61" s="1041">
        <v>44575</v>
      </c>
      <c r="I61" s="1042" t="s">
        <v>1534</v>
      </c>
      <c r="J61" s="1043" t="s">
        <v>1535</v>
      </c>
      <c r="K61" s="1027" t="s">
        <v>674</v>
      </c>
      <c r="L61" s="1029" t="s">
        <v>675</v>
      </c>
      <c r="M61" s="1030">
        <v>51750000</v>
      </c>
      <c r="N61" s="1044" t="s">
        <v>730</v>
      </c>
      <c r="O61" s="1044" t="s">
        <v>1536</v>
      </c>
      <c r="P61" s="1044"/>
      <c r="Q61" s="1027"/>
      <c r="R61" s="1022"/>
      <c r="S61" s="1130">
        <v>417</v>
      </c>
      <c r="T61" s="1156">
        <v>51750000</v>
      </c>
    </row>
    <row r="62" spans="1:20" s="995" customFormat="1" ht="66" x14ac:dyDescent="0.3">
      <c r="A62" s="1013">
        <v>2022056</v>
      </c>
      <c r="B62" s="1013">
        <v>7655</v>
      </c>
      <c r="C62" s="1013" t="s">
        <v>668</v>
      </c>
      <c r="D62" s="1045" t="s">
        <v>689</v>
      </c>
      <c r="E62" s="1046">
        <v>80111600</v>
      </c>
      <c r="F62" s="1016" t="s">
        <v>1539</v>
      </c>
      <c r="G62" s="1047">
        <v>44575</v>
      </c>
      <c r="H62" s="1047">
        <v>44575</v>
      </c>
      <c r="I62" s="1048" t="s">
        <v>1534</v>
      </c>
      <c r="J62" s="1049" t="s">
        <v>1535</v>
      </c>
      <c r="K62" s="1017" t="s">
        <v>674</v>
      </c>
      <c r="L62" s="1017" t="s">
        <v>675</v>
      </c>
      <c r="M62" s="1020">
        <v>0</v>
      </c>
      <c r="N62" s="1050" t="s">
        <v>730</v>
      </c>
      <c r="O62" s="1050" t="s">
        <v>1536</v>
      </c>
      <c r="P62" s="1050"/>
      <c r="Q62" s="1017"/>
      <c r="R62" s="1022"/>
      <c r="S62" s="1130"/>
      <c r="T62" s="1156"/>
    </row>
    <row r="63" spans="1:20" s="995" customFormat="1" ht="66" x14ac:dyDescent="0.3">
      <c r="A63" s="1023">
        <v>2022057</v>
      </c>
      <c r="B63" s="1023">
        <v>7655</v>
      </c>
      <c r="C63" s="1023" t="s">
        <v>668</v>
      </c>
      <c r="D63" s="1039" t="s">
        <v>689</v>
      </c>
      <c r="E63" s="1040" t="s">
        <v>778</v>
      </c>
      <c r="F63" s="1026" t="s">
        <v>795</v>
      </c>
      <c r="G63" s="1041">
        <v>44575</v>
      </c>
      <c r="H63" s="1041">
        <v>44575</v>
      </c>
      <c r="I63" s="1042" t="s">
        <v>1534</v>
      </c>
      <c r="J63" s="1043" t="s">
        <v>1535</v>
      </c>
      <c r="K63" s="1027" t="s">
        <v>674</v>
      </c>
      <c r="L63" s="1029" t="s">
        <v>675</v>
      </c>
      <c r="M63" s="1030">
        <v>38525000</v>
      </c>
      <c r="N63" s="1044" t="s">
        <v>730</v>
      </c>
      <c r="O63" s="1044" t="s">
        <v>1536</v>
      </c>
      <c r="P63" s="1044"/>
      <c r="Q63" s="1027"/>
      <c r="R63" s="1022"/>
      <c r="S63" s="1130">
        <v>239</v>
      </c>
      <c r="T63" s="1156">
        <v>38525000</v>
      </c>
    </row>
    <row r="64" spans="1:20" s="995" customFormat="1" ht="66" x14ac:dyDescent="0.3">
      <c r="A64" s="1023">
        <v>2022058</v>
      </c>
      <c r="B64" s="1023">
        <v>7655</v>
      </c>
      <c r="C64" s="1023" t="s">
        <v>668</v>
      </c>
      <c r="D64" s="1039" t="s">
        <v>689</v>
      </c>
      <c r="E64" s="1040" t="s">
        <v>778</v>
      </c>
      <c r="F64" s="1026" t="s">
        <v>796</v>
      </c>
      <c r="G64" s="1041">
        <v>44575</v>
      </c>
      <c r="H64" s="1041">
        <v>44575</v>
      </c>
      <c r="I64" s="1042" t="s">
        <v>1534</v>
      </c>
      <c r="J64" s="1043" t="s">
        <v>1535</v>
      </c>
      <c r="K64" s="1027" t="s">
        <v>674</v>
      </c>
      <c r="L64" s="1029" t="s">
        <v>675</v>
      </c>
      <c r="M64" s="1030">
        <v>28175000</v>
      </c>
      <c r="N64" s="1044" t="s">
        <v>730</v>
      </c>
      <c r="O64" s="1044" t="s">
        <v>1536</v>
      </c>
      <c r="P64" s="1044"/>
      <c r="Q64" s="1027"/>
      <c r="R64" s="1022"/>
      <c r="S64" s="1130">
        <v>89</v>
      </c>
      <c r="T64" s="1156">
        <v>28175000</v>
      </c>
    </row>
    <row r="65" spans="1:103" s="995" customFormat="1" ht="66" x14ac:dyDescent="0.3">
      <c r="A65" s="1023">
        <v>2022059</v>
      </c>
      <c r="B65" s="1023">
        <v>7655</v>
      </c>
      <c r="C65" s="1023" t="s">
        <v>668</v>
      </c>
      <c r="D65" s="1039" t="s">
        <v>689</v>
      </c>
      <c r="E65" s="1040" t="s">
        <v>778</v>
      </c>
      <c r="F65" s="1026" t="s">
        <v>797</v>
      </c>
      <c r="G65" s="1041">
        <v>44575</v>
      </c>
      <c r="H65" s="1041">
        <v>44575</v>
      </c>
      <c r="I65" s="1042" t="s">
        <v>1534</v>
      </c>
      <c r="J65" s="1043" t="s">
        <v>1535</v>
      </c>
      <c r="K65" s="1027" t="s">
        <v>674</v>
      </c>
      <c r="L65" s="1029" t="s">
        <v>675</v>
      </c>
      <c r="M65" s="1030">
        <v>44275000</v>
      </c>
      <c r="N65" s="1044" t="s">
        <v>730</v>
      </c>
      <c r="O65" s="1044" t="s">
        <v>1536</v>
      </c>
      <c r="P65" s="1044"/>
      <c r="Q65" s="1027"/>
      <c r="R65" s="1022"/>
      <c r="S65" s="1130">
        <v>140</v>
      </c>
      <c r="T65" s="1156">
        <v>44275000</v>
      </c>
    </row>
    <row r="66" spans="1:103" s="995" customFormat="1" ht="66" x14ac:dyDescent="0.3">
      <c r="A66" s="1023">
        <v>2022060</v>
      </c>
      <c r="B66" s="1023">
        <v>7655</v>
      </c>
      <c r="C66" s="1023" t="s">
        <v>668</v>
      </c>
      <c r="D66" s="1039" t="s">
        <v>689</v>
      </c>
      <c r="E66" s="1040" t="s">
        <v>778</v>
      </c>
      <c r="F66" s="1026" t="s">
        <v>797</v>
      </c>
      <c r="G66" s="1041">
        <v>44575</v>
      </c>
      <c r="H66" s="1041">
        <v>44575</v>
      </c>
      <c r="I66" s="1042" t="s">
        <v>1534</v>
      </c>
      <c r="J66" s="1043" t="s">
        <v>1535</v>
      </c>
      <c r="K66" s="1027" t="s">
        <v>674</v>
      </c>
      <c r="L66" s="1029" t="s">
        <v>675</v>
      </c>
      <c r="M66" s="1030">
        <v>44275000</v>
      </c>
      <c r="N66" s="1044" t="s">
        <v>730</v>
      </c>
      <c r="O66" s="1044" t="s">
        <v>1536</v>
      </c>
      <c r="P66" s="1044"/>
      <c r="Q66" s="1027"/>
      <c r="R66" s="1022"/>
      <c r="S66" s="1130">
        <v>248</v>
      </c>
      <c r="T66" s="1156">
        <v>44275000</v>
      </c>
    </row>
    <row r="67" spans="1:103" s="995" customFormat="1" ht="79.2" x14ac:dyDescent="0.3">
      <c r="A67" s="1023">
        <v>2022061</v>
      </c>
      <c r="B67" s="1023">
        <v>7655</v>
      </c>
      <c r="C67" s="1023" t="s">
        <v>668</v>
      </c>
      <c r="D67" s="1039" t="s">
        <v>689</v>
      </c>
      <c r="E67" s="1040" t="s">
        <v>778</v>
      </c>
      <c r="F67" s="1026" t="s">
        <v>798</v>
      </c>
      <c r="G67" s="1041">
        <v>44575</v>
      </c>
      <c r="H67" s="1041">
        <v>44575</v>
      </c>
      <c r="I67" s="1042" t="s">
        <v>1534</v>
      </c>
      <c r="J67" s="1043" t="s">
        <v>1535</v>
      </c>
      <c r="K67" s="1027" t="s">
        <v>674</v>
      </c>
      <c r="L67" s="1029" t="s">
        <v>675</v>
      </c>
      <c r="M67" s="1030">
        <v>51750000</v>
      </c>
      <c r="N67" s="1044" t="s">
        <v>730</v>
      </c>
      <c r="O67" s="1044" t="s">
        <v>1536</v>
      </c>
      <c r="P67" s="1044"/>
      <c r="Q67" s="1027"/>
      <c r="R67" s="1022"/>
      <c r="S67" s="1130">
        <v>309</v>
      </c>
      <c r="T67" s="1156">
        <v>51750000</v>
      </c>
    </row>
    <row r="68" spans="1:103" s="995" customFormat="1" ht="92.4" x14ac:dyDescent="0.3">
      <c r="A68" s="1023">
        <v>2022062</v>
      </c>
      <c r="B68" s="1023">
        <v>7655</v>
      </c>
      <c r="C68" s="1023" t="s">
        <v>668</v>
      </c>
      <c r="D68" s="1039" t="s">
        <v>689</v>
      </c>
      <c r="E68" s="1040" t="s">
        <v>778</v>
      </c>
      <c r="F68" s="1026" t="s">
        <v>799</v>
      </c>
      <c r="G68" s="1041">
        <v>44575</v>
      </c>
      <c r="H68" s="1041">
        <v>44575</v>
      </c>
      <c r="I68" s="1042" t="s">
        <v>1538</v>
      </c>
      <c r="J68" s="1043" t="s">
        <v>1535</v>
      </c>
      <c r="K68" s="1027" t="s">
        <v>674</v>
      </c>
      <c r="L68" s="1029" t="s">
        <v>675</v>
      </c>
      <c r="M68" s="1030">
        <v>51100000</v>
      </c>
      <c r="N68" s="1044" t="s">
        <v>730</v>
      </c>
      <c r="O68" s="1044" t="s">
        <v>1536</v>
      </c>
      <c r="P68" s="1044"/>
      <c r="Q68" s="1027"/>
      <c r="R68" s="1022"/>
      <c r="S68" s="1130">
        <v>265</v>
      </c>
      <c r="T68" s="1156">
        <v>51100000</v>
      </c>
    </row>
    <row r="69" spans="1:103" s="995" customFormat="1" ht="66" x14ac:dyDescent="0.3">
      <c r="A69" s="1013">
        <v>2022063</v>
      </c>
      <c r="B69" s="1013">
        <v>7655</v>
      </c>
      <c r="C69" s="1013" t="s">
        <v>668</v>
      </c>
      <c r="D69" s="1045" t="s">
        <v>689</v>
      </c>
      <c r="E69" s="1051" t="s">
        <v>800</v>
      </c>
      <c r="F69" s="1016" t="s">
        <v>801</v>
      </c>
      <c r="G69" s="1047">
        <v>44630</v>
      </c>
      <c r="H69" s="1047">
        <v>44630</v>
      </c>
      <c r="I69" s="1048" t="s">
        <v>1540</v>
      </c>
      <c r="J69" s="1049" t="s">
        <v>1512</v>
      </c>
      <c r="K69" s="1017" t="s">
        <v>674</v>
      </c>
      <c r="L69" s="1019" t="s">
        <v>802</v>
      </c>
      <c r="M69" s="1020">
        <v>20000000</v>
      </c>
      <c r="N69" s="1050" t="s">
        <v>730</v>
      </c>
      <c r="O69" s="1050" t="s">
        <v>1536</v>
      </c>
      <c r="P69" s="1050"/>
      <c r="Q69" s="1017"/>
      <c r="R69" s="1022"/>
      <c r="S69" s="1130"/>
      <c r="T69" s="1156"/>
    </row>
    <row r="70" spans="1:103" s="1034" customFormat="1" ht="66" x14ac:dyDescent="0.3">
      <c r="A70" s="1023">
        <v>2022064</v>
      </c>
      <c r="B70" s="1023">
        <v>7655</v>
      </c>
      <c r="C70" s="1023" t="s">
        <v>668</v>
      </c>
      <c r="D70" s="1039" t="s">
        <v>689</v>
      </c>
      <c r="E70" s="1086" t="s">
        <v>803</v>
      </c>
      <c r="F70" s="1026" t="s">
        <v>804</v>
      </c>
      <c r="G70" s="1041">
        <v>44576</v>
      </c>
      <c r="H70" s="1041">
        <v>44576</v>
      </c>
      <c r="I70" s="1042" t="s">
        <v>97</v>
      </c>
      <c r="J70" s="1043" t="s">
        <v>1503</v>
      </c>
      <c r="K70" s="1027" t="s">
        <v>674</v>
      </c>
      <c r="L70" s="1029" t="s">
        <v>675</v>
      </c>
      <c r="M70" s="1030">
        <v>20000000</v>
      </c>
      <c r="N70" s="1044" t="s">
        <v>730</v>
      </c>
      <c r="O70" s="1044" t="s">
        <v>1536</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6" x14ac:dyDescent="0.3">
      <c r="A71" s="1131">
        <v>2022065</v>
      </c>
      <c r="B71" s="1131">
        <v>7655</v>
      </c>
      <c r="C71" s="1131" t="s">
        <v>668</v>
      </c>
      <c r="D71" s="1139" t="s">
        <v>689</v>
      </c>
      <c r="E71" s="1140" t="s">
        <v>803</v>
      </c>
      <c r="F71" s="1134" t="s">
        <v>805</v>
      </c>
      <c r="G71" s="1141">
        <v>44607</v>
      </c>
      <c r="H71" s="1141">
        <v>44607</v>
      </c>
      <c r="I71" s="1048" t="s">
        <v>1541</v>
      </c>
      <c r="J71" s="1143" t="s">
        <v>1503</v>
      </c>
      <c r="K71" s="1135" t="s">
        <v>674</v>
      </c>
      <c r="L71" s="1132" t="s">
        <v>675</v>
      </c>
      <c r="M71" s="1136">
        <v>140000000</v>
      </c>
      <c r="N71" s="1144" t="s">
        <v>730</v>
      </c>
      <c r="O71" s="1144" t="s">
        <v>1536</v>
      </c>
      <c r="P71" s="1144"/>
      <c r="Q71" s="1135"/>
      <c r="R71" s="1130">
        <v>595</v>
      </c>
      <c r="S71" s="1130"/>
      <c r="T71" s="1156"/>
    </row>
    <row r="72" spans="1:103" s="995" customFormat="1" ht="66" x14ac:dyDescent="0.3">
      <c r="A72" s="1013">
        <v>2022066</v>
      </c>
      <c r="B72" s="1013">
        <v>7655</v>
      </c>
      <c r="C72" s="1013" t="s">
        <v>668</v>
      </c>
      <c r="D72" s="1045" t="s">
        <v>689</v>
      </c>
      <c r="E72" s="1046">
        <v>76121900</v>
      </c>
      <c r="F72" s="1016" t="s">
        <v>1542</v>
      </c>
      <c r="G72" s="1047">
        <v>44635</v>
      </c>
      <c r="H72" s="1047">
        <v>44635</v>
      </c>
      <c r="I72" s="1048" t="s">
        <v>1543</v>
      </c>
      <c r="J72" s="1049" t="s">
        <v>1512</v>
      </c>
      <c r="K72" s="1017" t="s">
        <v>674</v>
      </c>
      <c r="L72" s="1019" t="s">
        <v>675</v>
      </c>
      <c r="M72" s="1020">
        <v>2060000</v>
      </c>
      <c r="N72" s="1050" t="s">
        <v>730</v>
      </c>
      <c r="O72" s="1050" t="s">
        <v>1536</v>
      </c>
      <c r="P72" s="1050"/>
      <c r="Q72" s="1017"/>
      <c r="R72" s="1022"/>
      <c r="S72" s="1130"/>
      <c r="T72" s="1156"/>
    </row>
    <row r="73" spans="1:103" s="995" customFormat="1" ht="66" x14ac:dyDescent="0.3">
      <c r="A73" s="1013">
        <v>2022067</v>
      </c>
      <c r="B73" s="1013">
        <v>7655</v>
      </c>
      <c r="C73" s="1013" t="s">
        <v>668</v>
      </c>
      <c r="D73" s="1045" t="s">
        <v>689</v>
      </c>
      <c r="E73" s="1051" t="s">
        <v>1544</v>
      </c>
      <c r="F73" s="1016" t="s">
        <v>1545</v>
      </c>
      <c r="G73" s="1047">
        <v>44635</v>
      </c>
      <c r="H73" s="1047">
        <v>44635</v>
      </c>
      <c r="I73" s="1049" t="s">
        <v>1546</v>
      </c>
      <c r="J73" s="1049" t="s">
        <v>1546</v>
      </c>
      <c r="K73" s="1017" t="s">
        <v>674</v>
      </c>
      <c r="L73" s="1019" t="s">
        <v>675</v>
      </c>
      <c r="M73" s="1020">
        <v>1110000</v>
      </c>
      <c r="N73" s="1050" t="s">
        <v>730</v>
      </c>
      <c r="O73" s="1050" t="s">
        <v>1536</v>
      </c>
      <c r="P73" s="1050"/>
      <c r="Q73" s="1017"/>
      <c r="R73" s="1022"/>
      <c r="S73" s="1130"/>
      <c r="T73" s="1156"/>
    </row>
    <row r="74" spans="1:103" s="995" customFormat="1" ht="79.2" x14ac:dyDescent="0.3">
      <c r="A74" s="1023">
        <v>2022068</v>
      </c>
      <c r="B74" s="1023">
        <v>7655</v>
      </c>
      <c r="C74" s="1023" t="s">
        <v>668</v>
      </c>
      <c r="D74" s="1039" t="s">
        <v>689</v>
      </c>
      <c r="E74" s="1040" t="s">
        <v>778</v>
      </c>
      <c r="F74" s="1026" t="s">
        <v>806</v>
      </c>
      <c r="G74" s="1041">
        <v>44575</v>
      </c>
      <c r="H74" s="1041">
        <v>44575</v>
      </c>
      <c r="I74" s="1042" t="s">
        <v>1534</v>
      </c>
      <c r="J74" s="1043" t="s">
        <v>1535</v>
      </c>
      <c r="K74" s="1027" t="s">
        <v>674</v>
      </c>
      <c r="L74" s="1029" t="s">
        <v>675</v>
      </c>
      <c r="M74" s="1030">
        <v>44275000</v>
      </c>
      <c r="N74" s="1044" t="s">
        <v>730</v>
      </c>
      <c r="O74" s="1044" t="s">
        <v>1536</v>
      </c>
      <c r="P74" s="1044"/>
      <c r="Q74" s="1027"/>
      <c r="R74" s="1022"/>
      <c r="S74" s="1130">
        <v>382</v>
      </c>
      <c r="T74" s="1156">
        <v>44275000</v>
      </c>
    </row>
    <row r="75" spans="1:103" s="995" customFormat="1" ht="66" x14ac:dyDescent="0.3">
      <c r="A75" s="1023">
        <v>2022069</v>
      </c>
      <c r="B75" s="1023">
        <v>7655</v>
      </c>
      <c r="C75" s="1023" t="s">
        <v>668</v>
      </c>
      <c r="D75" s="1039" t="s">
        <v>689</v>
      </c>
      <c r="E75" s="1040" t="s">
        <v>778</v>
      </c>
      <c r="F75" s="1026" t="s">
        <v>807</v>
      </c>
      <c r="G75" s="1041">
        <v>44575</v>
      </c>
      <c r="H75" s="1041">
        <v>44575</v>
      </c>
      <c r="I75" s="1042" t="s">
        <v>1534</v>
      </c>
      <c r="J75" s="1043" t="s">
        <v>1535</v>
      </c>
      <c r="K75" s="1027" t="s">
        <v>674</v>
      </c>
      <c r="L75" s="1029" t="s">
        <v>780</v>
      </c>
      <c r="M75" s="1030">
        <v>47150000</v>
      </c>
      <c r="N75" s="1044" t="s">
        <v>730</v>
      </c>
      <c r="O75" s="1044" t="s">
        <v>1536</v>
      </c>
      <c r="P75" s="1044"/>
      <c r="Q75" s="1027"/>
      <c r="R75" s="1022"/>
      <c r="S75" s="1130">
        <v>212</v>
      </c>
      <c r="T75" s="1156">
        <v>47150000</v>
      </c>
    </row>
    <row r="76" spans="1:103" s="995" customFormat="1" ht="66" x14ac:dyDescent="0.3">
      <c r="A76" s="1023">
        <v>2022070</v>
      </c>
      <c r="B76" s="1023">
        <v>7655</v>
      </c>
      <c r="C76" s="1023" t="s">
        <v>668</v>
      </c>
      <c r="D76" s="1039" t="s">
        <v>689</v>
      </c>
      <c r="E76" s="1040" t="s">
        <v>778</v>
      </c>
      <c r="F76" s="1026" t="s">
        <v>807</v>
      </c>
      <c r="G76" s="1041">
        <v>44575</v>
      </c>
      <c r="H76" s="1041">
        <v>44575</v>
      </c>
      <c r="I76" s="1042" t="s">
        <v>1534</v>
      </c>
      <c r="J76" s="1043" t="s">
        <v>1535</v>
      </c>
      <c r="K76" s="1027" t="s">
        <v>674</v>
      </c>
      <c r="L76" s="1029" t="s">
        <v>675</v>
      </c>
      <c r="M76" s="1030">
        <v>63250000</v>
      </c>
      <c r="N76" s="1044" t="s">
        <v>730</v>
      </c>
      <c r="O76" s="1044" t="s">
        <v>1536</v>
      </c>
      <c r="P76" s="1044"/>
      <c r="Q76" s="1027"/>
      <c r="R76" s="1022"/>
      <c r="S76" s="1130">
        <v>122</v>
      </c>
      <c r="T76" s="1156">
        <v>63250000</v>
      </c>
    </row>
    <row r="77" spans="1:103" s="995" customFormat="1" ht="66" x14ac:dyDescent="0.3">
      <c r="A77" s="1023">
        <v>2022071</v>
      </c>
      <c r="B77" s="1023">
        <v>7655</v>
      </c>
      <c r="C77" s="1023" t="s">
        <v>668</v>
      </c>
      <c r="D77" s="1039" t="s">
        <v>689</v>
      </c>
      <c r="E77" s="1040" t="s">
        <v>778</v>
      </c>
      <c r="F77" s="1026" t="s">
        <v>807</v>
      </c>
      <c r="G77" s="1041">
        <v>44575</v>
      </c>
      <c r="H77" s="1041">
        <v>44575</v>
      </c>
      <c r="I77" s="1042" t="s">
        <v>1534</v>
      </c>
      <c r="J77" s="1043" t="s">
        <v>1535</v>
      </c>
      <c r="K77" s="1027" t="s">
        <v>674</v>
      </c>
      <c r="L77" s="1029" t="s">
        <v>675</v>
      </c>
      <c r="M77" s="1030">
        <v>63250000</v>
      </c>
      <c r="N77" s="1044" t="s">
        <v>730</v>
      </c>
      <c r="O77" s="1044" t="s">
        <v>1536</v>
      </c>
      <c r="P77" s="1044"/>
      <c r="Q77" s="1027"/>
      <c r="R77" s="1022"/>
      <c r="S77" s="1130">
        <v>205</v>
      </c>
      <c r="T77" s="1156">
        <v>63250000</v>
      </c>
    </row>
    <row r="78" spans="1:103" s="995" customFormat="1" ht="79.2" x14ac:dyDescent="0.3">
      <c r="A78" s="1023">
        <v>2022072</v>
      </c>
      <c r="B78" s="1023">
        <v>7655</v>
      </c>
      <c r="C78" s="1023" t="s">
        <v>668</v>
      </c>
      <c r="D78" s="1039" t="s">
        <v>689</v>
      </c>
      <c r="E78" s="1040" t="s">
        <v>778</v>
      </c>
      <c r="F78" s="1026" t="s">
        <v>808</v>
      </c>
      <c r="G78" s="1041">
        <v>44575</v>
      </c>
      <c r="H78" s="1041">
        <v>44575</v>
      </c>
      <c r="I78" s="1042" t="s">
        <v>1537</v>
      </c>
      <c r="J78" s="1043" t="s">
        <v>1535</v>
      </c>
      <c r="K78" s="1027" t="s">
        <v>674</v>
      </c>
      <c r="L78" s="1029" t="s">
        <v>675</v>
      </c>
      <c r="M78" s="1030">
        <v>16500000</v>
      </c>
      <c r="N78" s="1044" t="s">
        <v>730</v>
      </c>
      <c r="O78" s="1044" t="s">
        <v>1536</v>
      </c>
      <c r="P78" s="1044"/>
      <c r="Q78" s="1027"/>
      <c r="R78" s="1022"/>
      <c r="S78" s="1130">
        <v>280</v>
      </c>
      <c r="T78" s="1156">
        <v>16500000</v>
      </c>
    </row>
    <row r="79" spans="1:103" s="995" customFormat="1" ht="66" x14ac:dyDescent="0.3">
      <c r="A79" s="1023">
        <v>2022073</v>
      </c>
      <c r="B79" s="1023">
        <v>7655</v>
      </c>
      <c r="C79" s="1023" t="s">
        <v>668</v>
      </c>
      <c r="D79" s="1039" t="s">
        <v>689</v>
      </c>
      <c r="E79" s="1040" t="s">
        <v>778</v>
      </c>
      <c r="F79" s="1026" t="s">
        <v>807</v>
      </c>
      <c r="G79" s="1041">
        <v>44575</v>
      </c>
      <c r="H79" s="1041">
        <v>44575</v>
      </c>
      <c r="I79" s="1042" t="s">
        <v>1534</v>
      </c>
      <c r="J79" s="1043" t="s">
        <v>1535</v>
      </c>
      <c r="K79" s="1027" t="s">
        <v>674</v>
      </c>
      <c r="L79" s="1029" t="s">
        <v>675</v>
      </c>
      <c r="M79" s="1030">
        <v>63250000</v>
      </c>
      <c r="N79" s="1044" t="s">
        <v>730</v>
      </c>
      <c r="O79" s="1044" t="s">
        <v>1536</v>
      </c>
      <c r="P79" s="1044"/>
      <c r="Q79" s="1027"/>
      <c r="R79" s="1022"/>
      <c r="S79" s="1130">
        <v>408</v>
      </c>
      <c r="T79" s="1156">
        <v>63250000</v>
      </c>
    </row>
    <row r="80" spans="1:103" s="995" customFormat="1" ht="66" x14ac:dyDescent="0.3">
      <c r="A80" s="1023">
        <v>2022074</v>
      </c>
      <c r="B80" s="1023">
        <v>7655</v>
      </c>
      <c r="C80" s="1023" t="s">
        <v>668</v>
      </c>
      <c r="D80" s="1039" t="s">
        <v>689</v>
      </c>
      <c r="E80" s="1040" t="s">
        <v>778</v>
      </c>
      <c r="F80" s="1026" t="s">
        <v>807</v>
      </c>
      <c r="G80" s="1041">
        <v>44575</v>
      </c>
      <c r="H80" s="1041">
        <v>44575</v>
      </c>
      <c r="I80" s="1042" t="s">
        <v>1534</v>
      </c>
      <c r="J80" s="1043" t="s">
        <v>1535</v>
      </c>
      <c r="K80" s="1027" t="s">
        <v>674</v>
      </c>
      <c r="L80" s="1029" t="s">
        <v>675</v>
      </c>
      <c r="M80" s="1030">
        <v>58650000</v>
      </c>
      <c r="N80" s="1044" t="s">
        <v>730</v>
      </c>
      <c r="O80" s="1044" t="s">
        <v>1536</v>
      </c>
      <c r="P80" s="1044"/>
      <c r="Q80" s="1027"/>
      <c r="R80" s="1022"/>
      <c r="S80" s="1130">
        <v>424</v>
      </c>
      <c r="T80" s="1156">
        <v>58650000</v>
      </c>
    </row>
    <row r="81" spans="1:20" s="995" customFormat="1" ht="79.2" x14ac:dyDescent="0.3">
      <c r="A81" s="1023">
        <v>2022075</v>
      </c>
      <c r="B81" s="1023">
        <v>7655</v>
      </c>
      <c r="C81" s="1023" t="s">
        <v>668</v>
      </c>
      <c r="D81" s="1039" t="s">
        <v>689</v>
      </c>
      <c r="E81" s="1040" t="s">
        <v>778</v>
      </c>
      <c r="F81" s="1026" t="s">
        <v>808</v>
      </c>
      <c r="G81" s="1041">
        <v>44575</v>
      </c>
      <c r="H81" s="1041">
        <v>44575</v>
      </c>
      <c r="I81" s="1042" t="s">
        <v>1534</v>
      </c>
      <c r="J81" s="1043" t="s">
        <v>1535</v>
      </c>
      <c r="K81" s="1027" t="s">
        <v>674</v>
      </c>
      <c r="L81" s="1029" t="s">
        <v>675</v>
      </c>
      <c r="M81" s="1030">
        <v>31625000</v>
      </c>
      <c r="N81" s="1044" t="s">
        <v>730</v>
      </c>
      <c r="O81" s="1044" t="s">
        <v>1536</v>
      </c>
      <c r="P81" s="1044"/>
      <c r="Q81" s="1027"/>
      <c r="R81" s="1022"/>
      <c r="S81" s="1130">
        <v>324</v>
      </c>
      <c r="T81" s="1156">
        <v>31625000</v>
      </c>
    </row>
    <row r="82" spans="1:20" s="995" customFormat="1" ht="66" x14ac:dyDescent="0.3">
      <c r="A82" s="1023">
        <v>2022076</v>
      </c>
      <c r="B82" s="1023">
        <v>7655</v>
      </c>
      <c r="C82" s="1023" t="s">
        <v>668</v>
      </c>
      <c r="D82" s="1039" t="s">
        <v>689</v>
      </c>
      <c r="E82" s="1040" t="s">
        <v>778</v>
      </c>
      <c r="F82" s="1026" t="s">
        <v>809</v>
      </c>
      <c r="G82" s="1041">
        <v>44575</v>
      </c>
      <c r="H82" s="1041">
        <v>44575</v>
      </c>
      <c r="I82" s="1042" t="s">
        <v>1534</v>
      </c>
      <c r="J82" s="1043" t="s">
        <v>1535</v>
      </c>
      <c r="K82" s="1027" t="s">
        <v>674</v>
      </c>
      <c r="L82" s="1029" t="s">
        <v>675</v>
      </c>
      <c r="M82" s="1030">
        <v>28175000</v>
      </c>
      <c r="N82" s="1044" t="s">
        <v>730</v>
      </c>
      <c r="O82" s="1044" t="s">
        <v>1536</v>
      </c>
      <c r="P82" s="1044"/>
      <c r="Q82" s="1027"/>
      <c r="R82" s="1022"/>
      <c r="S82" s="1130">
        <v>268</v>
      </c>
      <c r="T82" s="1156">
        <v>28175000</v>
      </c>
    </row>
    <row r="83" spans="1:20" s="995" customFormat="1" ht="66" x14ac:dyDescent="0.3">
      <c r="A83" s="1023">
        <v>2022077</v>
      </c>
      <c r="B83" s="1023">
        <v>7655</v>
      </c>
      <c r="C83" s="1023" t="s">
        <v>668</v>
      </c>
      <c r="D83" s="1039" t="s">
        <v>689</v>
      </c>
      <c r="E83" s="1040" t="s">
        <v>778</v>
      </c>
      <c r="F83" s="1026" t="s">
        <v>809</v>
      </c>
      <c r="G83" s="1041">
        <v>44575</v>
      </c>
      <c r="H83" s="1041">
        <v>44575</v>
      </c>
      <c r="I83" s="1042" t="s">
        <v>1534</v>
      </c>
      <c r="J83" s="1043" t="s">
        <v>1535</v>
      </c>
      <c r="K83" s="1027" t="s">
        <v>674</v>
      </c>
      <c r="L83" s="1029" t="s">
        <v>675</v>
      </c>
      <c r="M83" s="1030">
        <v>28175000</v>
      </c>
      <c r="N83" s="1044" t="s">
        <v>730</v>
      </c>
      <c r="O83" s="1044" t="s">
        <v>1536</v>
      </c>
      <c r="P83" s="1044"/>
      <c r="Q83" s="1027"/>
      <c r="R83" s="1022"/>
      <c r="S83" s="1130">
        <v>240</v>
      </c>
      <c r="T83" s="1156">
        <v>28175000</v>
      </c>
    </row>
    <row r="84" spans="1:20" s="995" customFormat="1" ht="66" x14ac:dyDescent="0.3">
      <c r="A84" s="1023">
        <v>2022078</v>
      </c>
      <c r="B84" s="1023">
        <v>7655</v>
      </c>
      <c r="C84" s="1023" t="s">
        <v>668</v>
      </c>
      <c r="D84" s="1039" t="s">
        <v>689</v>
      </c>
      <c r="E84" s="1040" t="s">
        <v>778</v>
      </c>
      <c r="F84" s="1026" t="s">
        <v>810</v>
      </c>
      <c r="G84" s="1041">
        <v>44575</v>
      </c>
      <c r="H84" s="1041">
        <v>44575</v>
      </c>
      <c r="I84" s="1042" t="s">
        <v>1534</v>
      </c>
      <c r="J84" s="1043" t="s">
        <v>1535</v>
      </c>
      <c r="K84" s="1027" t="s">
        <v>674</v>
      </c>
      <c r="L84" s="1029" t="s">
        <v>675</v>
      </c>
      <c r="M84" s="1030">
        <v>24150000</v>
      </c>
      <c r="N84" s="1044" t="s">
        <v>730</v>
      </c>
      <c r="O84" s="1044" t="s">
        <v>1536</v>
      </c>
      <c r="P84" s="1044"/>
      <c r="Q84" s="1027"/>
      <c r="R84" s="1022"/>
      <c r="S84" s="1130">
        <v>236</v>
      </c>
      <c r="T84" s="1156">
        <v>24150000</v>
      </c>
    </row>
    <row r="85" spans="1:20" s="995" customFormat="1" ht="66" x14ac:dyDescent="0.3">
      <c r="A85" s="1023">
        <v>2022079</v>
      </c>
      <c r="B85" s="1023">
        <v>7655</v>
      </c>
      <c r="C85" s="1023" t="s">
        <v>668</v>
      </c>
      <c r="D85" s="1039" t="s">
        <v>689</v>
      </c>
      <c r="E85" s="1040" t="s">
        <v>778</v>
      </c>
      <c r="F85" s="1026" t="s">
        <v>811</v>
      </c>
      <c r="G85" s="1041">
        <v>44575</v>
      </c>
      <c r="H85" s="1041">
        <v>44575</v>
      </c>
      <c r="I85" s="1042" t="s">
        <v>1534</v>
      </c>
      <c r="J85" s="1043" t="s">
        <v>1535</v>
      </c>
      <c r="K85" s="1027" t="s">
        <v>674</v>
      </c>
      <c r="L85" s="1029" t="s">
        <v>675</v>
      </c>
      <c r="M85" s="1030">
        <v>57500000</v>
      </c>
      <c r="N85" s="1044" t="s">
        <v>730</v>
      </c>
      <c r="O85" s="1044" t="s">
        <v>1536</v>
      </c>
      <c r="P85" s="1044"/>
      <c r="Q85" s="1027"/>
      <c r="R85" s="1022"/>
      <c r="S85" s="1130">
        <v>90</v>
      </c>
      <c r="T85" s="1156">
        <v>57500000</v>
      </c>
    </row>
    <row r="86" spans="1:20" s="995" customFormat="1" ht="66" x14ac:dyDescent="0.3">
      <c r="A86" s="1023">
        <v>2022080</v>
      </c>
      <c r="B86" s="1023">
        <v>7655</v>
      </c>
      <c r="C86" s="1023" t="s">
        <v>668</v>
      </c>
      <c r="D86" s="1039" t="s">
        <v>689</v>
      </c>
      <c r="E86" s="1040" t="s">
        <v>778</v>
      </c>
      <c r="F86" s="1026" t="s">
        <v>812</v>
      </c>
      <c r="G86" s="1041">
        <v>44575</v>
      </c>
      <c r="H86" s="1041">
        <v>44575</v>
      </c>
      <c r="I86" s="1042" t="s">
        <v>1534</v>
      </c>
      <c r="J86" s="1043" t="s">
        <v>1535</v>
      </c>
      <c r="K86" s="1027" t="s">
        <v>674</v>
      </c>
      <c r="L86" s="1029" t="s">
        <v>675</v>
      </c>
      <c r="M86" s="1030">
        <v>83950000</v>
      </c>
      <c r="N86" s="1044" t="s">
        <v>730</v>
      </c>
      <c r="O86" s="1044" t="s">
        <v>1536</v>
      </c>
      <c r="P86" s="1044"/>
      <c r="Q86" s="1027"/>
      <c r="R86" s="1022"/>
      <c r="S86" s="1130">
        <v>124</v>
      </c>
      <c r="T86" s="1156">
        <v>83950000</v>
      </c>
    </row>
    <row r="87" spans="1:20" s="995" customFormat="1" ht="66" x14ac:dyDescent="0.3">
      <c r="A87" s="1023">
        <v>2022081</v>
      </c>
      <c r="B87" s="1023">
        <v>7655</v>
      </c>
      <c r="C87" s="1023" t="s">
        <v>668</v>
      </c>
      <c r="D87" s="1039" t="s">
        <v>689</v>
      </c>
      <c r="E87" s="1040" t="s">
        <v>778</v>
      </c>
      <c r="F87" s="1026" t="s">
        <v>813</v>
      </c>
      <c r="G87" s="1041">
        <v>44575</v>
      </c>
      <c r="H87" s="1041">
        <v>44575</v>
      </c>
      <c r="I87" s="1042" t="s">
        <v>1534</v>
      </c>
      <c r="J87" s="1043" t="s">
        <v>1535</v>
      </c>
      <c r="K87" s="1027" t="s">
        <v>674</v>
      </c>
      <c r="L87" s="1029" t="s">
        <v>675</v>
      </c>
      <c r="M87" s="1030">
        <v>28175000</v>
      </c>
      <c r="N87" s="1044" t="s">
        <v>730</v>
      </c>
      <c r="O87" s="1044" t="s">
        <v>1536</v>
      </c>
      <c r="P87" s="1044"/>
      <c r="Q87" s="1027"/>
      <c r="R87" s="1022"/>
      <c r="S87" s="1130">
        <v>318</v>
      </c>
      <c r="T87" s="1156">
        <v>28175000</v>
      </c>
    </row>
    <row r="88" spans="1:20" s="995" customFormat="1" ht="66" x14ac:dyDescent="0.3">
      <c r="A88" s="1023">
        <v>2022082</v>
      </c>
      <c r="B88" s="1023">
        <v>7655</v>
      </c>
      <c r="C88" s="1023" t="s">
        <v>668</v>
      </c>
      <c r="D88" s="1039" t="s">
        <v>689</v>
      </c>
      <c r="E88" s="1040" t="s">
        <v>778</v>
      </c>
      <c r="F88" s="1026" t="s">
        <v>809</v>
      </c>
      <c r="G88" s="1041">
        <v>44575</v>
      </c>
      <c r="H88" s="1041">
        <v>44575</v>
      </c>
      <c r="I88" s="1042" t="s">
        <v>1534</v>
      </c>
      <c r="J88" s="1043" t="s">
        <v>1535</v>
      </c>
      <c r="K88" s="1027" t="s">
        <v>674</v>
      </c>
      <c r="L88" s="1029" t="s">
        <v>675</v>
      </c>
      <c r="M88" s="1030">
        <v>28175000</v>
      </c>
      <c r="N88" s="1044" t="s">
        <v>730</v>
      </c>
      <c r="O88" s="1044" t="s">
        <v>1536</v>
      </c>
      <c r="P88" s="1044"/>
      <c r="Q88" s="1027"/>
      <c r="R88" s="1022"/>
      <c r="S88" s="1130">
        <v>237</v>
      </c>
      <c r="T88" s="1156">
        <v>28175000</v>
      </c>
    </row>
    <row r="89" spans="1:20" s="995" customFormat="1" ht="66" x14ac:dyDescent="0.3">
      <c r="A89" s="1023">
        <v>2022083</v>
      </c>
      <c r="B89" s="1023">
        <v>7655</v>
      </c>
      <c r="C89" s="1023" t="s">
        <v>668</v>
      </c>
      <c r="D89" s="1039" t="s">
        <v>689</v>
      </c>
      <c r="E89" s="1040" t="s">
        <v>778</v>
      </c>
      <c r="F89" s="1026" t="s">
        <v>809</v>
      </c>
      <c r="G89" s="1041">
        <v>44575</v>
      </c>
      <c r="H89" s="1041">
        <v>44575</v>
      </c>
      <c r="I89" s="1042" t="s">
        <v>1534</v>
      </c>
      <c r="J89" s="1043" t="s">
        <v>1535</v>
      </c>
      <c r="K89" s="1027" t="s">
        <v>674</v>
      </c>
      <c r="L89" s="1029" t="s">
        <v>675</v>
      </c>
      <c r="M89" s="1030">
        <v>28175000</v>
      </c>
      <c r="N89" s="1044" t="s">
        <v>730</v>
      </c>
      <c r="O89" s="1044" t="s">
        <v>1536</v>
      </c>
      <c r="P89" s="1044"/>
      <c r="Q89" s="1027"/>
      <c r="R89" s="1022"/>
      <c r="S89" s="1130">
        <v>275</v>
      </c>
      <c r="T89" s="1156">
        <v>28175000</v>
      </c>
    </row>
    <row r="90" spans="1:20" s="995" customFormat="1" ht="66" x14ac:dyDescent="0.3">
      <c r="A90" s="1023">
        <v>2022084</v>
      </c>
      <c r="B90" s="1023">
        <v>7655</v>
      </c>
      <c r="C90" s="1023" t="s">
        <v>668</v>
      </c>
      <c r="D90" s="1039" t="s">
        <v>689</v>
      </c>
      <c r="E90" s="1040" t="s">
        <v>778</v>
      </c>
      <c r="F90" s="1026" t="s">
        <v>809</v>
      </c>
      <c r="G90" s="1041">
        <v>44575</v>
      </c>
      <c r="H90" s="1041">
        <v>44575</v>
      </c>
      <c r="I90" s="1042" t="s">
        <v>1534</v>
      </c>
      <c r="J90" s="1043" t="s">
        <v>1535</v>
      </c>
      <c r="K90" s="1027" t="s">
        <v>674</v>
      </c>
      <c r="L90" s="1029" t="s">
        <v>675</v>
      </c>
      <c r="M90" s="1030">
        <v>28175000</v>
      </c>
      <c r="N90" s="1044" t="s">
        <v>730</v>
      </c>
      <c r="O90" s="1044" t="s">
        <v>1536</v>
      </c>
      <c r="P90" s="1044"/>
      <c r="Q90" s="1027"/>
      <c r="R90" s="1022"/>
      <c r="S90" s="1130">
        <v>341</v>
      </c>
      <c r="T90" s="1156">
        <v>28175000</v>
      </c>
    </row>
    <row r="91" spans="1:20" s="995" customFormat="1" ht="66" x14ac:dyDescent="0.3">
      <c r="A91" s="1023">
        <v>2022085</v>
      </c>
      <c r="B91" s="1023">
        <v>7655</v>
      </c>
      <c r="C91" s="1023" t="s">
        <v>668</v>
      </c>
      <c r="D91" s="1039" t="s">
        <v>689</v>
      </c>
      <c r="E91" s="1040" t="s">
        <v>778</v>
      </c>
      <c r="F91" s="1026" t="s">
        <v>814</v>
      </c>
      <c r="G91" s="1041">
        <v>44575</v>
      </c>
      <c r="H91" s="1041">
        <v>44575</v>
      </c>
      <c r="I91" s="1042" t="s">
        <v>1534</v>
      </c>
      <c r="J91" s="1043" t="s">
        <v>1535</v>
      </c>
      <c r="K91" s="1027" t="s">
        <v>674</v>
      </c>
      <c r="L91" s="1029" t="s">
        <v>675</v>
      </c>
      <c r="M91" s="1030">
        <v>78200000</v>
      </c>
      <c r="N91" s="1044" t="s">
        <v>730</v>
      </c>
      <c r="O91" s="1044" t="s">
        <v>1536</v>
      </c>
      <c r="P91" s="1044"/>
      <c r="Q91" s="1027"/>
      <c r="R91" s="1022"/>
      <c r="S91" s="1130">
        <v>104</v>
      </c>
      <c r="T91" s="1156">
        <v>78200000</v>
      </c>
    </row>
    <row r="92" spans="1:20" s="995" customFormat="1" ht="66" x14ac:dyDescent="0.3">
      <c r="A92" s="1023">
        <v>2022086</v>
      </c>
      <c r="B92" s="1023">
        <v>7655</v>
      </c>
      <c r="C92" s="1023" t="s">
        <v>668</v>
      </c>
      <c r="D92" s="1039" t="s">
        <v>689</v>
      </c>
      <c r="E92" s="1040" t="s">
        <v>778</v>
      </c>
      <c r="F92" s="1026" t="s">
        <v>815</v>
      </c>
      <c r="G92" s="1041">
        <v>44575</v>
      </c>
      <c r="H92" s="1041">
        <v>44575</v>
      </c>
      <c r="I92" s="1042" t="s">
        <v>1534</v>
      </c>
      <c r="J92" s="1043" t="s">
        <v>1535</v>
      </c>
      <c r="K92" s="1027" t="s">
        <v>674</v>
      </c>
      <c r="L92" s="1029" t="s">
        <v>675</v>
      </c>
      <c r="M92" s="1030">
        <v>36800000</v>
      </c>
      <c r="N92" s="1044" t="s">
        <v>730</v>
      </c>
      <c r="O92" s="1044" t="s">
        <v>1536</v>
      </c>
      <c r="P92" s="1044"/>
      <c r="Q92" s="1027"/>
      <c r="R92" s="1022"/>
      <c r="S92" s="1130">
        <v>123</v>
      </c>
      <c r="T92" s="1156">
        <v>36800000</v>
      </c>
    </row>
    <row r="93" spans="1:20" s="995" customFormat="1" ht="79.2" x14ac:dyDescent="0.3">
      <c r="A93" s="1023">
        <v>2022087</v>
      </c>
      <c r="B93" s="1023">
        <v>7655</v>
      </c>
      <c r="C93" s="1023" t="s">
        <v>668</v>
      </c>
      <c r="D93" s="1039" t="s">
        <v>689</v>
      </c>
      <c r="E93" s="1040" t="s">
        <v>778</v>
      </c>
      <c r="F93" s="1026" t="s">
        <v>816</v>
      </c>
      <c r="G93" s="1041">
        <v>44575</v>
      </c>
      <c r="H93" s="1041">
        <v>44575</v>
      </c>
      <c r="I93" s="1042" t="s">
        <v>1534</v>
      </c>
      <c r="J93" s="1043" t="s">
        <v>1535</v>
      </c>
      <c r="K93" s="1027" t="s">
        <v>674</v>
      </c>
      <c r="L93" s="1029" t="s">
        <v>675</v>
      </c>
      <c r="M93" s="1030">
        <v>58650000</v>
      </c>
      <c r="N93" s="1044" t="s">
        <v>730</v>
      </c>
      <c r="O93" s="1044" t="s">
        <v>1536</v>
      </c>
      <c r="P93" s="1044"/>
      <c r="Q93" s="1027"/>
      <c r="R93" s="1022"/>
      <c r="S93" s="1130">
        <v>132</v>
      </c>
      <c r="T93" s="1156">
        <v>58650000</v>
      </c>
    </row>
    <row r="94" spans="1:20" s="995" customFormat="1" ht="66" x14ac:dyDescent="0.3">
      <c r="A94" s="1023">
        <v>2022088</v>
      </c>
      <c r="B94" s="1023">
        <v>7655</v>
      </c>
      <c r="C94" s="1023" t="s">
        <v>668</v>
      </c>
      <c r="D94" s="1039" t="s">
        <v>689</v>
      </c>
      <c r="E94" s="1040" t="s">
        <v>778</v>
      </c>
      <c r="F94" s="1026" t="s">
        <v>817</v>
      </c>
      <c r="G94" s="1041">
        <v>44575</v>
      </c>
      <c r="H94" s="1041">
        <v>44575</v>
      </c>
      <c r="I94" s="1042" t="s">
        <v>1534</v>
      </c>
      <c r="J94" s="1043" t="s">
        <v>1535</v>
      </c>
      <c r="K94" s="1027" t="s">
        <v>674</v>
      </c>
      <c r="L94" s="1029" t="s">
        <v>675</v>
      </c>
      <c r="M94" s="1030">
        <v>38525000</v>
      </c>
      <c r="N94" s="1044" t="s">
        <v>730</v>
      </c>
      <c r="O94" s="1044" t="s">
        <v>1536</v>
      </c>
      <c r="P94" s="1044"/>
      <c r="Q94" s="1027"/>
      <c r="R94" s="1022"/>
      <c r="S94" s="1130">
        <v>72</v>
      </c>
      <c r="T94" s="1156">
        <v>38525000</v>
      </c>
    </row>
    <row r="95" spans="1:20" s="995" customFormat="1" ht="79.2" x14ac:dyDescent="0.3">
      <c r="A95" s="1023">
        <v>2022089</v>
      </c>
      <c r="B95" s="1023">
        <v>7655</v>
      </c>
      <c r="C95" s="1023" t="s">
        <v>668</v>
      </c>
      <c r="D95" s="1039" t="s">
        <v>689</v>
      </c>
      <c r="E95" s="1040" t="s">
        <v>778</v>
      </c>
      <c r="F95" s="1026" t="s">
        <v>818</v>
      </c>
      <c r="G95" s="1041">
        <v>44575</v>
      </c>
      <c r="H95" s="1041">
        <v>44575</v>
      </c>
      <c r="I95" s="1042" t="s">
        <v>1534</v>
      </c>
      <c r="J95" s="1043" t="s">
        <v>1535</v>
      </c>
      <c r="K95" s="1027" t="s">
        <v>674</v>
      </c>
      <c r="L95" s="1029" t="s">
        <v>675</v>
      </c>
      <c r="M95" s="1030">
        <v>48300000</v>
      </c>
      <c r="N95" s="1044" t="s">
        <v>730</v>
      </c>
      <c r="O95" s="1044" t="s">
        <v>1536</v>
      </c>
      <c r="P95" s="1044"/>
      <c r="Q95" s="1027"/>
      <c r="R95" s="1022"/>
      <c r="S95" s="1130">
        <v>71</v>
      </c>
      <c r="T95" s="1156">
        <v>48300000</v>
      </c>
    </row>
    <row r="96" spans="1:20" s="995" customFormat="1" ht="66" x14ac:dyDescent="0.3">
      <c r="A96" s="1013">
        <v>2022090</v>
      </c>
      <c r="B96" s="1013">
        <v>7655</v>
      </c>
      <c r="C96" s="1013" t="s">
        <v>668</v>
      </c>
      <c r="D96" s="1045" t="s">
        <v>689</v>
      </c>
      <c r="E96" s="1046" t="s">
        <v>778</v>
      </c>
      <c r="F96" s="1016" t="s">
        <v>1547</v>
      </c>
      <c r="G96" s="1047">
        <v>44575</v>
      </c>
      <c r="H96" s="1047">
        <v>44575</v>
      </c>
      <c r="I96" s="1048" t="s">
        <v>1537</v>
      </c>
      <c r="J96" s="1049" t="s">
        <v>1535</v>
      </c>
      <c r="K96" s="1017" t="s">
        <v>674</v>
      </c>
      <c r="L96" s="1019" t="s">
        <v>675</v>
      </c>
      <c r="M96" s="1020">
        <v>36000000</v>
      </c>
      <c r="N96" s="1050" t="s">
        <v>730</v>
      </c>
      <c r="O96" s="1050" t="s">
        <v>1536</v>
      </c>
      <c r="P96" s="1050"/>
      <c r="Q96" s="1017"/>
      <c r="R96" s="1022"/>
      <c r="S96" s="1130"/>
      <c r="T96" s="1156"/>
    </row>
    <row r="97" spans="1:20" s="995" customFormat="1" ht="66" x14ac:dyDescent="0.3">
      <c r="A97" s="1023">
        <v>2022091</v>
      </c>
      <c r="B97" s="1023">
        <v>7655</v>
      </c>
      <c r="C97" s="1023" t="s">
        <v>668</v>
      </c>
      <c r="D97" s="1039" t="s">
        <v>689</v>
      </c>
      <c r="E97" s="1040" t="s">
        <v>778</v>
      </c>
      <c r="F97" s="1026" t="s">
        <v>819</v>
      </c>
      <c r="G97" s="1041">
        <v>44575</v>
      </c>
      <c r="H97" s="1041">
        <v>44575</v>
      </c>
      <c r="I97" s="1042" t="s">
        <v>1534</v>
      </c>
      <c r="J97" s="1043" t="s">
        <v>1535</v>
      </c>
      <c r="K97" s="1027" t="s">
        <v>674</v>
      </c>
      <c r="L97" s="1029" t="s">
        <v>675</v>
      </c>
      <c r="M97" s="1030">
        <v>80500000</v>
      </c>
      <c r="N97" s="1044" t="s">
        <v>730</v>
      </c>
      <c r="O97" s="1044" t="s">
        <v>1536</v>
      </c>
      <c r="P97" s="1044"/>
      <c r="Q97" s="1027"/>
      <c r="R97" s="1022"/>
      <c r="S97" s="1130">
        <v>434</v>
      </c>
      <c r="T97" s="1156">
        <v>80500000</v>
      </c>
    </row>
    <row r="98" spans="1:20" s="995" customFormat="1" ht="66" x14ac:dyDescent="0.3">
      <c r="A98" s="1023">
        <v>2022092</v>
      </c>
      <c r="B98" s="1023">
        <v>7655</v>
      </c>
      <c r="C98" s="1023" t="s">
        <v>668</v>
      </c>
      <c r="D98" s="1039" t="s">
        <v>689</v>
      </c>
      <c r="E98" s="1040" t="s">
        <v>778</v>
      </c>
      <c r="F98" s="1026" t="s">
        <v>820</v>
      </c>
      <c r="G98" s="1041">
        <v>44575</v>
      </c>
      <c r="H98" s="1041">
        <v>44575</v>
      </c>
      <c r="I98" s="1042" t="s">
        <v>1534</v>
      </c>
      <c r="J98" s="1043" t="s">
        <v>1535</v>
      </c>
      <c r="K98" s="1027" t="s">
        <v>674</v>
      </c>
      <c r="L98" s="1029" t="s">
        <v>675</v>
      </c>
      <c r="M98" s="1030">
        <v>28175000</v>
      </c>
      <c r="N98" s="1044" t="s">
        <v>730</v>
      </c>
      <c r="O98" s="1044" t="s">
        <v>1536</v>
      </c>
      <c r="P98" s="1044"/>
      <c r="Q98" s="1027"/>
      <c r="R98" s="1022"/>
      <c r="S98" s="1130">
        <v>213</v>
      </c>
      <c r="T98" s="1156">
        <v>28175000</v>
      </c>
    </row>
    <row r="99" spans="1:20" s="995" customFormat="1" ht="66" x14ac:dyDescent="0.3">
      <c r="A99" s="1023">
        <v>2022093</v>
      </c>
      <c r="B99" s="1023">
        <v>7655</v>
      </c>
      <c r="C99" s="1023" t="s">
        <v>668</v>
      </c>
      <c r="D99" s="1039" t="s">
        <v>689</v>
      </c>
      <c r="E99" s="1040" t="s">
        <v>778</v>
      </c>
      <c r="F99" s="1026" t="s">
        <v>821</v>
      </c>
      <c r="G99" s="1041">
        <v>44575</v>
      </c>
      <c r="H99" s="1041">
        <v>44575</v>
      </c>
      <c r="I99" s="1042" t="s">
        <v>1534</v>
      </c>
      <c r="J99" s="1043" t="s">
        <v>1535</v>
      </c>
      <c r="K99" s="1027" t="s">
        <v>674</v>
      </c>
      <c r="L99" s="1029" t="s">
        <v>675</v>
      </c>
      <c r="M99" s="1030">
        <v>48300000</v>
      </c>
      <c r="N99" s="1044" t="s">
        <v>730</v>
      </c>
      <c r="O99" s="1044" t="s">
        <v>1536</v>
      </c>
      <c r="P99" s="1044"/>
      <c r="Q99" s="1027"/>
      <c r="R99" s="1022"/>
      <c r="S99" s="1130">
        <v>91</v>
      </c>
      <c r="T99" s="1156">
        <v>48300000</v>
      </c>
    </row>
    <row r="100" spans="1:20" s="995" customFormat="1" ht="66" x14ac:dyDescent="0.3">
      <c r="A100" s="1023">
        <v>2022094</v>
      </c>
      <c r="B100" s="1023">
        <v>7655</v>
      </c>
      <c r="C100" s="1023" t="s">
        <v>668</v>
      </c>
      <c r="D100" s="1039" t="s">
        <v>689</v>
      </c>
      <c r="E100" s="1040" t="s">
        <v>778</v>
      </c>
      <c r="F100" s="1026" t="s">
        <v>820</v>
      </c>
      <c r="G100" s="1041">
        <v>44575</v>
      </c>
      <c r="H100" s="1041">
        <v>44575</v>
      </c>
      <c r="I100" s="1042" t="s">
        <v>1534</v>
      </c>
      <c r="J100" s="1043" t="s">
        <v>1535</v>
      </c>
      <c r="K100" s="1027" t="s">
        <v>674</v>
      </c>
      <c r="L100" s="1029" t="s">
        <v>675</v>
      </c>
      <c r="M100" s="1030">
        <v>28175000</v>
      </c>
      <c r="N100" s="1044" t="s">
        <v>730</v>
      </c>
      <c r="O100" s="1044" t="s">
        <v>1536</v>
      </c>
      <c r="P100" s="1044"/>
      <c r="Q100" s="1027"/>
      <c r="R100" s="1022"/>
      <c r="S100" s="1130">
        <v>94</v>
      </c>
      <c r="T100" s="1156">
        <v>28175000</v>
      </c>
    </row>
    <row r="101" spans="1:20" s="995" customFormat="1" ht="66" x14ac:dyDescent="0.3">
      <c r="A101" s="1023">
        <v>2022095</v>
      </c>
      <c r="B101" s="1023">
        <v>7655</v>
      </c>
      <c r="C101" s="1023" t="s">
        <v>668</v>
      </c>
      <c r="D101" s="1039" t="s">
        <v>689</v>
      </c>
      <c r="E101" s="1040" t="s">
        <v>778</v>
      </c>
      <c r="F101" s="1026" t="s">
        <v>822</v>
      </c>
      <c r="G101" s="1041">
        <v>44575</v>
      </c>
      <c r="H101" s="1041">
        <v>44575</v>
      </c>
      <c r="I101" s="1042" t="s">
        <v>1534</v>
      </c>
      <c r="J101" s="1043" t="s">
        <v>1535</v>
      </c>
      <c r="K101" s="1027" t="s">
        <v>674</v>
      </c>
      <c r="L101" s="1029" t="s">
        <v>675</v>
      </c>
      <c r="M101" s="1030">
        <v>31625000</v>
      </c>
      <c r="N101" s="1044" t="s">
        <v>730</v>
      </c>
      <c r="O101" s="1044" t="s">
        <v>1536</v>
      </c>
      <c r="P101" s="1044"/>
      <c r="Q101" s="1027"/>
      <c r="R101" s="1022"/>
      <c r="S101" s="1130">
        <v>316</v>
      </c>
      <c r="T101" s="1156">
        <v>31625000</v>
      </c>
    </row>
    <row r="102" spans="1:20" s="995" customFormat="1" ht="66" x14ac:dyDescent="0.3">
      <c r="A102" s="1023">
        <v>2022096</v>
      </c>
      <c r="B102" s="1023">
        <v>7655</v>
      </c>
      <c r="C102" s="1023" t="s">
        <v>668</v>
      </c>
      <c r="D102" s="1039" t="s">
        <v>689</v>
      </c>
      <c r="E102" s="1040" t="s">
        <v>778</v>
      </c>
      <c r="F102" s="1026" t="s">
        <v>823</v>
      </c>
      <c r="G102" s="1041">
        <v>44575</v>
      </c>
      <c r="H102" s="1041">
        <v>44575</v>
      </c>
      <c r="I102" s="1042" t="s">
        <v>1534</v>
      </c>
      <c r="J102" s="1043" t="s">
        <v>1535</v>
      </c>
      <c r="K102" s="1027" t="s">
        <v>674</v>
      </c>
      <c r="L102" s="1029" t="s">
        <v>675</v>
      </c>
      <c r="M102" s="1030">
        <v>69000000</v>
      </c>
      <c r="N102" s="1044" t="s">
        <v>730</v>
      </c>
      <c r="O102" s="1044" t="s">
        <v>1536</v>
      </c>
      <c r="P102" s="1044"/>
      <c r="Q102" s="1027"/>
      <c r="R102" s="1022"/>
      <c r="S102" s="1130">
        <v>130</v>
      </c>
      <c r="T102" s="1156">
        <v>69000000</v>
      </c>
    </row>
    <row r="103" spans="1:20" s="995" customFormat="1" ht="66" x14ac:dyDescent="0.3">
      <c r="A103" s="1023">
        <v>2022097</v>
      </c>
      <c r="B103" s="1023">
        <v>7655</v>
      </c>
      <c r="C103" s="1023" t="s">
        <v>668</v>
      </c>
      <c r="D103" s="1039" t="s">
        <v>689</v>
      </c>
      <c r="E103" s="1040" t="s">
        <v>778</v>
      </c>
      <c r="F103" s="1026" t="s">
        <v>820</v>
      </c>
      <c r="G103" s="1041">
        <v>44575</v>
      </c>
      <c r="H103" s="1041">
        <v>44575</v>
      </c>
      <c r="I103" s="1042" t="s">
        <v>1534</v>
      </c>
      <c r="J103" s="1043" t="s">
        <v>1535</v>
      </c>
      <c r="K103" s="1027" t="s">
        <v>674</v>
      </c>
      <c r="L103" s="1029" t="s">
        <v>675</v>
      </c>
      <c r="M103" s="1030">
        <v>24150000</v>
      </c>
      <c r="N103" s="1044" t="s">
        <v>730</v>
      </c>
      <c r="O103" s="1044" t="s">
        <v>1536</v>
      </c>
      <c r="P103" s="1044"/>
      <c r="Q103" s="1027"/>
      <c r="R103" s="1022"/>
      <c r="S103" s="1130">
        <v>112</v>
      </c>
      <c r="T103" s="1156">
        <v>24150000</v>
      </c>
    </row>
    <row r="104" spans="1:20" s="995" customFormat="1" ht="66" x14ac:dyDescent="0.3">
      <c r="A104" s="1023">
        <v>2022098</v>
      </c>
      <c r="B104" s="1023">
        <v>7655</v>
      </c>
      <c r="C104" s="1023" t="s">
        <v>668</v>
      </c>
      <c r="D104" s="1039" t="s">
        <v>689</v>
      </c>
      <c r="E104" s="1040" t="s">
        <v>778</v>
      </c>
      <c r="F104" s="1026" t="s">
        <v>820</v>
      </c>
      <c r="G104" s="1041">
        <v>44575</v>
      </c>
      <c r="H104" s="1041">
        <v>44575</v>
      </c>
      <c r="I104" s="1042" t="s">
        <v>1534</v>
      </c>
      <c r="J104" s="1043" t="s">
        <v>1535</v>
      </c>
      <c r="K104" s="1027" t="s">
        <v>674</v>
      </c>
      <c r="L104" s="1029" t="s">
        <v>675</v>
      </c>
      <c r="M104" s="1030">
        <v>28175000</v>
      </c>
      <c r="N104" s="1044" t="s">
        <v>730</v>
      </c>
      <c r="O104" s="1044" t="s">
        <v>1536</v>
      </c>
      <c r="P104" s="1044"/>
      <c r="Q104" s="1027"/>
      <c r="R104" s="1022"/>
      <c r="S104" s="1130">
        <v>121</v>
      </c>
      <c r="T104" s="1156">
        <v>28175000</v>
      </c>
    </row>
    <row r="105" spans="1:20" s="995" customFormat="1" ht="66" x14ac:dyDescent="0.3">
      <c r="A105" s="1023">
        <v>2022099</v>
      </c>
      <c r="B105" s="1023">
        <v>7655</v>
      </c>
      <c r="C105" s="1023" t="s">
        <v>668</v>
      </c>
      <c r="D105" s="1039" t="s">
        <v>689</v>
      </c>
      <c r="E105" s="1040" t="s">
        <v>778</v>
      </c>
      <c r="F105" s="1026" t="s">
        <v>820</v>
      </c>
      <c r="G105" s="1041">
        <v>44575</v>
      </c>
      <c r="H105" s="1041">
        <v>44575</v>
      </c>
      <c r="I105" s="1042" t="s">
        <v>1534</v>
      </c>
      <c r="J105" s="1043" t="s">
        <v>1535</v>
      </c>
      <c r="K105" s="1027" t="s">
        <v>674</v>
      </c>
      <c r="L105" s="1029" t="s">
        <v>675</v>
      </c>
      <c r="M105" s="1030">
        <v>28175000</v>
      </c>
      <c r="N105" s="1044" t="s">
        <v>730</v>
      </c>
      <c r="O105" s="1044" t="s">
        <v>1536</v>
      </c>
      <c r="P105" s="1044"/>
      <c r="Q105" s="1027"/>
      <c r="R105" s="1022"/>
      <c r="S105" s="1130">
        <v>73</v>
      </c>
      <c r="T105" s="1156">
        <v>28175000</v>
      </c>
    </row>
    <row r="106" spans="1:20" s="995" customFormat="1" ht="92.4" x14ac:dyDescent="0.3">
      <c r="A106" s="1023">
        <v>2022100</v>
      </c>
      <c r="B106" s="1023">
        <v>7655</v>
      </c>
      <c r="C106" s="1023" t="s">
        <v>668</v>
      </c>
      <c r="D106" s="1039" t="s">
        <v>689</v>
      </c>
      <c r="E106" s="1040" t="s">
        <v>778</v>
      </c>
      <c r="F106" s="1026" t="s">
        <v>824</v>
      </c>
      <c r="G106" s="1041">
        <v>44575</v>
      </c>
      <c r="H106" s="1041">
        <v>44575</v>
      </c>
      <c r="I106" s="1042" t="s">
        <v>1534</v>
      </c>
      <c r="J106" s="1043" t="s">
        <v>1535</v>
      </c>
      <c r="K106" s="1027" t="s">
        <v>674</v>
      </c>
      <c r="L106" s="1029" t="s">
        <v>780</v>
      </c>
      <c r="M106" s="1030">
        <v>63250000</v>
      </c>
      <c r="N106" s="1044" t="s">
        <v>730</v>
      </c>
      <c r="O106" s="1044" t="s">
        <v>1536</v>
      </c>
      <c r="P106" s="1044"/>
      <c r="Q106" s="1027"/>
      <c r="R106" s="1022"/>
      <c r="S106" s="1130">
        <v>267</v>
      </c>
      <c r="T106" s="1156">
        <v>63250000</v>
      </c>
    </row>
    <row r="107" spans="1:20" s="995" customFormat="1" ht="92.4" x14ac:dyDescent="0.3">
      <c r="A107" s="1023">
        <v>2022101</v>
      </c>
      <c r="B107" s="1023">
        <v>7655</v>
      </c>
      <c r="C107" s="1023" t="s">
        <v>668</v>
      </c>
      <c r="D107" s="1039" t="s">
        <v>689</v>
      </c>
      <c r="E107" s="1040" t="s">
        <v>778</v>
      </c>
      <c r="F107" s="1026" t="s">
        <v>825</v>
      </c>
      <c r="G107" s="1041">
        <v>44575</v>
      </c>
      <c r="H107" s="1041">
        <v>44575</v>
      </c>
      <c r="I107" s="1042" t="s">
        <v>1534</v>
      </c>
      <c r="J107" s="1043" t="s">
        <v>1535</v>
      </c>
      <c r="K107" s="1027" t="s">
        <v>674</v>
      </c>
      <c r="L107" s="1029" t="s">
        <v>780</v>
      </c>
      <c r="M107" s="1030">
        <v>63250000</v>
      </c>
      <c r="N107" s="1044" t="s">
        <v>730</v>
      </c>
      <c r="O107" s="1044" t="s">
        <v>1536</v>
      </c>
      <c r="P107" s="1044"/>
      <c r="Q107" s="1027"/>
      <c r="R107" s="1022"/>
      <c r="S107" s="1130">
        <v>362</v>
      </c>
      <c r="T107" s="1156">
        <v>63250000</v>
      </c>
    </row>
    <row r="108" spans="1:20" s="995" customFormat="1" ht="66" x14ac:dyDescent="0.3">
      <c r="A108" s="1013">
        <v>2022102</v>
      </c>
      <c r="B108" s="1013">
        <v>7655</v>
      </c>
      <c r="C108" s="1013" t="s">
        <v>668</v>
      </c>
      <c r="D108" s="1045" t="s">
        <v>689</v>
      </c>
      <c r="E108" s="1046" t="s">
        <v>97</v>
      </c>
      <c r="F108" s="1052" t="s">
        <v>1548</v>
      </c>
      <c r="G108" s="1047" t="s">
        <v>97</v>
      </c>
      <c r="H108" s="1047" t="s">
        <v>97</v>
      </c>
      <c r="I108" s="1047" t="s">
        <v>97</v>
      </c>
      <c r="J108" s="1049" t="s">
        <v>1535</v>
      </c>
      <c r="K108" s="1017" t="s">
        <v>674</v>
      </c>
      <c r="L108" s="1019" t="s">
        <v>675</v>
      </c>
      <c r="M108" s="1020">
        <v>138627500</v>
      </c>
      <c r="N108" s="1050" t="s">
        <v>730</v>
      </c>
      <c r="O108" s="1050" t="s">
        <v>1536</v>
      </c>
      <c r="P108" s="1050"/>
      <c r="Q108" s="1017"/>
      <c r="R108" s="1022"/>
      <c r="S108" s="1130"/>
      <c r="T108" s="1156"/>
    </row>
    <row r="109" spans="1:20" s="995" customFormat="1" ht="66" x14ac:dyDescent="0.3">
      <c r="A109" s="1023">
        <v>2022103</v>
      </c>
      <c r="B109" s="1023">
        <v>7655</v>
      </c>
      <c r="C109" s="1023" t="s">
        <v>668</v>
      </c>
      <c r="D109" s="1039" t="s">
        <v>689</v>
      </c>
      <c r="E109" s="1040" t="s">
        <v>778</v>
      </c>
      <c r="F109" s="1026" t="s">
        <v>826</v>
      </c>
      <c r="G109" s="1041">
        <v>44575</v>
      </c>
      <c r="H109" s="1041">
        <v>44575</v>
      </c>
      <c r="I109" s="1042" t="s">
        <v>1538</v>
      </c>
      <c r="J109" s="1043" t="s">
        <v>1535</v>
      </c>
      <c r="K109" s="1027" t="s">
        <v>674</v>
      </c>
      <c r="L109" s="1029" t="s">
        <v>675</v>
      </c>
      <c r="M109" s="1030">
        <v>31500000</v>
      </c>
      <c r="N109" s="1044" t="s">
        <v>730</v>
      </c>
      <c r="O109" s="1044" t="s">
        <v>1536</v>
      </c>
      <c r="P109" s="1044"/>
      <c r="Q109" s="1027"/>
      <c r="R109" s="1022"/>
      <c r="S109" s="1130">
        <v>289</v>
      </c>
      <c r="T109" s="1156">
        <v>31500000</v>
      </c>
    </row>
    <row r="110" spans="1:20" s="995" customFormat="1" ht="66" x14ac:dyDescent="0.3">
      <c r="A110" s="1023">
        <v>2022104</v>
      </c>
      <c r="B110" s="1023">
        <v>7655</v>
      </c>
      <c r="C110" s="1023" t="s">
        <v>668</v>
      </c>
      <c r="D110" s="1039" t="s">
        <v>689</v>
      </c>
      <c r="E110" s="1040" t="s">
        <v>778</v>
      </c>
      <c r="F110" s="1026" t="s">
        <v>827</v>
      </c>
      <c r="G110" s="1041">
        <v>44575</v>
      </c>
      <c r="H110" s="1041">
        <v>44575</v>
      </c>
      <c r="I110" s="1042" t="s">
        <v>1534</v>
      </c>
      <c r="J110" s="1043" t="s">
        <v>1535</v>
      </c>
      <c r="K110" s="1027" t="s">
        <v>674</v>
      </c>
      <c r="L110" s="1029" t="s">
        <v>675</v>
      </c>
      <c r="M110" s="1030">
        <v>38525000</v>
      </c>
      <c r="N110" s="1044" t="s">
        <v>730</v>
      </c>
      <c r="O110" s="1044" t="s">
        <v>1536</v>
      </c>
      <c r="P110" s="1044"/>
      <c r="Q110" s="1027"/>
      <c r="R110" s="1022"/>
      <c r="S110" s="1130">
        <v>204</v>
      </c>
      <c r="T110" s="1156">
        <v>38525000</v>
      </c>
    </row>
    <row r="111" spans="1:20" s="995" customFormat="1" ht="66" x14ac:dyDescent="0.3">
      <c r="A111" s="1023">
        <v>2022105</v>
      </c>
      <c r="B111" s="1023">
        <v>7655</v>
      </c>
      <c r="C111" s="1023" t="s">
        <v>668</v>
      </c>
      <c r="D111" s="1039" t="s">
        <v>689</v>
      </c>
      <c r="E111" s="1040" t="s">
        <v>778</v>
      </c>
      <c r="F111" s="1026" t="s">
        <v>827</v>
      </c>
      <c r="G111" s="1041">
        <v>44575</v>
      </c>
      <c r="H111" s="1041">
        <v>44575</v>
      </c>
      <c r="I111" s="1042" t="s">
        <v>1534</v>
      </c>
      <c r="J111" s="1043" t="s">
        <v>1535</v>
      </c>
      <c r="K111" s="1027" t="s">
        <v>674</v>
      </c>
      <c r="L111" s="1029" t="s">
        <v>675</v>
      </c>
      <c r="M111" s="1030">
        <v>28175000</v>
      </c>
      <c r="N111" s="1044" t="s">
        <v>730</v>
      </c>
      <c r="O111" s="1044" t="s">
        <v>1536</v>
      </c>
      <c r="P111" s="1044"/>
      <c r="Q111" s="1027"/>
      <c r="R111" s="1022"/>
      <c r="S111" s="1130">
        <v>256</v>
      </c>
      <c r="T111" s="1156">
        <v>28175000</v>
      </c>
    </row>
    <row r="112" spans="1:20" s="995" customFormat="1" ht="66" x14ac:dyDescent="0.3">
      <c r="A112" s="1023">
        <v>2022106</v>
      </c>
      <c r="B112" s="1023">
        <v>7655</v>
      </c>
      <c r="C112" s="1023" t="s">
        <v>668</v>
      </c>
      <c r="D112" s="1039" t="s">
        <v>689</v>
      </c>
      <c r="E112" s="1040" t="s">
        <v>778</v>
      </c>
      <c r="F112" s="1026" t="s">
        <v>828</v>
      </c>
      <c r="G112" s="1041">
        <v>44575</v>
      </c>
      <c r="H112" s="1041">
        <v>44575</v>
      </c>
      <c r="I112" s="1042" t="s">
        <v>1534</v>
      </c>
      <c r="J112" s="1043" t="s">
        <v>1535</v>
      </c>
      <c r="K112" s="1027" t="s">
        <v>674</v>
      </c>
      <c r="L112" s="1029" t="s">
        <v>675</v>
      </c>
      <c r="M112" s="1030">
        <v>44275000</v>
      </c>
      <c r="N112" s="1044" t="s">
        <v>730</v>
      </c>
      <c r="O112" s="1044" t="s">
        <v>1536</v>
      </c>
      <c r="P112" s="1044"/>
      <c r="Q112" s="1027"/>
      <c r="R112" s="1022"/>
      <c r="S112" s="1130">
        <v>219</v>
      </c>
      <c r="T112" s="1156">
        <v>44275000</v>
      </c>
    </row>
    <row r="113" spans="1:20" s="995" customFormat="1" ht="79.2" x14ac:dyDescent="0.3">
      <c r="A113" s="1023">
        <v>2022107</v>
      </c>
      <c r="B113" s="1023">
        <v>7655</v>
      </c>
      <c r="C113" s="1023" t="s">
        <v>668</v>
      </c>
      <c r="D113" s="1039" t="s">
        <v>689</v>
      </c>
      <c r="E113" s="1040" t="s">
        <v>778</v>
      </c>
      <c r="F113" s="1026" t="s">
        <v>829</v>
      </c>
      <c r="G113" s="1041">
        <v>44575</v>
      </c>
      <c r="H113" s="1041">
        <v>44575</v>
      </c>
      <c r="I113" s="1042" t="s">
        <v>1538</v>
      </c>
      <c r="J113" s="1043" t="s">
        <v>1535</v>
      </c>
      <c r="K113" s="1027" t="s">
        <v>674</v>
      </c>
      <c r="L113" s="1029" t="s">
        <v>675</v>
      </c>
      <c r="M113" s="1030">
        <v>31500000</v>
      </c>
      <c r="N113" s="1044" t="s">
        <v>730</v>
      </c>
      <c r="O113" s="1044" t="s">
        <v>1536</v>
      </c>
      <c r="P113" s="1044"/>
      <c r="Q113" s="1027"/>
      <c r="R113" s="1022"/>
      <c r="S113" s="1130">
        <v>374</v>
      </c>
      <c r="T113" s="1156">
        <v>31500000</v>
      </c>
    </row>
    <row r="114" spans="1:20" s="995" customFormat="1" ht="66" x14ac:dyDescent="0.3">
      <c r="A114" s="1023">
        <v>2022108</v>
      </c>
      <c r="B114" s="1023">
        <v>7655</v>
      </c>
      <c r="C114" s="1023" t="s">
        <v>668</v>
      </c>
      <c r="D114" s="1039" t="s">
        <v>689</v>
      </c>
      <c r="E114" s="1040" t="s">
        <v>778</v>
      </c>
      <c r="F114" s="1026" t="s">
        <v>830</v>
      </c>
      <c r="G114" s="1041">
        <v>44575</v>
      </c>
      <c r="H114" s="1041">
        <v>44575</v>
      </c>
      <c r="I114" s="1042" t="s">
        <v>1543</v>
      </c>
      <c r="J114" s="1043" t="s">
        <v>1535</v>
      </c>
      <c r="K114" s="1027" t="s">
        <v>674</v>
      </c>
      <c r="L114" s="1029" t="s">
        <v>675</v>
      </c>
      <c r="M114" s="1030">
        <v>29400000</v>
      </c>
      <c r="N114" s="1044" t="s">
        <v>730</v>
      </c>
      <c r="O114" s="1044" t="s">
        <v>1536</v>
      </c>
      <c r="P114" s="1044"/>
      <c r="Q114" s="1027"/>
      <c r="R114" s="1022"/>
      <c r="S114" s="1130">
        <v>258</v>
      </c>
      <c r="T114" s="1156">
        <v>29400000</v>
      </c>
    </row>
    <row r="115" spans="1:20" s="995" customFormat="1" ht="66" x14ac:dyDescent="0.3">
      <c r="A115" s="1023">
        <v>2022109</v>
      </c>
      <c r="B115" s="1023">
        <v>7655</v>
      </c>
      <c r="C115" s="1023" t="s">
        <v>668</v>
      </c>
      <c r="D115" s="1039" t="s">
        <v>689</v>
      </c>
      <c r="E115" s="1040" t="s">
        <v>778</v>
      </c>
      <c r="F115" s="1026" t="s">
        <v>831</v>
      </c>
      <c r="G115" s="1041">
        <v>44575</v>
      </c>
      <c r="H115" s="1041">
        <v>44575</v>
      </c>
      <c r="I115" s="1042" t="s">
        <v>1543</v>
      </c>
      <c r="J115" s="1043" t="s">
        <v>1535</v>
      </c>
      <c r="K115" s="1027" t="s">
        <v>674</v>
      </c>
      <c r="L115" s="1029" t="s">
        <v>675</v>
      </c>
      <c r="M115" s="1030">
        <v>84000000</v>
      </c>
      <c r="N115" s="1044" t="s">
        <v>730</v>
      </c>
      <c r="O115" s="1044" t="s">
        <v>1536</v>
      </c>
      <c r="P115" s="1044"/>
      <c r="Q115" s="1027"/>
      <c r="R115" s="1022"/>
      <c r="S115" s="1130">
        <v>149</v>
      </c>
      <c r="T115" s="1156">
        <v>84000000</v>
      </c>
    </row>
    <row r="116" spans="1:20" s="995" customFormat="1" ht="66" x14ac:dyDescent="0.3">
      <c r="A116" s="1023">
        <v>2022110</v>
      </c>
      <c r="B116" s="1023">
        <v>7655</v>
      </c>
      <c r="C116" s="1023" t="s">
        <v>668</v>
      </c>
      <c r="D116" s="1039" t="s">
        <v>689</v>
      </c>
      <c r="E116" s="1040" t="s">
        <v>778</v>
      </c>
      <c r="F116" s="1026" t="s">
        <v>832</v>
      </c>
      <c r="G116" s="1041">
        <v>44575</v>
      </c>
      <c r="H116" s="1041">
        <v>44575</v>
      </c>
      <c r="I116" s="1042" t="s">
        <v>1543</v>
      </c>
      <c r="J116" s="1043" t="s">
        <v>1535</v>
      </c>
      <c r="K116" s="1027" t="s">
        <v>674</v>
      </c>
      <c r="L116" s="1029" t="s">
        <v>675</v>
      </c>
      <c r="M116" s="1030">
        <v>40200000</v>
      </c>
      <c r="N116" s="1044" t="s">
        <v>730</v>
      </c>
      <c r="O116" s="1044" t="s">
        <v>1536</v>
      </c>
      <c r="P116" s="1044"/>
      <c r="Q116" s="1027"/>
      <c r="R116" s="1022"/>
      <c r="S116" s="1130">
        <v>431</v>
      </c>
      <c r="T116" s="1156">
        <v>29400000</v>
      </c>
    </row>
    <row r="117" spans="1:20" s="995" customFormat="1" ht="66" x14ac:dyDescent="0.3">
      <c r="A117" s="1023">
        <v>2022111</v>
      </c>
      <c r="B117" s="1023">
        <v>7655</v>
      </c>
      <c r="C117" s="1023" t="s">
        <v>668</v>
      </c>
      <c r="D117" s="1039" t="s">
        <v>689</v>
      </c>
      <c r="E117" s="1040" t="s">
        <v>778</v>
      </c>
      <c r="F117" s="1026" t="s">
        <v>830</v>
      </c>
      <c r="G117" s="1041">
        <v>44575</v>
      </c>
      <c r="H117" s="1041">
        <v>44575</v>
      </c>
      <c r="I117" s="1042" t="s">
        <v>1543</v>
      </c>
      <c r="J117" s="1043" t="s">
        <v>1535</v>
      </c>
      <c r="K117" s="1027" t="s">
        <v>674</v>
      </c>
      <c r="L117" s="1029" t="s">
        <v>675</v>
      </c>
      <c r="M117" s="1030">
        <v>29400000</v>
      </c>
      <c r="N117" s="1044" t="s">
        <v>730</v>
      </c>
      <c r="O117" s="1044" t="s">
        <v>1536</v>
      </c>
      <c r="P117" s="1044"/>
      <c r="Q117" s="1027"/>
      <c r="R117" s="1022"/>
      <c r="S117" s="1130">
        <v>185</v>
      </c>
      <c r="T117" s="1156">
        <v>29400000</v>
      </c>
    </row>
    <row r="118" spans="1:20" s="995" customFormat="1" ht="66" x14ac:dyDescent="0.3">
      <c r="A118" s="1023">
        <v>2022112</v>
      </c>
      <c r="B118" s="1023">
        <v>7655</v>
      </c>
      <c r="C118" s="1023" t="s">
        <v>668</v>
      </c>
      <c r="D118" s="1039" t="s">
        <v>689</v>
      </c>
      <c r="E118" s="1040" t="s">
        <v>778</v>
      </c>
      <c r="F118" s="1026" t="s">
        <v>833</v>
      </c>
      <c r="G118" s="1041">
        <v>44575</v>
      </c>
      <c r="H118" s="1041">
        <v>44575</v>
      </c>
      <c r="I118" s="1042" t="s">
        <v>1543</v>
      </c>
      <c r="J118" s="1043" t="s">
        <v>1535</v>
      </c>
      <c r="K118" s="1027" t="s">
        <v>674</v>
      </c>
      <c r="L118" s="1029" t="s">
        <v>675</v>
      </c>
      <c r="M118" s="1030">
        <v>29400000</v>
      </c>
      <c r="N118" s="1044" t="s">
        <v>730</v>
      </c>
      <c r="O118" s="1044" t="s">
        <v>1536</v>
      </c>
      <c r="P118" s="1044"/>
      <c r="Q118" s="1027"/>
      <c r="R118" s="1022"/>
      <c r="S118" s="1130">
        <v>157</v>
      </c>
      <c r="T118" s="1156">
        <v>29400000</v>
      </c>
    </row>
    <row r="119" spans="1:20" s="995" customFormat="1" ht="66" x14ac:dyDescent="0.3">
      <c r="A119" s="1023">
        <v>2022113</v>
      </c>
      <c r="B119" s="1023">
        <v>7655</v>
      </c>
      <c r="C119" s="1023" t="s">
        <v>668</v>
      </c>
      <c r="D119" s="1039" t="s">
        <v>689</v>
      </c>
      <c r="E119" s="1040" t="s">
        <v>778</v>
      </c>
      <c r="F119" s="1026" t="s">
        <v>833</v>
      </c>
      <c r="G119" s="1041">
        <v>44575</v>
      </c>
      <c r="H119" s="1041">
        <v>44575</v>
      </c>
      <c r="I119" s="1042" t="s">
        <v>1543</v>
      </c>
      <c r="J119" s="1043" t="s">
        <v>1535</v>
      </c>
      <c r="K119" s="1027" t="s">
        <v>674</v>
      </c>
      <c r="L119" s="1029" t="s">
        <v>675</v>
      </c>
      <c r="M119" s="1030">
        <v>29400000</v>
      </c>
      <c r="N119" s="1044" t="s">
        <v>730</v>
      </c>
      <c r="O119" s="1044" t="s">
        <v>1536</v>
      </c>
      <c r="P119" s="1044"/>
      <c r="Q119" s="1027"/>
      <c r="R119" s="1022"/>
      <c r="S119" s="1130">
        <v>182</v>
      </c>
      <c r="T119" s="1156">
        <v>29400000</v>
      </c>
    </row>
    <row r="120" spans="1:20" s="995" customFormat="1" ht="66" x14ac:dyDescent="0.3">
      <c r="A120" s="1023">
        <v>2022114</v>
      </c>
      <c r="B120" s="1023">
        <v>7655</v>
      </c>
      <c r="C120" s="1023" t="s">
        <v>668</v>
      </c>
      <c r="D120" s="1039" t="s">
        <v>689</v>
      </c>
      <c r="E120" s="1040" t="s">
        <v>778</v>
      </c>
      <c r="F120" s="1026" t="s">
        <v>834</v>
      </c>
      <c r="G120" s="1041">
        <v>44575</v>
      </c>
      <c r="H120" s="1041">
        <v>44575</v>
      </c>
      <c r="I120" s="1042" t="s">
        <v>1543</v>
      </c>
      <c r="J120" s="1043" t="s">
        <v>1535</v>
      </c>
      <c r="K120" s="1027" t="s">
        <v>674</v>
      </c>
      <c r="L120" s="1029" t="s">
        <v>675</v>
      </c>
      <c r="M120" s="1030">
        <v>29400000</v>
      </c>
      <c r="N120" s="1044" t="s">
        <v>730</v>
      </c>
      <c r="O120" s="1044" t="s">
        <v>1536</v>
      </c>
      <c r="P120" s="1044"/>
      <c r="Q120" s="1027"/>
      <c r="R120" s="1022"/>
      <c r="S120" s="1130">
        <v>184</v>
      </c>
      <c r="T120" s="1156">
        <v>29400000</v>
      </c>
    </row>
    <row r="121" spans="1:20" s="995" customFormat="1" ht="66" x14ac:dyDescent="0.3">
      <c r="A121" s="1023">
        <v>2022115</v>
      </c>
      <c r="B121" s="1023">
        <v>7655</v>
      </c>
      <c r="C121" s="1023" t="s">
        <v>668</v>
      </c>
      <c r="D121" s="1039" t="s">
        <v>689</v>
      </c>
      <c r="E121" s="1040" t="s">
        <v>778</v>
      </c>
      <c r="F121" s="1026" t="s">
        <v>833</v>
      </c>
      <c r="G121" s="1041">
        <v>44575</v>
      </c>
      <c r="H121" s="1041">
        <v>44575</v>
      </c>
      <c r="I121" s="1042" t="s">
        <v>1543</v>
      </c>
      <c r="J121" s="1043" t="s">
        <v>1535</v>
      </c>
      <c r="K121" s="1027" t="s">
        <v>674</v>
      </c>
      <c r="L121" s="1029" t="s">
        <v>675</v>
      </c>
      <c r="M121" s="1030">
        <v>29400000</v>
      </c>
      <c r="N121" s="1044" t="s">
        <v>730</v>
      </c>
      <c r="O121" s="1044" t="s">
        <v>1536</v>
      </c>
      <c r="P121" s="1044"/>
      <c r="Q121" s="1027"/>
      <c r="R121" s="1022"/>
      <c r="S121" s="1130">
        <v>432</v>
      </c>
      <c r="T121" s="1156">
        <v>29400000</v>
      </c>
    </row>
    <row r="122" spans="1:20" s="995" customFormat="1" ht="66" x14ac:dyDescent="0.3">
      <c r="A122" s="1023">
        <v>2022116</v>
      </c>
      <c r="B122" s="1023">
        <v>7655</v>
      </c>
      <c r="C122" s="1023" t="s">
        <v>668</v>
      </c>
      <c r="D122" s="1039" t="s">
        <v>689</v>
      </c>
      <c r="E122" s="1040" t="s">
        <v>778</v>
      </c>
      <c r="F122" s="1026" t="s">
        <v>833</v>
      </c>
      <c r="G122" s="1041">
        <v>44575</v>
      </c>
      <c r="H122" s="1041">
        <v>44575</v>
      </c>
      <c r="I122" s="1042" t="s">
        <v>1543</v>
      </c>
      <c r="J122" s="1043" t="s">
        <v>1535</v>
      </c>
      <c r="K122" s="1027" t="s">
        <v>674</v>
      </c>
      <c r="L122" s="1029" t="s">
        <v>675</v>
      </c>
      <c r="M122" s="1030">
        <v>29400000</v>
      </c>
      <c r="N122" s="1044" t="s">
        <v>730</v>
      </c>
      <c r="O122" s="1044" t="s">
        <v>1536</v>
      </c>
      <c r="P122" s="1044"/>
      <c r="Q122" s="1027"/>
      <c r="R122" s="1022"/>
      <c r="S122" s="1130">
        <v>175</v>
      </c>
      <c r="T122" s="1156">
        <v>29400000</v>
      </c>
    </row>
    <row r="123" spans="1:20" s="995" customFormat="1" ht="66" x14ac:dyDescent="0.3">
      <c r="A123" s="1023">
        <v>2022117</v>
      </c>
      <c r="B123" s="1023">
        <v>7655</v>
      </c>
      <c r="C123" s="1023" t="s">
        <v>668</v>
      </c>
      <c r="D123" s="1039" t="s">
        <v>689</v>
      </c>
      <c r="E123" s="1040" t="s">
        <v>778</v>
      </c>
      <c r="F123" s="1026" t="s">
        <v>833</v>
      </c>
      <c r="G123" s="1041">
        <v>44575</v>
      </c>
      <c r="H123" s="1041">
        <v>44575</v>
      </c>
      <c r="I123" s="1042" t="s">
        <v>1543</v>
      </c>
      <c r="J123" s="1043" t="s">
        <v>1535</v>
      </c>
      <c r="K123" s="1027" t="s">
        <v>674</v>
      </c>
      <c r="L123" s="1029" t="s">
        <v>675</v>
      </c>
      <c r="M123" s="1030">
        <v>29400000</v>
      </c>
      <c r="N123" s="1044" t="s">
        <v>730</v>
      </c>
      <c r="O123" s="1044" t="s">
        <v>1536</v>
      </c>
      <c r="P123" s="1044"/>
      <c r="Q123" s="1027"/>
      <c r="R123" s="1022"/>
      <c r="S123" s="1130">
        <v>151</v>
      </c>
      <c r="T123" s="1156">
        <v>29400000</v>
      </c>
    </row>
    <row r="124" spans="1:20" s="995" customFormat="1" ht="66" x14ac:dyDescent="0.3">
      <c r="A124" s="1023">
        <v>2022118</v>
      </c>
      <c r="B124" s="1023">
        <v>7655</v>
      </c>
      <c r="C124" s="1023" t="s">
        <v>668</v>
      </c>
      <c r="D124" s="1039" t="s">
        <v>689</v>
      </c>
      <c r="E124" s="1040" t="s">
        <v>778</v>
      </c>
      <c r="F124" s="1026" t="s">
        <v>833</v>
      </c>
      <c r="G124" s="1041">
        <v>44575</v>
      </c>
      <c r="H124" s="1041">
        <v>44575</v>
      </c>
      <c r="I124" s="1042" t="s">
        <v>1543</v>
      </c>
      <c r="J124" s="1043" t="s">
        <v>1535</v>
      </c>
      <c r="K124" s="1027" t="s">
        <v>674</v>
      </c>
      <c r="L124" s="1029" t="s">
        <v>675</v>
      </c>
      <c r="M124" s="1030">
        <v>29400000</v>
      </c>
      <c r="N124" s="1044" t="s">
        <v>730</v>
      </c>
      <c r="O124" s="1044" t="s">
        <v>1536</v>
      </c>
      <c r="P124" s="1044"/>
      <c r="Q124" s="1027"/>
      <c r="R124" s="1022"/>
      <c r="S124" s="1130">
        <v>171</v>
      </c>
      <c r="T124" s="1156">
        <v>29400000</v>
      </c>
    </row>
    <row r="125" spans="1:20" s="995" customFormat="1" ht="66" x14ac:dyDescent="0.3">
      <c r="A125" s="1023">
        <v>2022119</v>
      </c>
      <c r="B125" s="1023">
        <v>7655</v>
      </c>
      <c r="C125" s="1023" t="s">
        <v>668</v>
      </c>
      <c r="D125" s="1039" t="s">
        <v>689</v>
      </c>
      <c r="E125" s="1040" t="s">
        <v>778</v>
      </c>
      <c r="F125" s="1026" t="s">
        <v>833</v>
      </c>
      <c r="G125" s="1041">
        <v>44575</v>
      </c>
      <c r="H125" s="1041">
        <v>44575</v>
      </c>
      <c r="I125" s="1042" t="s">
        <v>1543</v>
      </c>
      <c r="J125" s="1043" t="s">
        <v>1535</v>
      </c>
      <c r="K125" s="1027" t="s">
        <v>674</v>
      </c>
      <c r="L125" s="1029" t="s">
        <v>675</v>
      </c>
      <c r="M125" s="1030">
        <v>29400000</v>
      </c>
      <c r="N125" s="1044" t="s">
        <v>730</v>
      </c>
      <c r="O125" s="1044" t="s">
        <v>1536</v>
      </c>
      <c r="P125" s="1044"/>
      <c r="Q125" s="1027"/>
      <c r="R125" s="1022"/>
      <c r="S125" s="1130">
        <v>210</v>
      </c>
      <c r="T125" s="1156">
        <v>29400000</v>
      </c>
    </row>
    <row r="126" spans="1:20" s="995" customFormat="1" ht="66" x14ac:dyDescent="0.3">
      <c r="A126" s="1023">
        <v>2022120</v>
      </c>
      <c r="B126" s="1023">
        <v>7655</v>
      </c>
      <c r="C126" s="1023" t="s">
        <v>668</v>
      </c>
      <c r="D126" s="1039" t="s">
        <v>689</v>
      </c>
      <c r="E126" s="1040" t="s">
        <v>778</v>
      </c>
      <c r="F126" s="1026" t="s">
        <v>830</v>
      </c>
      <c r="G126" s="1041">
        <v>44575</v>
      </c>
      <c r="H126" s="1041">
        <v>44575</v>
      </c>
      <c r="I126" s="1042" t="s">
        <v>1543</v>
      </c>
      <c r="J126" s="1043" t="s">
        <v>1535</v>
      </c>
      <c r="K126" s="1027" t="s">
        <v>674</v>
      </c>
      <c r="L126" s="1029" t="s">
        <v>675</v>
      </c>
      <c r="M126" s="1030">
        <v>29400000</v>
      </c>
      <c r="N126" s="1044" t="s">
        <v>730</v>
      </c>
      <c r="O126" s="1044" t="s">
        <v>1536</v>
      </c>
      <c r="P126" s="1044"/>
      <c r="Q126" s="1027"/>
      <c r="R126" s="1022"/>
      <c r="S126" s="1130">
        <v>156</v>
      </c>
      <c r="T126" s="1156">
        <v>29400000</v>
      </c>
    </row>
    <row r="127" spans="1:20" s="995" customFormat="1" ht="66" x14ac:dyDescent="0.3">
      <c r="A127" s="1023">
        <v>2022121</v>
      </c>
      <c r="B127" s="1023">
        <v>7655</v>
      </c>
      <c r="C127" s="1023" t="s">
        <v>668</v>
      </c>
      <c r="D127" s="1039" t="s">
        <v>689</v>
      </c>
      <c r="E127" s="1040" t="s">
        <v>778</v>
      </c>
      <c r="F127" s="1026" t="s">
        <v>830</v>
      </c>
      <c r="G127" s="1041">
        <v>44575</v>
      </c>
      <c r="H127" s="1041">
        <v>44575</v>
      </c>
      <c r="I127" s="1042" t="s">
        <v>1543</v>
      </c>
      <c r="J127" s="1043" t="s">
        <v>1535</v>
      </c>
      <c r="K127" s="1027" t="s">
        <v>674</v>
      </c>
      <c r="L127" s="1029" t="s">
        <v>675</v>
      </c>
      <c r="M127" s="1030">
        <v>29400000</v>
      </c>
      <c r="N127" s="1044" t="s">
        <v>730</v>
      </c>
      <c r="O127" s="1044" t="s">
        <v>1536</v>
      </c>
      <c r="P127" s="1044"/>
      <c r="Q127" s="1027"/>
      <c r="R127" s="1022"/>
      <c r="S127" s="1130">
        <v>174</v>
      </c>
      <c r="T127" s="1156">
        <v>29400000</v>
      </c>
    </row>
    <row r="128" spans="1:20" s="995" customFormat="1" ht="66" x14ac:dyDescent="0.3">
      <c r="A128" s="1023">
        <v>2022122</v>
      </c>
      <c r="B128" s="1023">
        <v>7655</v>
      </c>
      <c r="C128" s="1023" t="s">
        <v>668</v>
      </c>
      <c r="D128" s="1039" t="s">
        <v>689</v>
      </c>
      <c r="E128" s="1040" t="s">
        <v>778</v>
      </c>
      <c r="F128" s="1026" t="s">
        <v>830</v>
      </c>
      <c r="G128" s="1041">
        <v>44575</v>
      </c>
      <c r="H128" s="1041">
        <v>44575</v>
      </c>
      <c r="I128" s="1042" t="s">
        <v>1543</v>
      </c>
      <c r="J128" s="1043" t="s">
        <v>1535</v>
      </c>
      <c r="K128" s="1027" t="s">
        <v>674</v>
      </c>
      <c r="L128" s="1029" t="s">
        <v>675</v>
      </c>
      <c r="M128" s="1030">
        <v>29400000</v>
      </c>
      <c r="N128" s="1044" t="s">
        <v>730</v>
      </c>
      <c r="O128" s="1044" t="s">
        <v>1536</v>
      </c>
      <c r="P128" s="1044"/>
      <c r="Q128" s="1027"/>
      <c r="R128" s="1022"/>
      <c r="S128" s="1130">
        <v>172</v>
      </c>
      <c r="T128" s="1156">
        <v>29400000</v>
      </c>
    </row>
    <row r="129" spans="1:103" s="995" customFormat="1" ht="66" x14ac:dyDescent="0.3">
      <c r="A129" s="1023">
        <v>2022123</v>
      </c>
      <c r="B129" s="1023">
        <v>7655</v>
      </c>
      <c r="C129" s="1023" t="s">
        <v>668</v>
      </c>
      <c r="D129" s="1039" t="s">
        <v>689</v>
      </c>
      <c r="E129" s="1040" t="s">
        <v>778</v>
      </c>
      <c r="F129" s="1026" t="s">
        <v>830</v>
      </c>
      <c r="G129" s="1041">
        <v>44575</v>
      </c>
      <c r="H129" s="1041">
        <v>44575</v>
      </c>
      <c r="I129" s="1042" t="s">
        <v>1543</v>
      </c>
      <c r="J129" s="1043" t="s">
        <v>1535</v>
      </c>
      <c r="K129" s="1027" t="s">
        <v>674</v>
      </c>
      <c r="L129" s="1029" t="s">
        <v>675</v>
      </c>
      <c r="M129" s="1030">
        <v>29400000</v>
      </c>
      <c r="N129" s="1044" t="s">
        <v>730</v>
      </c>
      <c r="O129" s="1044" t="s">
        <v>1536</v>
      </c>
      <c r="P129" s="1044"/>
      <c r="Q129" s="1027"/>
      <c r="R129" s="1022"/>
      <c r="S129" s="1130">
        <v>147</v>
      </c>
      <c r="T129" s="1156">
        <v>29400000</v>
      </c>
    </row>
    <row r="130" spans="1:103" s="995" customFormat="1" ht="66" x14ac:dyDescent="0.3">
      <c r="A130" s="1023">
        <v>2022124</v>
      </c>
      <c r="B130" s="1023">
        <v>7655</v>
      </c>
      <c r="C130" s="1023" t="s">
        <v>668</v>
      </c>
      <c r="D130" s="1039" t="s">
        <v>689</v>
      </c>
      <c r="E130" s="1040" t="s">
        <v>778</v>
      </c>
      <c r="F130" s="1026" t="s">
        <v>833</v>
      </c>
      <c r="G130" s="1041">
        <v>44575</v>
      </c>
      <c r="H130" s="1041">
        <v>44575</v>
      </c>
      <c r="I130" s="1042" t="s">
        <v>1543</v>
      </c>
      <c r="J130" s="1043" t="s">
        <v>1535</v>
      </c>
      <c r="K130" s="1027" t="s">
        <v>674</v>
      </c>
      <c r="L130" s="1029" t="s">
        <v>675</v>
      </c>
      <c r="M130" s="1030">
        <v>29400000</v>
      </c>
      <c r="N130" s="1044" t="s">
        <v>730</v>
      </c>
      <c r="O130" s="1044" t="s">
        <v>1536</v>
      </c>
      <c r="P130" s="1044"/>
      <c r="Q130" s="1027"/>
      <c r="R130" s="1022"/>
      <c r="S130" s="1130">
        <v>173</v>
      </c>
      <c r="T130" s="1156">
        <v>29400000</v>
      </c>
    </row>
    <row r="131" spans="1:103" s="995" customFormat="1" ht="66" x14ac:dyDescent="0.3">
      <c r="A131" s="1023">
        <v>2022125</v>
      </c>
      <c r="B131" s="1023">
        <v>7655</v>
      </c>
      <c r="C131" s="1023" t="s">
        <v>668</v>
      </c>
      <c r="D131" s="1039" t="s">
        <v>689</v>
      </c>
      <c r="E131" s="1040" t="s">
        <v>778</v>
      </c>
      <c r="F131" s="1026" t="s">
        <v>830</v>
      </c>
      <c r="G131" s="1041">
        <v>44575</v>
      </c>
      <c r="H131" s="1041">
        <v>44575</v>
      </c>
      <c r="I131" s="1042" t="s">
        <v>1543</v>
      </c>
      <c r="J131" s="1043" t="s">
        <v>1535</v>
      </c>
      <c r="K131" s="1027" t="s">
        <v>674</v>
      </c>
      <c r="L131" s="1029" t="s">
        <v>675</v>
      </c>
      <c r="M131" s="1030">
        <v>29400000</v>
      </c>
      <c r="N131" s="1044" t="s">
        <v>730</v>
      </c>
      <c r="O131" s="1044" t="s">
        <v>1536</v>
      </c>
      <c r="P131" s="1044"/>
      <c r="Q131" s="1027"/>
      <c r="R131" s="1022"/>
      <c r="S131" s="1130">
        <v>331</v>
      </c>
      <c r="T131" s="1156">
        <v>29400000</v>
      </c>
    </row>
    <row r="132" spans="1:103" s="995" customFormat="1" ht="66" x14ac:dyDescent="0.3">
      <c r="A132" s="1023">
        <v>2022126</v>
      </c>
      <c r="B132" s="1023">
        <v>7655</v>
      </c>
      <c r="C132" s="1023" t="s">
        <v>668</v>
      </c>
      <c r="D132" s="1039" t="s">
        <v>689</v>
      </c>
      <c r="E132" s="1040" t="s">
        <v>778</v>
      </c>
      <c r="F132" s="1026" t="s">
        <v>833</v>
      </c>
      <c r="G132" s="1041">
        <v>44575</v>
      </c>
      <c r="H132" s="1041">
        <v>44575</v>
      </c>
      <c r="I132" s="1042" t="s">
        <v>1543</v>
      </c>
      <c r="J132" s="1043" t="s">
        <v>1535</v>
      </c>
      <c r="K132" s="1027" t="s">
        <v>674</v>
      </c>
      <c r="L132" s="1029" t="s">
        <v>675</v>
      </c>
      <c r="M132" s="1030">
        <v>29400000</v>
      </c>
      <c r="N132" s="1044" t="s">
        <v>730</v>
      </c>
      <c r="O132" s="1044" t="s">
        <v>1536</v>
      </c>
      <c r="P132" s="1044"/>
      <c r="Q132" s="1027"/>
      <c r="R132" s="1022"/>
      <c r="S132" s="1130">
        <v>430</v>
      </c>
      <c r="T132" s="1156">
        <v>29400000</v>
      </c>
    </row>
    <row r="133" spans="1:103" s="995" customFormat="1" ht="66" x14ac:dyDescent="0.3">
      <c r="A133" s="1023">
        <v>2022127</v>
      </c>
      <c r="B133" s="1023">
        <v>7655</v>
      </c>
      <c r="C133" s="1023" t="s">
        <v>668</v>
      </c>
      <c r="D133" s="1039" t="s">
        <v>689</v>
      </c>
      <c r="E133" s="1040" t="s">
        <v>778</v>
      </c>
      <c r="F133" s="1026" t="s">
        <v>830</v>
      </c>
      <c r="G133" s="1041">
        <v>44575</v>
      </c>
      <c r="H133" s="1041">
        <v>44575</v>
      </c>
      <c r="I133" s="1042" t="s">
        <v>1543</v>
      </c>
      <c r="J133" s="1043" t="s">
        <v>1535</v>
      </c>
      <c r="K133" s="1027" t="s">
        <v>674</v>
      </c>
      <c r="L133" s="1029" t="s">
        <v>675</v>
      </c>
      <c r="M133" s="1030">
        <v>29400000</v>
      </c>
      <c r="N133" s="1044" t="s">
        <v>730</v>
      </c>
      <c r="O133" s="1044" t="s">
        <v>1536</v>
      </c>
      <c r="P133" s="1044"/>
      <c r="Q133" s="1027"/>
      <c r="R133" s="1022"/>
      <c r="S133" s="1130">
        <v>183</v>
      </c>
      <c r="T133" s="1156">
        <v>29400000</v>
      </c>
    </row>
    <row r="134" spans="1:103" s="995" customFormat="1" ht="66" x14ac:dyDescent="0.3">
      <c r="A134" s="1023">
        <v>2022128</v>
      </c>
      <c r="B134" s="1023">
        <v>7655</v>
      </c>
      <c r="C134" s="1023" t="s">
        <v>668</v>
      </c>
      <c r="D134" s="1039" t="s">
        <v>689</v>
      </c>
      <c r="E134" s="1040" t="s">
        <v>778</v>
      </c>
      <c r="F134" s="1026" t="s">
        <v>830</v>
      </c>
      <c r="G134" s="1041">
        <v>44575</v>
      </c>
      <c r="H134" s="1041">
        <v>44575</v>
      </c>
      <c r="I134" s="1042" t="s">
        <v>1543</v>
      </c>
      <c r="J134" s="1043" t="s">
        <v>1535</v>
      </c>
      <c r="K134" s="1027" t="s">
        <v>674</v>
      </c>
      <c r="L134" s="1029" t="s">
        <v>675</v>
      </c>
      <c r="M134" s="1030">
        <v>29400000</v>
      </c>
      <c r="N134" s="1044" t="s">
        <v>730</v>
      </c>
      <c r="O134" s="1044" t="s">
        <v>1536</v>
      </c>
      <c r="P134" s="1044"/>
      <c r="Q134" s="1027"/>
      <c r="R134" s="1022"/>
      <c r="S134" s="1130">
        <v>429</v>
      </c>
      <c r="T134" s="1156">
        <v>29400000</v>
      </c>
    </row>
    <row r="135" spans="1:103" s="995" customFormat="1" ht="66" x14ac:dyDescent="0.3">
      <c r="A135" s="1023">
        <v>2022129</v>
      </c>
      <c r="B135" s="1023">
        <v>7655</v>
      </c>
      <c r="C135" s="1023" t="s">
        <v>668</v>
      </c>
      <c r="D135" s="1039" t="s">
        <v>689</v>
      </c>
      <c r="E135" s="1040" t="s">
        <v>778</v>
      </c>
      <c r="F135" s="1026" t="s">
        <v>830</v>
      </c>
      <c r="G135" s="1041">
        <v>44575</v>
      </c>
      <c r="H135" s="1041">
        <v>44575</v>
      </c>
      <c r="I135" s="1042" t="s">
        <v>1543</v>
      </c>
      <c r="J135" s="1043" t="s">
        <v>1535</v>
      </c>
      <c r="K135" s="1027" t="s">
        <v>674</v>
      </c>
      <c r="L135" s="1029" t="s">
        <v>675</v>
      </c>
      <c r="M135" s="1030">
        <v>29400000</v>
      </c>
      <c r="N135" s="1044" t="s">
        <v>730</v>
      </c>
      <c r="O135" s="1044" t="s">
        <v>1536</v>
      </c>
      <c r="P135" s="1044"/>
      <c r="Q135" s="1027"/>
      <c r="R135" s="1022"/>
      <c r="S135" s="1130">
        <v>363</v>
      </c>
      <c r="T135" s="1156">
        <v>29400000</v>
      </c>
    </row>
    <row r="136" spans="1:103" s="995" customFormat="1" ht="66" x14ac:dyDescent="0.3">
      <c r="A136" s="1023">
        <v>2022130</v>
      </c>
      <c r="B136" s="1023">
        <v>7655</v>
      </c>
      <c r="C136" s="1023" t="s">
        <v>668</v>
      </c>
      <c r="D136" s="1039" t="s">
        <v>689</v>
      </c>
      <c r="E136" s="1040" t="s">
        <v>778</v>
      </c>
      <c r="F136" s="1026" t="s">
        <v>830</v>
      </c>
      <c r="G136" s="1041">
        <v>44575</v>
      </c>
      <c r="H136" s="1041">
        <v>44575</v>
      </c>
      <c r="I136" s="1042" t="s">
        <v>1543</v>
      </c>
      <c r="J136" s="1043" t="s">
        <v>1535</v>
      </c>
      <c r="K136" s="1027" t="s">
        <v>674</v>
      </c>
      <c r="L136" s="1029" t="s">
        <v>675</v>
      </c>
      <c r="M136" s="1030">
        <v>29400000</v>
      </c>
      <c r="N136" s="1044" t="s">
        <v>730</v>
      </c>
      <c r="O136" s="1044" t="s">
        <v>1536</v>
      </c>
      <c r="P136" s="1044"/>
      <c r="Q136" s="1027"/>
      <c r="R136" s="1022"/>
      <c r="S136" s="1130">
        <v>416</v>
      </c>
      <c r="T136" s="1156">
        <v>29400000</v>
      </c>
    </row>
    <row r="137" spans="1:103" s="995" customFormat="1" ht="66" x14ac:dyDescent="0.3">
      <c r="A137" s="1023">
        <v>2022131</v>
      </c>
      <c r="B137" s="1023">
        <v>7655</v>
      </c>
      <c r="C137" s="1023" t="s">
        <v>668</v>
      </c>
      <c r="D137" s="1039" t="s">
        <v>689</v>
      </c>
      <c r="E137" s="1040" t="s">
        <v>778</v>
      </c>
      <c r="F137" s="1026" t="s">
        <v>830</v>
      </c>
      <c r="G137" s="1041">
        <v>44575</v>
      </c>
      <c r="H137" s="1041">
        <v>44575</v>
      </c>
      <c r="I137" s="1042" t="s">
        <v>1543</v>
      </c>
      <c r="J137" s="1043" t="s">
        <v>1535</v>
      </c>
      <c r="K137" s="1027" t="s">
        <v>674</v>
      </c>
      <c r="L137" s="1029" t="s">
        <v>675</v>
      </c>
      <c r="M137" s="1030">
        <v>29400000</v>
      </c>
      <c r="N137" s="1044" t="s">
        <v>730</v>
      </c>
      <c r="O137" s="1044" t="s">
        <v>1536</v>
      </c>
      <c r="P137" s="1044"/>
      <c r="Q137" s="1027"/>
      <c r="R137" s="1022"/>
      <c r="S137" s="1130">
        <v>355</v>
      </c>
      <c r="T137" s="1156">
        <v>29400000</v>
      </c>
    </row>
    <row r="138" spans="1:103" s="995" customFormat="1" ht="66" x14ac:dyDescent="0.3">
      <c r="A138" s="1023">
        <v>2022132</v>
      </c>
      <c r="B138" s="1023">
        <v>7655</v>
      </c>
      <c r="C138" s="1023" t="s">
        <v>668</v>
      </c>
      <c r="D138" s="1039" t="s">
        <v>689</v>
      </c>
      <c r="E138" s="1040" t="s">
        <v>778</v>
      </c>
      <c r="F138" s="1026" t="s">
        <v>835</v>
      </c>
      <c r="G138" s="1041">
        <v>44575</v>
      </c>
      <c r="H138" s="1041">
        <v>44575</v>
      </c>
      <c r="I138" s="1042" t="s">
        <v>1543</v>
      </c>
      <c r="J138" s="1043" t="s">
        <v>1535</v>
      </c>
      <c r="K138" s="1027" t="s">
        <v>674</v>
      </c>
      <c r="L138" s="1029" t="s">
        <v>675</v>
      </c>
      <c r="M138" s="1030">
        <v>87600000</v>
      </c>
      <c r="N138" s="1044" t="s">
        <v>730</v>
      </c>
      <c r="O138" s="1044" t="s">
        <v>1536</v>
      </c>
      <c r="P138" s="1044"/>
      <c r="Q138" s="1027"/>
      <c r="R138" s="1022"/>
      <c r="S138" s="1130">
        <v>152</v>
      </c>
      <c r="T138" s="1156">
        <v>87600000</v>
      </c>
    </row>
    <row r="139" spans="1:103" s="995" customFormat="1" ht="92.4" x14ac:dyDescent="0.3">
      <c r="A139" s="1023">
        <v>2022133</v>
      </c>
      <c r="B139" s="1023">
        <v>7655</v>
      </c>
      <c r="C139" s="1023" t="s">
        <v>668</v>
      </c>
      <c r="D139" s="1039" t="s">
        <v>689</v>
      </c>
      <c r="E139" s="1040" t="s">
        <v>778</v>
      </c>
      <c r="F139" s="1026" t="s">
        <v>836</v>
      </c>
      <c r="G139" s="1041">
        <v>44575</v>
      </c>
      <c r="H139" s="1041">
        <v>44575</v>
      </c>
      <c r="I139" s="1042" t="s">
        <v>1538</v>
      </c>
      <c r="J139" s="1043" t="s">
        <v>1535</v>
      </c>
      <c r="K139" s="1027" t="s">
        <v>674</v>
      </c>
      <c r="L139" s="1029" t="s">
        <v>675</v>
      </c>
      <c r="M139" s="1030">
        <v>42000000</v>
      </c>
      <c r="N139" s="1044" t="s">
        <v>730</v>
      </c>
      <c r="O139" s="1044" t="s">
        <v>1536</v>
      </c>
      <c r="P139" s="1044"/>
      <c r="Q139" s="1027"/>
      <c r="R139" s="1022"/>
      <c r="S139" s="1130">
        <v>418</v>
      </c>
      <c r="T139" s="1156">
        <v>42000000</v>
      </c>
    </row>
    <row r="140" spans="1:103" s="995" customFormat="1" ht="66" x14ac:dyDescent="0.3">
      <c r="A140" s="1023">
        <v>2022134</v>
      </c>
      <c r="B140" s="1023">
        <v>7655</v>
      </c>
      <c r="C140" s="1023" t="s">
        <v>668</v>
      </c>
      <c r="D140" s="1039" t="s">
        <v>689</v>
      </c>
      <c r="E140" s="1040" t="s">
        <v>778</v>
      </c>
      <c r="F140" s="1026" t="s">
        <v>837</v>
      </c>
      <c r="G140" s="1041">
        <v>44575</v>
      </c>
      <c r="H140" s="1041">
        <v>44575</v>
      </c>
      <c r="I140" s="1042" t="s">
        <v>1534</v>
      </c>
      <c r="J140" s="1043" t="s">
        <v>1535</v>
      </c>
      <c r="K140" s="1027" t="s">
        <v>674</v>
      </c>
      <c r="L140" s="1029" t="s">
        <v>675</v>
      </c>
      <c r="M140" s="1030">
        <v>64802500</v>
      </c>
      <c r="N140" s="1044" t="s">
        <v>730</v>
      </c>
      <c r="O140" s="1044" t="s">
        <v>1536</v>
      </c>
      <c r="P140" s="1044"/>
      <c r="Q140" s="1027"/>
      <c r="R140" s="1022"/>
      <c r="S140" s="1130">
        <v>433</v>
      </c>
      <c r="T140" s="1156">
        <v>64802500</v>
      </c>
    </row>
    <row r="141" spans="1:103" s="1034" customFormat="1" ht="66" x14ac:dyDescent="0.3">
      <c r="A141" s="1131">
        <v>2022135</v>
      </c>
      <c r="B141" s="1131">
        <v>7655</v>
      </c>
      <c r="C141" s="1131" t="s">
        <v>668</v>
      </c>
      <c r="D141" s="1139" t="s">
        <v>689</v>
      </c>
      <c r="E141" s="1145" t="s">
        <v>778</v>
      </c>
      <c r="F141" s="1134" t="s">
        <v>837</v>
      </c>
      <c r="G141" s="1141">
        <v>44575</v>
      </c>
      <c r="H141" s="1141">
        <v>44575</v>
      </c>
      <c r="I141" s="1048" t="s">
        <v>1538</v>
      </c>
      <c r="J141" s="1143" t="s">
        <v>1535</v>
      </c>
      <c r="K141" s="1135" t="s">
        <v>674</v>
      </c>
      <c r="L141" s="1132" t="s">
        <v>675</v>
      </c>
      <c r="M141" s="1136">
        <v>31500000</v>
      </c>
      <c r="N141" s="1144" t="s">
        <v>730</v>
      </c>
      <c r="O141" s="1144" t="s">
        <v>1536</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6" x14ac:dyDescent="0.3">
      <c r="A142" s="1131">
        <v>2022136</v>
      </c>
      <c r="B142" s="1131">
        <v>7655</v>
      </c>
      <c r="C142" s="1131" t="s">
        <v>668</v>
      </c>
      <c r="D142" s="1139" t="s">
        <v>689</v>
      </c>
      <c r="E142" s="1145" t="s">
        <v>778</v>
      </c>
      <c r="F142" s="1134" t="s">
        <v>838</v>
      </c>
      <c r="G142" s="1141">
        <v>44575</v>
      </c>
      <c r="H142" s="1141">
        <v>44575</v>
      </c>
      <c r="I142" s="1048" t="s">
        <v>1534</v>
      </c>
      <c r="J142" s="1143" t="s">
        <v>1535</v>
      </c>
      <c r="K142" s="1135" t="s">
        <v>674</v>
      </c>
      <c r="L142" s="1132" t="s">
        <v>675</v>
      </c>
      <c r="M142" s="1136">
        <v>28175000</v>
      </c>
      <c r="N142" s="1144" t="s">
        <v>730</v>
      </c>
      <c r="O142" s="1144" t="s">
        <v>1536</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6" x14ac:dyDescent="0.3">
      <c r="A143" s="1023">
        <v>2022137</v>
      </c>
      <c r="B143" s="1023">
        <v>7655</v>
      </c>
      <c r="C143" s="1023" t="s">
        <v>668</v>
      </c>
      <c r="D143" s="1039" t="s">
        <v>689</v>
      </c>
      <c r="E143" s="1040" t="s">
        <v>778</v>
      </c>
      <c r="F143" s="1026" t="s">
        <v>839</v>
      </c>
      <c r="G143" s="1041">
        <v>44575</v>
      </c>
      <c r="H143" s="1041">
        <v>44575</v>
      </c>
      <c r="I143" s="1042" t="s">
        <v>1534</v>
      </c>
      <c r="J143" s="1043" t="s">
        <v>1535</v>
      </c>
      <c r="K143" s="1027" t="s">
        <v>674</v>
      </c>
      <c r="L143" s="1029" t="s">
        <v>675</v>
      </c>
      <c r="M143" s="1030">
        <v>83950000</v>
      </c>
      <c r="N143" s="1044" t="s">
        <v>730</v>
      </c>
      <c r="O143" s="1044" t="s">
        <v>1536</v>
      </c>
      <c r="P143" s="1044"/>
      <c r="Q143" s="1027"/>
      <c r="R143" s="1022"/>
      <c r="S143" s="1130">
        <v>394</v>
      </c>
      <c r="T143" s="1156">
        <v>83950000</v>
      </c>
    </row>
    <row r="144" spans="1:103" s="995" customFormat="1" ht="105.6" x14ac:dyDescent="0.3">
      <c r="A144" s="1023">
        <v>2022138</v>
      </c>
      <c r="B144" s="1023">
        <v>7655</v>
      </c>
      <c r="C144" s="1023" t="s">
        <v>668</v>
      </c>
      <c r="D144" s="1039" t="s">
        <v>689</v>
      </c>
      <c r="E144" s="1040" t="s">
        <v>778</v>
      </c>
      <c r="F144" s="1026" t="s">
        <v>840</v>
      </c>
      <c r="G144" s="1041">
        <v>44575</v>
      </c>
      <c r="H144" s="1041">
        <v>44575</v>
      </c>
      <c r="I144" s="1042" t="s">
        <v>1534</v>
      </c>
      <c r="J144" s="1043" t="s">
        <v>1535</v>
      </c>
      <c r="K144" s="1027" t="s">
        <v>674</v>
      </c>
      <c r="L144" s="1029" t="s">
        <v>675</v>
      </c>
      <c r="M144" s="1030">
        <v>44275000</v>
      </c>
      <c r="N144" s="1044" t="s">
        <v>730</v>
      </c>
      <c r="O144" s="1044" t="s">
        <v>1536</v>
      </c>
      <c r="P144" s="1044"/>
      <c r="Q144" s="1027"/>
      <c r="R144" s="1022"/>
      <c r="S144" s="1130">
        <v>371</v>
      </c>
      <c r="T144" s="1156">
        <v>44275000</v>
      </c>
    </row>
    <row r="145" spans="1:20" s="995" customFormat="1" ht="105.6" x14ac:dyDescent="0.3">
      <c r="A145" s="1023">
        <v>2022139</v>
      </c>
      <c r="B145" s="1023">
        <v>7655</v>
      </c>
      <c r="C145" s="1023" t="s">
        <v>668</v>
      </c>
      <c r="D145" s="1039" t="s">
        <v>689</v>
      </c>
      <c r="E145" s="1040" t="s">
        <v>778</v>
      </c>
      <c r="F145" s="1026" t="s">
        <v>840</v>
      </c>
      <c r="G145" s="1041">
        <v>44575</v>
      </c>
      <c r="H145" s="1041">
        <v>44575</v>
      </c>
      <c r="I145" s="1042" t="s">
        <v>1534</v>
      </c>
      <c r="J145" s="1043" t="s">
        <v>1535</v>
      </c>
      <c r="K145" s="1027" t="s">
        <v>674</v>
      </c>
      <c r="L145" s="1029" t="s">
        <v>675</v>
      </c>
      <c r="M145" s="1030">
        <v>58650000</v>
      </c>
      <c r="N145" s="1044" t="s">
        <v>730</v>
      </c>
      <c r="O145" s="1044" t="s">
        <v>1536</v>
      </c>
      <c r="P145" s="1044"/>
      <c r="Q145" s="1027"/>
      <c r="R145" s="1022"/>
      <c r="S145" s="1130">
        <v>287</v>
      </c>
      <c r="T145" s="1156">
        <v>58650000</v>
      </c>
    </row>
    <row r="146" spans="1:20" s="995" customFormat="1" ht="66" x14ac:dyDescent="0.3">
      <c r="A146" s="1023">
        <v>2022140</v>
      </c>
      <c r="B146" s="1023">
        <v>7655</v>
      </c>
      <c r="C146" s="1023" t="s">
        <v>668</v>
      </c>
      <c r="D146" s="1039" t="s">
        <v>695</v>
      </c>
      <c r="E146" s="1025">
        <v>80111600</v>
      </c>
      <c r="F146" s="1053" t="s">
        <v>841</v>
      </c>
      <c r="G146" s="1054" t="s">
        <v>1495</v>
      </c>
      <c r="H146" s="1054" t="s">
        <v>1495</v>
      </c>
      <c r="I146" s="1054" t="s">
        <v>1549</v>
      </c>
      <c r="J146" s="1043" t="s">
        <v>1535</v>
      </c>
      <c r="K146" s="1027" t="s">
        <v>674</v>
      </c>
      <c r="L146" s="1055" t="s">
        <v>675</v>
      </c>
      <c r="M146" s="1030">
        <v>26496000</v>
      </c>
      <c r="N146" s="1056" t="s">
        <v>730</v>
      </c>
      <c r="O146" s="1056" t="s">
        <v>1536</v>
      </c>
      <c r="P146" s="1056"/>
      <c r="Q146" s="1027"/>
      <c r="R146" s="1022"/>
      <c r="S146" s="1130">
        <v>53</v>
      </c>
      <c r="T146" s="1156">
        <v>26496000</v>
      </c>
    </row>
    <row r="147" spans="1:20" s="995" customFormat="1" ht="66" x14ac:dyDescent="0.3">
      <c r="A147" s="1023">
        <v>2022141</v>
      </c>
      <c r="B147" s="1023">
        <v>7655</v>
      </c>
      <c r="C147" s="1023" t="s">
        <v>668</v>
      </c>
      <c r="D147" s="1039" t="s">
        <v>695</v>
      </c>
      <c r="E147" s="1025">
        <v>80111600</v>
      </c>
      <c r="F147" s="1053" t="s">
        <v>842</v>
      </c>
      <c r="G147" s="1054" t="s">
        <v>1495</v>
      </c>
      <c r="H147" s="1054" t="s">
        <v>1495</v>
      </c>
      <c r="I147" s="1054" t="s">
        <v>1549</v>
      </c>
      <c r="J147" s="1043" t="s">
        <v>1535</v>
      </c>
      <c r="K147" s="1027" t="s">
        <v>674</v>
      </c>
      <c r="L147" s="1055" t="s">
        <v>675</v>
      </c>
      <c r="M147" s="1030">
        <v>34776000</v>
      </c>
      <c r="N147" s="1056" t="s">
        <v>730</v>
      </c>
      <c r="O147" s="1056" t="s">
        <v>1536</v>
      </c>
      <c r="P147" s="1056"/>
      <c r="Q147" s="1027"/>
      <c r="R147" s="1022"/>
      <c r="S147" s="1130">
        <v>59</v>
      </c>
      <c r="T147" s="1156">
        <v>34776000</v>
      </c>
    </row>
    <row r="148" spans="1:20" s="995" customFormat="1" ht="66" x14ac:dyDescent="0.3">
      <c r="A148" s="1023">
        <v>2022142</v>
      </c>
      <c r="B148" s="1023">
        <v>7655</v>
      </c>
      <c r="C148" s="1023" t="s">
        <v>668</v>
      </c>
      <c r="D148" s="1039" t="s">
        <v>695</v>
      </c>
      <c r="E148" s="1025">
        <v>80111600</v>
      </c>
      <c r="F148" s="1053" t="s">
        <v>843</v>
      </c>
      <c r="G148" s="1054" t="s">
        <v>1495</v>
      </c>
      <c r="H148" s="1054" t="s">
        <v>1495</v>
      </c>
      <c r="I148" s="1054" t="s">
        <v>1498</v>
      </c>
      <c r="J148" s="1043" t="s">
        <v>1535</v>
      </c>
      <c r="K148" s="1027" t="s">
        <v>674</v>
      </c>
      <c r="L148" s="1055" t="s">
        <v>675</v>
      </c>
      <c r="M148" s="1030">
        <v>56100000</v>
      </c>
      <c r="N148" s="1056" t="s">
        <v>730</v>
      </c>
      <c r="O148" s="1056" t="s">
        <v>1536</v>
      </c>
      <c r="P148" s="1056"/>
      <c r="Q148" s="1027"/>
      <c r="R148" s="1022"/>
      <c r="S148" s="1130">
        <v>54</v>
      </c>
      <c r="T148" s="1156">
        <v>45900000</v>
      </c>
    </row>
    <row r="149" spans="1:20" s="995" customFormat="1" ht="66" x14ac:dyDescent="0.3">
      <c r="A149" s="1023">
        <v>2022143</v>
      </c>
      <c r="B149" s="1023">
        <v>7655</v>
      </c>
      <c r="C149" s="1023" t="s">
        <v>668</v>
      </c>
      <c r="D149" s="1039" t="s">
        <v>695</v>
      </c>
      <c r="E149" s="1025">
        <v>80111600</v>
      </c>
      <c r="F149" s="1053" t="s">
        <v>844</v>
      </c>
      <c r="G149" s="1054" t="s">
        <v>1495</v>
      </c>
      <c r="H149" s="1054" t="s">
        <v>1495</v>
      </c>
      <c r="I149" s="1054" t="s">
        <v>1498</v>
      </c>
      <c r="J149" s="1043" t="s">
        <v>1535</v>
      </c>
      <c r="K149" s="1027" t="s">
        <v>674</v>
      </c>
      <c r="L149" s="1055" t="s">
        <v>675</v>
      </c>
      <c r="M149" s="1030">
        <v>47817000</v>
      </c>
      <c r="N149" s="1056" t="s">
        <v>730</v>
      </c>
      <c r="O149" s="1056" t="s">
        <v>1536</v>
      </c>
      <c r="P149" s="1056"/>
      <c r="Q149" s="1027"/>
      <c r="R149" s="1022"/>
      <c r="S149" s="1130">
        <v>55</v>
      </c>
      <c r="T149" s="1156">
        <v>34776000</v>
      </c>
    </row>
    <row r="150" spans="1:20" s="995" customFormat="1" ht="66" x14ac:dyDescent="0.3">
      <c r="A150" s="1023">
        <v>2022144</v>
      </c>
      <c r="B150" s="1023">
        <v>7655</v>
      </c>
      <c r="C150" s="1023" t="s">
        <v>668</v>
      </c>
      <c r="D150" s="1039" t="s">
        <v>695</v>
      </c>
      <c r="E150" s="1025">
        <v>80111600</v>
      </c>
      <c r="F150" s="1053" t="s">
        <v>842</v>
      </c>
      <c r="G150" s="1054" t="s">
        <v>1495</v>
      </c>
      <c r="H150" s="1054" t="s">
        <v>1495</v>
      </c>
      <c r="I150" s="1054" t="s">
        <v>1498</v>
      </c>
      <c r="J150" s="1043" t="s">
        <v>1535</v>
      </c>
      <c r="K150" s="1027" t="s">
        <v>674</v>
      </c>
      <c r="L150" s="1055" t="s">
        <v>675</v>
      </c>
      <c r="M150" s="1030">
        <v>56100000</v>
      </c>
      <c r="N150" s="1056" t="s">
        <v>730</v>
      </c>
      <c r="O150" s="1056" t="s">
        <v>1536</v>
      </c>
      <c r="P150" s="1056"/>
      <c r="Q150" s="1027"/>
      <c r="R150" s="1022"/>
      <c r="S150" s="1130">
        <v>409</v>
      </c>
      <c r="T150" s="1156">
        <v>34776000</v>
      </c>
    </row>
    <row r="151" spans="1:20" s="995" customFormat="1" ht="66" x14ac:dyDescent="0.3">
      <c r="A151" s="1023">
        <v>2022145</v>
      </c>
      <c r="B151" s="1023">
        <v>7655</v>
      </c>
      <c r="C151" s="1023" t="s">
        <v>668</v>
      </c>
      <c r="D151" s="1039" t="s">
        <v>695</v>
      </c>
      <c r="E151" s="1025">
        <v>80111600</v>
      </c>
      <c r="F151" s="1053" t="s">
        <v>844</v>
      </c>
      <c r="G151" s="1054" t="s">
        <v>1495</v>
      </c>
      <c r="H151" s="1054" t="s">
        <v>1495</v>
      </c>
      <c r="I151" s="1054" t="s">
        <v>1538</v>
      </c>
      <c r="J151" s="1043" t="s">
        <v>1535</v>
      </c>
      <c r="K151" s="1027" t="s">
        <v>674</v>
      </c>
      <c r="L151" s="1055" t="s">
        <v>675</v>
      </c>
      <c r="M151" s="1030">
        <v>27895000</v>
      </c>
      <c r="N151" s="1056" t="s">
        <v>730</v>
      </c>
      <c r="O151" s="1056" t="s">
        <v>1536</v>
      </c>
      <c r="P151" s="1056"/>
      <c r="Q151" s="1027"/>
      <c r="R151" s="1022"/>
      <c r="S151" s="1130">
        <v>63</v>
      </c>
      <c r="T151" s="1156">
        <v>27895000</v>
      </c>
    </row>
    <row r="152" spans="1:20" s="995" customFormat="1" ht="66" x14ac:dyDescent="0.3">
      <c r="A152" s="1023">
        <v>2022146</v>
      </c>
      <c r="B152" s="1023">
        <v>7655</v>
      </c>
      <c r="C152" s="1023" t="s">
        <v>668</v>
      </c>
      <c r="D152" s="1039" t="s">
        <v>695</v>
      </c>
      <c r="E152" s="1025">
        <v>80111600</v>
      </c>
      <c r="F152" s="1053" t="s">
        <v>844</v>
      </c>
      <c r="G152" s="1054" t="s">
        <v>1495</v>
      </c>
      <c r="H152" s="1054" t="s">
        <v>1495</v>
      </c>
      <c r="I152" s="1054" t="s">
        <v>1538</v>
      </c>
      <c r="J152" s="1043" t="s">
        <v>1535</v>
      </c>
      <c r="K152" s="1027" t="s">
        <v>674</v>
      </c>
      <c r="L152" s="1055" t="s">
        <v>675</v>
      </c>
      <c r="M152" s="1030">
        <v>26950000</v>
      </c>
      <c r="N152" s="1056" t="s">
        <v>730</v>
      </c>
      <c r="O152" s="1056" t="s">
        <v>1536</v>
      </c>
      <c r="P152" s="1056"/>
      <c r="Q152" s="1027"/>
      <c r="R152" s="1022"/>
      <c r="S152" s="1130">
        <v>188</v>
      </c>
      <c r="T152" s="1156">
        <v>26950000</v>
      </c>
    </row>
    <row r="153" spans="1:20" s="995" customFormat="1" ht="66" x14ac:dyDescent="0.3">
      <c r="A153" s="1023">
        <v>2022147</v>
      </c>
      <c r="B153" s="1023">
        <v>7655</v>
      </c>
      <c r="C153" s="1023" t="s">
        <v>668</v>
      </c>
      <c r="D153" s="1039" t="s">
        <v>695</v>
      </c>
      <c r="E153" s="1025">
        <v>80111600</v>
      </c>
      <c r="F153" s="1053" t="s">
        <v>845</v>
      </c>
      <c r="G153" s="1054" t="s">
        <v>1495</v>
      </c>
      <c r="H153" s="1054" t="s">
        <v>1495</v>
      </c>
      <c r="I153" s="1054" t="s">
        <v>1549</v>
      </c>
      <c r="J153" s="1043" t="s">
        <v>1535</v>
      </c>
      <c r="K153" s="1027" t="s">
        <v>674</v>
      </c>
      <c r="L153" s="1055" t="s">
        <v>675</v>
      </c>
      <c r="M153" s="1030">
        <v>19600000</v>
      </c>
      <c r="N153" s="1056" t="s">
        <v>730</v>
      </c>
      <c r="O153" s="1056" t="s">
        <v>1536</v>
      </c>
      <c r="P153" s="1056"/>
      <c r="Q153" s="1027"/>
      <c r="R153" s="1022"/>
      <c r="S153" s="1130">
        <v>56</v>
      </c>
      <c r="T153" s="1156">
        <v>17150000</v>
      </c>
    </row>
    <row r="154" spans="1:20" s="995" customFormat="1" ht="66" x14ac:dyDescent="0.3">
      <c r="A154" s="1023">
        <v>2022148</v>
      </c>
      <c r="B154" s="1023">
        <v>7655</v>
      </c>
      <c r="C154" s="1023" t="s">
        <v>668</v>
      </c>
      <c r="D154" s="1039" t="s">
        <v>695</v>
      </c>
      <c r="E154" s="1025">
        <v>80111600</v>
      </c>
      <c r="F154" s="1053" t="s">
        <v>846</v>
      </c>
      <c r="G154" s="1054" t="s">
        <v>1495</v>
      </c>
      <c r="H154" s="1054" t="s">
        <v>1495</v>
      </c>
      <c r="I154" s="1054" t="s">
        <v>1549</v>
      </c>
      <c r="J154" s="1043" t="s">
        <v>1535</v>
      </c>
      <c r="K154" s="1027" t="s">
        <v>674</v>
      </c>
      <c r="L154" s="1055" t="s">
        <v>675</v>
      </c>
      <c r="M154" s="1030">
        <v>40800000</v>
      </c>
      <c r="N154" s="1056" t="s">
        <v>730</v>
      </c>
      <c r="O154" s="1056" t="s">
        <v>1536</v>
      </c>
      <c r="P154" s="1056"/>
      <c r="Q154" s="1027"/>
      <c r="R154" s="1022"/>
      <c r="S154" s="1130">
        <v>78</v>
      </c>
      <c r="T154" s="1156">
        <v>35700000</v>
      </c>
    </row>
    <row r="155" spans="1:20" s="995" customFormat="1" ht="66" x14ac:dyDescent="0.3">
      <c r="A155" s="1023">
        <v>2022149</v>
      </c>
      <c r="B155" s="1023">
        <v>7655</v>
      </c>
      <c r="C155" s="1023" t="s">
        <v>668</v>
      </c>
      <c r="D155" s="1039" t="s">
        <v>695</v>
      </c>
      <c r="E155" s="1025">
        <v>80111600</v>
      </c>
      <c r="F155" s="1053" t="s">
        <v>847</v>
      </c>
      <c r="G155" s="1054" t="s">
        <v>1495</v>
      </c>
      <c r="H155" s="1054" t="s">
        <v>1495</v>
      </c>
      <c r="I155" s="1054" t="s">
        <v>1498</v>
      </c>
      <c r="J155" s="1043" t="s">
        <v>1535</v>
      </c>
      <c r="K155" s="1027" t="s">
        <v>674</v>
      </c>
      <c r="L155" s="1055" t="s">
        <v>675</v>
      </c>
      <c r="M155" s="1030">
        <v>56100000</v>
      </c>
      <c r="N155" s="1056" t="s">
        <v>730</v>
      </c>
      <c r="O155" s="1056" t="s">
        <v>1536</v>
      </c>
      <c r="P155" s="1056"/>
      <c r="Q155" s="1027"/>
      <c r="R155" s="1022"/>
      <c r="S155" s="1130">
        <v>166</v>
      </c>
      <c r="T155" s="1156">
        <v>45900000</v>
      </c>
    </row>
    <row r="156" spans="1:20" s="995" customFormat="1" ht="66" x14ac:dyDescent="0.3">
      <c r="A156" s="1023">
        <v>2022150</v>
      </c>
      <c r="B156" s="1023">
        <v>7655</v>
      </c>
      <c r="C156" s="1023" t="s">
        <v>668</v>
      </c>
      <c r="D156" s="1039" t="s">
        <v>695</v>
      </c>
      <c r="E156" s="1025">
        <v>80111600</v>
      </c>
      <c r="F156" s="1053" t="s">
        <v>846</v>
      </c>
      <c r="G156" s="1054" t="s">
        <v>1495</v>
      </c>
      <c r="H156" s="1054" t="s">
        <v>1495</v>
      </c>
      <c r="I156" s="1054" t="s">
        <v>1538</v>
      </c>
      <c r="J156" s="1043" t="s">
        <v>1535</v>
      </c>
      <c r="K156" s="1027" t="s">
        <v>674</v>
      </c>
      <c r="L156" s="1055" t="s">
        <v>675</v>
      </c>
      <c r="M156" s="1030">
        <v>35700000</v>
      </c>
      <c r="N156" s="1056" t="s">
        <v>730</v>
      </c>
      <c r="O156" s="1056" t="s">
        <v>1536</v>
      </c>
      <c r="P156" s="1056"/>
      <c r="Q156" s="1027"/>
      <c r="R156" s="1022"/>
      <c r="S156" s="1130">
        <v>189</v>
      </c>
      <c r="T156" s="1156">
        <v>35700000</v>
      </c>
    </row>
    <row r="157" spans="1:20" s="995" customFormat="1" ht="66" x14ac:dyDescent="0.3">
      <c r="A157" s="1023">
        <v>2022151</v>
      </c>
      <c r="B157" s="1023">
        <v>7655</v>
      </c>
      <c r="C157" s="1023" t="s">
        <v>668</v>
      </c>
      <c r="D157" s="1039" t="s">
        <v>695</v>
      </c>
      <c r="E157" s="1025">
        <v>80111600</v>
      </c>
      <c r="F157" s="1053" t="s">
        <v>848</v>
      </c>
      <c r="G157" s="1054" t="s">
        <v>1495</v>
      </c>
      <c r="H157" s="1054" t="s">
        <v>1495</v>
      </c>
      <c r="I157" s="1054" t="s">
        <v>1549</v>
      </c>
      <c r="J157" s="1043" t="s">
        <v>1535</v>
      </c>
      <c r="K157" s="1027" t="s">
        <v>674</v>
      </c>
      <c r="L157" s="1055" t="s">
        <v>675</v>
      </c>
      <c r="M157" s="1030">
        <v>41400000</v>
      </c>
      <c r="N157" s="1056" t="s">
        <v>730</v>
      </c>
      <c r="O157" s="1056" t="s">
        <v>1536</v>
      </c>
      <c r="P157" s="1056"/>
      <c r="Q157" s="1027"/>
      <c r="R157" s="1022"/>
      <c r="S157" s="1130">
        <v>80</v>
      </c>
      <c r="T157" s="1156">
        <v>41400000</v>
      </c>
    </row>
    <row r="158" spans="1:20" s="995" customFormat="1" ht="66" x14ac:dyDescent="0.3">
      <c r="A158" s="1023">
        <v>2022152</v>
      </c>
      <c r="B158" s="1023">
        <v>7655</v>
      </c>
      <c r="C158" s="1023" t="s">
        <v>668</v>
      </c>
      <c r="D158" s="1039" t="s">
        <v>695</v>
      </c>
      <c r="E158" s="1025">
        <v>80111600</v>
      </c>
      <c r="F158" s="1053" t="s">
        <v>849</v>
      </c>
      <c r="G158" s="1054" t="s">
        <v>1495</v>
      </c>
      <c r="H158" s="1054" t="s">
        <v>1495</v>
      </c>
      <c r="I158" s="1054" t="s">
        <v>1549</v>
      </c>
      <c r="J158" s="1043" t="s">
        <v>1535</v>
      </c>
      <c r="K158" s="1027" t="s">
        <v>674</v>
      </c>
      <c r="L158" s="1055" t="s">
        <v>675</v>
      </c>
      <c r="M158" s="1030">
        <v>45544000</v>
      </c>
      <c r="N158" s="1056" t="s">
        <v>730</v>
      </c>
      <c r="O158" s="1056" t="s">
        <v>1536</v>
      </c>
      <c r="P158" s="1056"/>
      <c r="Q158" s="1027"/>
      <c r="R158" s="1022"/>
      <c r="S158" s="1130">
        <v>107</v>
      </c>
      <c r="T158" s="1156">
        <v>45544000</v>
      </c>
    </row>
    <row r="159" spans="1:20" s="995" customFormat="1" ht="66" x14ac:dyDescent="0.3">
      <c r="A159" s="1023">
        <v>2022153</v>
      </c>
      <c r="B159" s="1023">
        <v>7655</v>
      </c>
      <c r="C159" s="1023" t="s">
        <v>668</v>
      </c>
      <c r="D159" s="1039" t="s">
        <v>695</v>
      </c>
      <c r="E159" s="1025">
        <v>80111600</v>
      </c>
      <c r="F159" s="1053" t="s">
        <v>850</v>
      </c>
      <c r="G159" s="1054" t="s">
        <v>1495</v>
      </c>
      <c r="H159" s="1054" t="s">
        <v>1495</v>
      </c>
      <c r="I159" s="1054" t="s">
        <v>1538</v>
      </c>
      <c r="J159" s="1043" t="s">
        <v>1535</v>
      </c>
      <c r="K159" s="1027" t="s">
        <v>674</v>
      </c>
      <c r="L159" s="1055" t="s">
        <v>675</v>
      </c>
      <c r="M159" s="1030">
        <v>23184000</v>
      </c>
      <c r="N159" s="1056" t="s">
        <v>730</v>
      </c>
      <c r="O159" s="1056" t="s">
        <v>1536</v>
      </c>
      <c r="P159" s="1056"/>
      <c r="Q159" s="1027"/>
      <c r="R159" s="1022"/>
      <c r="S159" s="1130">
        <v>167</v>
      </c>
      <c r="T159" s="1156">
        <v>23184000</v>
      </c>
    </row>
    <row r="160" spans="1:20" s="995" customFormat="1" ht="66" x14ac:dyDescent="0.3">
      <c r="A160" s="1023">
        <v>2022154</v>
      </c>
      <c r="B160" s="1023">
        <v>7655</v>
      </c>
      <c r="C160" s="1023" t="s">
        <v>668</v>
      </c>
      <c r="D160" s="1039" t="s">
        <v>695</v>
      </c>
      <c r="E160" s="1025">
        <v>80111600</v>
      </c>
      <c r="F160" s="1053" t="s">
        <v>851</v>
      </c>
      <c r="G160" s="1054" t="s">
        <v>1495</v>
      </c>
      <c r="H160" s="1054" t="s">
        <v>1495</v>
      </c>
      <c r="I160" s="1054" t="s">
        <v>1538</v>
      </c>
      <c r="J160" s="1043" t="s">
        <v>1535</v>
      </c>
      <c r="K160" s="1027" t="s">
        <v>674</v>
      </c>
      <c r="L160" s="1055" t="s">
        <v>675</v>
      </c>
      <c r="M160" s="1030">
        <v>30429000</v>
      </c>
      <c r="N160" s="1056" t="s">
        <v>730</v>
      </c>
      <c r="O160" s="1056" t="s">
        <v>1536</v>
      </c>
      <c r="P160" s="1056"/>
      <c r="Q160" s="1027"/>
      <c r="R160" s="1022"/>
      <c r="S160" s="1130">
        <v>85</v>
      </c>
      <c r="T160" s="1156">
        <v>30429000</v>
      </c>
    </row>
    <row r="161" spans="1:20" s="995" customFormat="1" ht="66" x14ac:dyDescent="0.3">
      <c r="A161" s="1023">
        <v>2022155</v>
      </c>
      <c r="B161" s="1023">
        <v>7655</v>
      </c>
      <c r="C161" s="1023" t="s">
        <v>668</v>
      </c>
      <c r="D161" s="1039" t="s">
        <v>695</v>
      </c>
      <c r="E161" s="1025">
        <v>80111600</v>
      </c>
      <c r="F161" s="1053" t="s">
        <v>852</v>
      </c>
      <c r="G161" s="1054" t="s">
        <v>1495</v>
      </c>
      <c r="H161" s="1054" t="s">
        <v>1495</v>
      </c>
      <c r="I161" s="1054" t="s">
        <v>1498</v>
      </c>
      <c r="J161" s="1043" t="s">
        <v>1535</v>
      </c>
      <c r="K161" s="1027" t="s">
        <v>674</v>
      </c>
      <c r="L161" s="1055" t="s">
        <v>675</v>
      </c>
      <c r="M161" s="1030">
        <v>83600000</v>
      </c>
      <c r="N161" s="1056" t="s">
        <v>730</v>
      </c>
      <c r="O161" s="1056" t="s">
        <v>1536</v>
      </c>
      <c r="P161" s="1056"/>
      <c r="Q161" s="1027"/>
      <c r="R161" s="1022"/>
      <c r="S161" s="1130">
        <v>190</v>
      </c>
      <c r="T161" s="1156">
        <v>68400000</v>
      </c>
    </row>
    <row r="162" spans="1:20" s="1057" customFormat="1" ht="66" x14ac:dyDescent="0.3">
      <c r="A162" s="1023">
        <v>2022156</v>
      </c>
      <c r="B162" s="1023">
        <v>7655</v>
      </c>
      <c r="C162" s="1023" t="s">
        <v>668</v>
      </c>
      <c r="D162" s="1039" t="s">
        <v>695</v>
      </c>
      <c r="E162" s="1025">
        <v>80111600</v>
      </c>
      <c r="F162" s="1053" t="s">
        <v>853</v>
      </c>
      <c r="G162" s="1054" t="s">
        <v>1495</v>
      </c>
      <c r="H162" s="1054" t="s">
        <v>1495</v>
      </c>
      <c r="I162" s="1054" t="s">
        <v>1538</v>
      </c>
      <c r="J162" s="1043" t="s">
        <v>1535</v>
      </c>
      <c r="K162" s="1027" t="s">
        <v>674</v>
      </c>
      <c r="L162" s="1055" t="s">
        <v>675</v>
      </c>
      <c r="M162" s="1030">
        <v>26950000</v>
      </c>
      <c r="N162" s="1056" t="s">
        <v>730</v>
      </c>
      <c r="O162" s="1056" t="s">
        <v>1536</v>
      </c>
      <c r="P162" s="1056"/>
      <c r="Q162" s="1027"/>
      <c r="R162" s="1022"/>
      <c r="S162" s="1130">
        <v>340</v>
      </c>
      <c r="T162" s="1156">
        <v>26950000</v>
      </c>
    </row>
    <row r="163" spans="1:20" s="995" customFormat="1" ht="66" x14ac:dyDescent="0.3">
      <c r="A163" s="1023">
        <v>2022157</v>
      </c>
      <c r="B163" s="1023">
        <v>7655</v>
      </c>
      <c r="C163" s="1023" t="s">
        <v>668</v>
      </c>
      <c r="D163" s="1039" t="s">
        <v>695</v>
      </c>
      <c r="E163" s="1025">
        <v>80111600</v>
      </c>
      <c r="F163" s="1053" t="s">
        <v>848</v>
      </c>
      <c r="G163" s="1054" t="s">
        <v>1495</v>
      </c>
      <c r="H163" s="1054" t="s">
        <v>1495</v>
      </c>
      <c r="I163" s="1054" t="s">
        <v>1538</v>
      </c>
      <c r="J163" s="1043" t="s">
        <v>1535</v>
      </c>
      <c r="K163" s="1027" t="s">
        <v>674</v>
      </c>
      <c r="L163" s="1055" t="s">
        <v>675</v>
      </c>
      <c r="M163" s="1030">
        <v>36225000</v>
      </c>
      <c r="N163" s="1056" t="s">
        <v>730</v>
      </c>
      <c r="O163" s="1056" t="s">
        <v>1536</v>
      </c>
      <c r="P163" s="1056"/>
      <c r="Q163" s="1027"/>
      <c r="R163" s="1022"/>
      <c r="S163" s="1130">
        <v>168</v>
      </c>
      <c r="T163" s="1156">
        <v>36225000</v>
      </c>
    </row>
    <row r="164" spans="1:20" s="995" customFormat="1" ht="66" x14ac:dyDescent="0.3">
      <c r="A164" s="1023">
        <v>2022158</v>
      </c>
      <c r="B164" s="1023">
        <v>7655</v>
      </c>
      <c r="C164" s="1023" t="s">
        <v>668</v>
      </c>
      <c r="D164" s="1039" t="s">
        <v>695</v>
      </c>
      <c r="E164" s="1025">
        <v>80111600</v>
      </c>
      <c r="F164" s="1053" t="s">
        <v>849</v>
      </c>
      <c r="G164" s="1054" t="s">
        <v>1495</v>
      </c>
      <c r="H164" s="1054" t="s">
        <v>1495</v>
      </c>
      <c r="I164" s="1054" t="s">
        <v>1549</v>
      </c>
      <c r="J164" s="1043" t="s">
        <v>1535</v>
      </c>
      <c r="K164" s="1027" t="s">
        <v>674</v>
      </c>
      <c r="L164" s="1055" t="s">
        <v>675</v>
      </c>
      <c r="M164" s="1030">
        <v>45544000</v>
      </c>
      <c r="N164" s="1056" t="s">
        <v>730</v>
      </c>
      <c r="O164" s="1056" t="s">
        <v>1536</v>
      </c>
      <c r="P164" s="1056"/>
      <c r="Q164" s="1027"/>
      <c r="R164" s="1022"/>
      <c r="S164" s="1130">
        <v>103</v>
      </c>
      <c r="T164" s="1156">
        <v>45544000</v>
      </c>
    </row>
    <row r="165" spans="1:20" s="995" customFormat="1" ht="66" x14ac:dyDescent="0.3">
      <c r="A165" s="1023">
        <v>2022159</v>
      </c>
      <c r="B165" s="1023">
        <v>7655</v>
      </c>
      <c r="C165" s="1023" t="s">
        <v>668</v>
      </c>
      <c r="D165" s="1039" t="s">
        <v>695</v>
      </c>
      <c r="E165" s="1025">
        <v>80111600</v>
      </c>
      <c r="F165" s="1053" t="s">
        <v>854</v>
      </c>
      <c r="G165" s="1054" t="s">
        <v>1495</v>
      </c>
      <c r="H165" s="1054" t="s">
        <v>1495</v>
      </c>
      <c r="I165" s="1054" t="s">
        <v>1549</v>
      </c>
      <c r="J165" s="1043" t="s">
        <v>1535</v>
      </c>
      <c r="K165" s="1027" t="s">
        <v>674</v>
      </c>
      <c r="L165" s="1055" t="s">
        <v>675</v>
      </c>
      <c r="M165" s="1030">
        <v>19600000</v>
      </c>
      <c r="N165" s="1056" t="s">
        <v>730</v>
      </c>
      <c r="O165" s="1056" t="s">
        <v>1536</v>
      </c>
      <c r="P165" s="1056"/>
      <c r="Q165" s="1027"/>
      <c r="R165" s="1022"/>
      <c r="S165" s="1130">
        <v>113</v>
      </c>
      <c r="T165" s="1156">
        <v>14700000</v>
      </c>
    </row>
    <row r="166" spans="1:20" s="995" customFormat="1" ht="66" x14ac:dyDescent="0.3">
      <c r="A166" s="1023">
        <v>2022160</v>
      </c>
      <c r="B166" s="1023">
        <v>7655</v>
      </c>
      <c r="C166" s="1023" t="s">
        <v>668</v>
      </c>
      <c r="D166" s="1039" t="s">
        <v>695</v>
      </c>
      <c r="E166" s="1025">
        <v>80111600</v>
      </c>
      <c r="F166" s="1053" t="s">
        <v>855</v>
      </c>
      <c r="G166" s="1054" t="s">
        <v>1495</v>
      </c>
      <c r="H166" s="1054" t="s">
        <v>1495</v>
      </c>
      <c r="I166" s="1054" t="s">
        <v>1498</v>
      </c>
      <c r="J166" s="1043" t="s">
        <v>1535</v>
      </c>
      <c r="K166" s="1027" t="s">
        <v>674</v>
      </c>
      <c r="L166" s="1055" t="s">
        <v>675</v>
      </c>
      <c r="M166" s="1030">
        <v>31306000</v>
      </c>
      <c r="N166" s="1056" t="s">
        <v>730</v>
      </c>
      <c r="O166" s="1056" t="s">
        <v>1536</v>
      </c>
      <c r="P166" s="1056"/>
      <c r="Q166" s="1027"/>
      <c r="R166" s="1022"/>
      <c r="S166" s="1130">
        <v>181</v>
      </c>
      <c r="T166" s="1156">
        <v>31306000</v>
      </c>
    </row>
    <row r="167" spans="1:20" s="995" customFormat="1" ht="105.6" x14ac:dyDescent="0.3">
      <c r="A167" s="1023">
        <v>2022161</v>
      </c>
      <c r="B167" s="1023">
        <v>7655</v>
      </c>
      <c r="C167" s="1023" t="s">
        <v>668</v>
      </c>
      <c r="D167" s="1039" t="s">
        <v>695</v>
      </c>
      <c r="E167" s="1025">
        <v>80111600</v>
      </c>
      <c r="F167" s="1053" t="s">
        <v>856</v>
      </c>
      <c r="G167" s="1054" t="s">
        <v>1495</v>
      </c>
      <c r="H167" s="1054" t="s">
        <v>1495</v>
      </c>
      <c r="I167" s="1054" t="s">
        <v>1549</v>
      </c>
      <c r="J167" s="1043" t="s">
        <v>1535</v>
      </c>
      <c r="K167" s="1027" t="s">
        <v>674</v>
      </c>
      <c r="L167" s="1055" t="s">
        <v>675</v>
      </c>
      <c r="M167" s="1030">
        <v>34776000</v>
      </c>
      <c r="N167" s="1056" t="s">
        <v>730</v>
      </c>
      <c r="O167" s="1056" t="s">
        <v>1536</v>
      </c>
      <c r="P167" s="1056"/>
      <c r="Q167" s="1027"/>
      <c r="R167" s="1022"/>
      <c r="S167" s="1130">
        <v>115</v>
      </c>
      <c r="T167" s="1156">
        <v>34776000</v>
      </c>
    </row>
    <row r="168" spans="1:20" s="995" customFormat="1" ht="66" x14ac:dyDescent="0.3">
      <c r="A168" s="1023">
        <v>2022162</v>
      </c>
      <c r="B168" s="1023">
        <v>7655</v>
      </c>
      <c r="C168" s="1023" t="s">
        <v>668</v>
      </c>
      <c r="D168" s="1039" t="s">
        <v>695</v>
      </c>
      <c r="E168" s="1025">
        <v>80111600</v>
      </c>
      <c r="F168" s="1053" t="s">
        <v>857</v>
      </c>
      <c r="G168" s="1054" t="s">
        <v>1495</v>
      </c>
      <c r="H168" s="1054" t="s">
        <v>1495</v>
      </c>
      <c r="I168" s="1054" t="s">
        <v>1549</v>
      </c>
      <c r="J168" s="1043" t="s">
        <v>1535</v>
      </c>
      <c r="K168" s="1027" t="s">
        <v>674</v>
      </c>
      <c r="L168" s="1055" t="s">
        <v>675</v>
      </c>
      <c r="M168" s="1030">
        <v>34776000</v>
      </c>
      <c r="N168" s="1056" t="s">
        <v>730</v>
      </c>
      <c r="O168" s="1056" t="s">
        <v>1536</v>
      </c>
      <c r="P168" s="1056"/>
      <c r="Q168" s="1027"/>
      <c r="R168" s="1022"/>
      <c r="S168" s="1130">
        <v>169</v>
      </c>
      <c r="T168" s="1156">
        <v>30429000</v>
      </c>
    </row>
    <row r="169" spans="1:20" s="995" customFormat="1" ht="105.6" x14ac:dyDescent="0.3">
      <c r="A169" s="1023">
        <v>2022163</v>
      </c>
      <c r="B169" s="1023">
        <v>7655</v>
      </c>
      <c r="C169" s="1023" t="s">
        <v>668</v>
      </c>
      <c r="D169" s="1039" t="s">
        <v>695</v>
      </c>
      <c r="E169" s="1025">
        <v>80111600</v>
      </c>
      <c r="F169" s="1053" t="s">
        <v>858</v>
      </c>
      <c r="G169" s="1054" t="s">
        <v>1495</v>
      </c>
      <c r="H169" s="1054" t="s">
        <v>1495</v>
      </c>
      <c r="I169" s="1054" t="s">
        <v>1498</v>
      </c>
      <c r="J169" s="1043" t="s">
        <v>1535</v>
      </c>
      <c r="K169" s="1027" t="s">
        <v>674</v>
      </c>
      <c r="L169" s="1055" t="s">
        <v>675</v>
      </c>
      <c r="M169" s="1030">
        <v>36850000</v>
      </c>
      <c r="N169" s="1056" t="s">
        <v>730</v>
      </c>
      <c r="O169" s="1056" t="s">
        <v>1536</v>
      </c>
      <c r="P169" s="1056"/>
      <c r="Q169" s="1027"/>
      <c r="R169" s="1022"/>
      <c r="S169" s="1130">
        <v>176</v>
      </c>
      <c r="T169" s="1156">
        <v>21735000</v>
      </c>
    </row>
    <row r="170" spans="1:20" s="995" customFormat="1" ht="66" x14ac:dyDescent="0.3">
      <c r="A170" s="1023">
        <v>2022164</v>
      </c>
      <c r="B170" s="1023">
        <v>7655</v>
      </c>
      <c r="C170" s="1023" t="s">
        <v>668</v>
      </c>
      <c r="D170" s="1039" t="s">
        <v>695</v>
      </c>
      <c r="E170" s="1025">
        <v>80111600</v>
      </c>
      <c r="F170" s="1053" t="s">
        <v>859</v>
      </c>
      <c r="G170" s="1054" t="s">
        <v>1495</v>
      </c>
      <c r="H170" s="1054" t="s">
        <v>1495</v>
      </c>
      <c r="I170" s="1054" t="s">
        <v>1538</v>
      </c>
      <c r="J170" s="1043" t="s">
        <v>1535</v>
      </c>
      <c r="K170" s="1027" t="s">
        <v>674</v>
      </c>
      <c r="L170" s="1055" t="s">
        <v>675</v>
      </c>
      <c r="M170" s="1030">
        <v>26950000</v>
      </c>
      <c r="N170" s="1056" t="s">
        <v>730</v>
      </c>
      <c r="O170" s="1056" t="s">
        <v>1536</v>
      </c>
      <c r="P170" s="1056"/>
      <c r="Q170" s="1027"/>
      <c r="R170" s="1022"/>
      <c r="S170" s="1130">
        <v>266</v>
      </c>
      <c r="T170" s="1156">
        <v>24850000</v>
      </c>
    </row>
    <row r="171" spans="1:20" s="995" customFormat="1" ht="66" x14ac:dyDescent="0.3">
      <c r="A171" s="1023">
        <v>2022165</v>
      </c>
      <c r="B171" s="1023">
        <v>7655</v>
      </c>
      <c r="C171" s="1023" t="s">
        <v>668</v>
      </c>
      <c r="D171" s="1039" t="s">
        <v>695</v>
      </c>
      <c r="E171" s="1025">
        <v>80111600</v>
      </c>
      <c r="F171" s="1053" t="s">
        <v>860</v>
      </c>
      <c r="G171" s="1054" t="s">
        <v>1495</v>
      </c>
      <c r="H171" s="1054" t="s">
        <v>1495</v>
      </c>
      <c r="I171" s="1054" t="s">
        <v>1549</v>
      </c>
      <c r="J171" s="1043" t="s">
        <v>1535</v>
      </c>
      <c r="K171" s="1027" t="s">
        <v>674</v>
      </c>
      <c r="L171" s="1055" t="s">
        <v>675</v>
      </c>
      <c r="M171" s="1030">
        <v>41400000</v>
      </c>
      <c r="N171" s="1056" t="s">
        <v>730</v>
      </c>
      <c r="O171" s="1056" t="s">
        <v>1536</v>
      </c>
      <c r="P171" s="1056"/>
      <c r="Q171" s="1027"/>
      <c r="R171" s="1022"/>
      <c r="S171" s="1130">
        <v>92</v>
      </c>
      <c r="T171" s="1156">
        <v>41400000</v>
      </c>
    </row>
    <row r="172" spans="1:20" s="995" customFormat="1" ht="66" x14ac:dyDescent="0.3">
      <c r="A172" s="1023">
        <v>2022166</v>
      </c>
      <c r="B172" s="1023">
        <v>7655</v>
      </c>
      <c r="C172" s="1023" t="s">
        <v>668</v>
      </c>
      <c r="D172" s="1039" t="s">
        <v>695</v>
      </c>
      <c r="E172" s="1025">
        <v>80111600</v>
      </c>
      <c r="F172" s="1053" t="s">
        <v>861</v>
      </c>
      <c r="G172" s="1054" t="s">
        <v>1495</v>
      </c>
      <c r="H172" s="1054" t="s">
        <v>1495</v>
      </c>
      <c r="I172" s="1054" t="s">
        <v>1549</v>
      </c>
      <c r="J172" s="1043" t="s">
        <v>1535</v>
      </c>
      <c r="K172" s="1027" t="s">
        <v>674</v>
      </c>
      <c r="L172" s="1055" t="s">
        <v>675</v>
      </c>
      <c r="M172" s="1030">
        <v>41400000</v>
      </c>
      <c r="N172" s="1056" t="s">
        <v>730</v>
      </c>
      <c r="O172" s="1056" t="s">
        <v>1536</v>
      </c>
      <c r="P172" s="1056"/>
      <c r="Q172" s="1027"/>
      <c r="R172" s="1022"/>
      <c r="S172" s="1130">
        <v>116</v>
      </c>
      <c r="T172" s="1156">
        <v>36225000</v>
      </c>
    </row>
    <row r="173" spans="1:20" s="995" customFormat="1" ht="66" x14ac:dyDescent="0.3">
      <c r="A173" s="1023">
        <v>2022167</v>
      </c>
      <c r="B173" s="1023">
        <v>7655</v>
      </c>
      <c r="C173" s="1023" t="s">
        <v>668</v>
      </c>
      <c r="D173" s="1039" t="s">
        <v>695</v>
      </c>
      <c r="E173" s="1025">
        <v>80111600</v>
      </c>
      <c r="F173" s="1053" t="s">
        <v>862</v>
      </c>
      <c r="G173" s="1054" t="s">
        <v>1495</v>
      </c>
      <c r="H173" s="1054" t="s">
        <v>1495</v>
      </c>
      <c r="I173" s="1054" t="s">
        <v>1498</v>
      </c>
      <c r="J173" s="1043" t="s">
        <v>1535</v>
      </c>
      <c r="K173" s="1027" t="s">
        <v>674</v>
      </c>
      <c r="L173" s="1055" t="s">
        <v>675</v>
      </c>
      <c r="M173" s="1030">
        <v>80036000</v>
      </c>
      <c r="N173" s="1056" t="s">
        <v>730</v>
      </c>
      <c r="O173" s="1056" t="s">
        <v>1536</v>
      </c>
      <c r="P173" s="1056"/>
      <c r="Q173" s="1027"/>
      <c r="R173" s="1022"/>
      <c r="S173" s="1130">
        <v>70</v>
      </c>
      <c r="T173" s="1156">
        <v>80036000</v>
      </c>
    </row>
    <row r="174" spans="1:20" s="995" customFormat="1" ht="66" x14ac:dyDescent="0.3">
      <c r="A174" s="1023">
        <v>2022168</v>
      </c>
      <c r="B174" s="1023">
        <v>7655</v>
      </c>
      <c r="C174" s="1023" t="s">
        <v>668</v>
      </c>
      <c r="D174" s="1039" t="s">
        <v>695</v>
      </c>
      <c r="E174" s="1025">
        <v>80111600</v>
      </c>
      <c r="F174" s="1053" t="s">
        <v>860</v>
      </c>
      <c r="G174" s="1054" t="s">
        <v>1495</v>
      </c>
      <c r="H174" s="1054" t="s">
        <v>1495</v>
      </c>
      <c r="I174" s="1054" t="s">
        <v>1541</v>
      </c>
      <c r="J174" s="1043" t="s">
        <v>1535</v>
      </c>
      <c r="K174" s="1027" t="s">
        <v>674</v>
      </c>
      <c r="L174" s="1055" t="s">
        <v>675</v>
      </c>
      <c r="M174" s="1030">
        <v>60000000</v>
      </c>
      <c r="N174" s="1056" t="s">
        <v>730</v>
      </c>
      <c r="O174" s="1056" t="s">
        <v>1536</v>
      </c>
      <c r="P174" s="1056"/>
      <c r="Q174" s="1027"/>
      <c r="R174" s="1022"/>
      <c r="S174" s="1130">
        <v>93</v>
      </c>
      <c r="T174" s="1156">
        <v>60000000</v>
      </c>
    </row>
    <row r="175" spans="1:20" s="995" customFormat="1" ht="105.6" x14ac:dyDescent="0.3">
      <c r="A175" s="1023">
        <v>2022169</v>
      </c>
      <c r="B175" s="1023">
        <v>7655</v>
      </c>
      <c r="C175" s="1023" t="s">
        <v>668</v>
      </c>
      <c r="D175" s="1039" t="s">
        <v>695</v>
      </c>
      <c r="E175" s="1025">
        <v>80111600</v>
      </c>
      <c r="F175" s="1053" t="s">
        <v>858</v>
      </c>
      <c r="G175" s="1054" t="s">
        <v>1495</v>
      </c>
      <c r="H175" s="1054" t="s">
        <v>1495</v>
      </c>
      <c r="I175" s="1054" t="s">
        <v>1498</v>
      </c>
      <c r="J175" s="1043" t="s">
        <v>1535</v>
      </c>
      <c r="K175" s="1027" t="s">
        <v>674</v>
      </c>
      <c r="L175" s="1055" t="s">
        <v>675</v>
      </c>
      <c r="M175" s="1030">
        <v>34155000</v>
      </c>
      <c r="N175" s="1056" t="s">
        <v>730</v>
      </c>
      <c r="O175" s="1056" t="s">
        <v>1536</v>
      </c>
      <c r="P175" s="1056"/>
      <c r="Q175" s="1027"/>
      <c r="R175" s="1022"/>
      <c r="S175" s="1130">
        <v>170</v>
      </c>
      <c r="T175" s="1156">
        <v>36850000</v>
      </c>
    </row>
    <row r="176" spans="1:20" s="995" customFormat="1" ht="66" x14ac:dyDescent="0.3">
      <c r="A176" s="1023">
        <v>2022170</v>
      </c>
      <c r="B176" s="1023">
        <v>7655</v>
      </c>
      <c r="C176" s="1023" t="s">
        <v>668</v>
      </c>
      <c r="D176" s="1039" t="s">
        <v>695</v>
      </c>
      <c r="E176" s="1025">
        <v>80111600</v>
      </c>
      <c r="F176" s="1053" t="s">
        <v>861</v>
      </c>
      <c r="G176" s="1054" t="s">
        <v>1495</v>
      </c>
      <c r="H176" s="1054" t="s">
        <v>1495</v>
      </c>
      <c r="I176" s="1054" t="s">
        <v>1537</v>
      </c>
      <c r="J176" s="1043" t="s">
        <v>1535</v>
      </c>
      <c r="K176" s="1027" t="s">
        <v>674</v>
      </c>
      <c r="L176" s="1055" t="s">
        <v>675</v>
      </c>
      <c r="M176" s="1030">
        <v>26082000</v>
      </c>
      <c r="N176" s="1056" t="s">
        <v>730</v>
      </c>
      <c r="O176" s="1056" t="s">
        <v>1536</v>
      </c>
      <c r="P176" s="1056"/>
      <c r="Q176" s="1027"/>
      <c r="R176" s="1022"/>
      <c r="S176" s="1130">
        <v>187</v>
      </c>
      <c r="T176" s="1156">
        <v>26082000</v>
      </c>
    </row>
    <row r="177" spans="1:20" s="995" customFormat="1" ht="66" x14ac:dyDescent="0.3">
      <c r="A177" s="1023">
        <v>2022171</v>
      </c>
      <c r="B177" s="1023">
        <v>7655</v>
      </c>
      <c r="C177" s="1023" t="s">
        <v>668</v>
      </c>
      <c r="D177" s="1039" t="s">
        <v>695</v>
      </c>
      <c r="E177" s="1025">
        <v>80111600</v>
      </c>
      <c r="F177" s="1053" t="s">
        <v>863</v>
      </c>
      <c r="G177" s="1054" t="s">
        <v>1495</v>
      </c>
      <c r="H177" s="1054" t="s">
        <v>1495</v>
      </c>
      <c r="I177" s="1054" t="s">
        <v>1538</v>
      </c>
      <c r="J177" s="1043" t="s">
        <v>1535</v>
      </c>
      <c r="K177" s="1027" t="s">
        <v>674</v>
      </c>
      <c r="L177" s="1055" t="s">
        <v>675</v>
      </c>
      <c r="M177" s="1030">
        <v>36225000</v>
      </c>
      <c r="N177" s="1056" t="s">
        <v>730</v>
      </c>
      <c r="O177" s="1056" t="s">
        <v>1536</v>
      </c>
      <c r="P177" s="1056"/>
      <c r="Q177" s="1027"/>
      <c r="R177" s="1022"/>
      <c r="S177" s="1130">
        <v>281</v>
      </c>
      <c r="T177" s="1156">
        <v>36225000</v>
      </c>
    </row>
    <row r="178" spans="1:20" s="995" customFormat="1" ht="66" x14ac:dyDescent="0.3">
      <c r="A178" s="1023">
        <v>2022172</v>
      </c>
      <c r="B178" s="1023">
        <v>7655</v>
      </c>
      <c r="C178" s="1023" t="s">
        <v>668</v>
      </c>
      <c r="D178" s="1039" t="s">
        <v>695</v>
      </c>
      <c r="E178" s="1025">
        <v>80111600</v>
      </c>
      <c r="F178" s="1053" t="s">
        <v>860</v>
      </c>
      <c r="G178" s="1054" t="s">
        <v>1495</v>
      </c>
      <c r="H178" s="1054" t="s">
        <v>1495</v>
      </c>
      <c r="I178" s="1054" t="s">
        <v>1538</v>
      </c>
      <c r="J178" s="1043" t="s">
        <v>1535</v>
      </c>
      <c r="K178" s="1027" t="s">
        <v>674</v>
      </c>
      <c r="L178" s="1055" t="s">
        <v>675</v>
      </c>
      <c r="M178" s="1030">
        <v>36225000</v>
      </c>
      <c r="N178" s="1056" t="s">
        <v>730</v>
      </c>
      <c r="O178" s="1056" t="s">
        <v>1536</v>
      </c>
      <c r="P178" s="1056"/>
      <c r="Q178" s="1027"/>
      <c r="R178" s="1022"/>
      <c r="S178" s="1130">
        <v>338</v>
      </c>
      <c r="T178" s="1156">
        <v>36225000</v>
      </c>
    </row>
    <row r="179" spans="1:20" s="995" customFormat="1" ht="66" x14ac:dyDescent="0.3">
      <c r="A179" s="1023">
        <v>2022173</v>
      </c>
      <c r="B179" s="1023">
        <v>7655</v>
      </c>
      <c r="C179" s="1023" t="s">
        <v>668</v>
      </c>
      <c r="D179" s="1039" t="s">
        <v>695</v>
      </c>
      <c r="E179" s="1025">
        <v>80111600</v>
      </c>
      <c r="F179" s="1053" t="s">
        <v>864</v>
      </c>
      <c r="G179" s="1054" t="s">
        <v>1495</v>
      </c>
      <c r="H179" s="1054" t="s">
        <v>1495</v>
      </c>
      <c r="I179" s="1054" t="s">
        <v>1537</v>
      </c>
      <c r="J179" s="1043" t="s">
        <v>1535</v>
      </c>
      <c r="K179" s="1027" t="s">
        <v>674</v>
      </c>
      <c r="L179" s="1055" t="s">
        <v>675</v>
      </c>
      <c r="M179" s="1030">
        <v>12000000</v>
      </c>
      <c r="N179" s="1056" t="s">
        <v>730</v>
      </c>
      <c r="O179" s="1056" t="s">
        <v>1536</v>
      </c>
      <c r="P179" s="1056"/>
      <c r="Q179" s="1027"/>
      <c r="R179" s="1022"/>
      <c r="S179" s="1130">
        <v>391</v>
      </c>
      <c r="T179" s="1156">
        <v>10200000</v>
      </c>
    </row>
    <row r="180" spans="1:20" s="995" customFormat="1" ht="66" x14ac:dyDescent="0.3">
      <c r="A180" s="1013">
        <v>2022174</v>
      </c>
      <c r="B180" s="1013">
        <v>7655</v>
      </c>
      <c r="C180" s="1013" t="s">
        <v>668</v>
      </c>
      <c r="D180" s="1045" t="s">
        <v>695</v>
      </c>
      <c r="E180" s="1015">
        <v>80111600</v>
      </c>
      <c r="F180" s="1058" t="s">
        <v>865</v>
      </c>
      <c r="G180" s="1059" t="s">
        <v>1495</v>
      </c>
      <c r="H180" s="1059" t="s">
        <v>1510</v>
      </c>
      <c r="I180" s="1059" t="s">
        <v>1550</v>
      </c>
      <c r="J180" s="1049" t="s">
        <v>1535</v>
      </c>
      <c r="K180" s="1017" t="s">
        <v>674</v>
      </c>
      <c r="L180" s="1060" t="s">
        <v>675</v>
      </c>
      <c r="M180" s="1020">
        <v>282051000</v>
      </c>
      <c r="N180" s="1061" t="s">
        <v>730</v>
      </c>
      <c r="O180" s="1061" t="s">
        <v>1536</v>
      </c>
      <c r="P180" s="1061"/>
      <c r="Q180" s="1017"/>
      <c r="R180" s="1022"/>
      <c r="S180" s="1130"/>
      <c r="T180" s="1156"/>
    </row>
    <row r="181" spans="1:20" s="995" customFormat="1" ht="92.4" x14ac:dyDescent="0.3">
      <c r="A181" s="1013">
        <v>2022175</v>
      </c>
      <c r="B181" s="1013">
        <v>7655</v>
      </c>
      <c r="C181" s="1013" t="s">
        <v>668</v>
      </c>
      <c r="D181" s="1045" t="s">
        <v>701</v>
      </c>
      <c r="E181" s="1062">
        <v>80111600</v>
      </c>
      <c r="F181" s="1063" t="s">
        <v>866</v>
      </c>
      <c r="G181" s="1047" t="s">
        <v>1495</v>
      </c>
      <c r="H181" s="1018" t="s">
        <v>1495</v>
      </c>
      <c r="I181" s="1017" t="s">
        <v>1537</v>
      </c>
      <c r="J181" s="1064" t="s">
        <v>1551</v>
      </c>
      <c r="K181" s="1017" t="s">
        <v>674</v>
      </c>
      <c r="L181" s="1065" t="s">
        <v>675</v>
      </c>
      <c r="M181" s="1020">
        <v>1000000000</v>
      </c>
      <c r="N181" s="1066" t="s">
        <v>726</v>
      </c>
      <c r="O181" s="1061" t="s">
        <v>1536</v>
      </c>
      <c r="P181" s="1061"/>
      <c r="Q181" s="1017"/>
      <c r="R181" s="1022"/>
      <c r="S181" s="1130"/>
      <c r="T181" s="1156"/>
    </row>
    <row r="182" spans="1:20" s="995" customFormat="1" ht="54.75" customHeight="1" x14ac:dyDescent="0.3">
      <c r="A182" s="1013">
        <v>2022176</v>
      </c>
      <c r="B182" s="1013">
        <v>7655</v>
      </c>
      <c r="C182" s="1013" t="s">
        <v>668</v>
      </c>
      <c r="D182" s="1045" t="s">
        <v>701</v>
      </c>
      <c r="E182" s="1046">
        <v>80111600</v>
      </c>
      <c r="F182" s="1016" t="s">
        <v>867</v>
      </c>
      <c r="G182" s="1047" t="s">
        <v>1495</v>
      </c>
      <c r="H182" s="1018" t="s">
        <v>1495</v>
      </c>
      <c r="I182" s="1067" t="s">
        <v>1552</v>
      </c>
      <c r="J182" s="1049" t="s">
        <v>1535</v>
      </c>
      <c r="K182" s="1017" t="s">
        <v>674</v>
      </c>
      <c r="L182" s="1017" t="s">
        <v>675</v>
      </c>
      <c r="M182" s="1020">
        <f>80500000-42000000</f>
        <v>38500000</v>
      </c>
      <c r="N182" s="1066" t="s">
        <v>726</v>
      </c>
      <c r="O182" s="1061" t="s">
        <v>1536</v>
      </c>
      <c r="P182" s="1061"/>
      <c r="Q182" s="1017"/>
      <c r="R182" s="1022"/>
      <c r="S182" s="1130"/>
      <c r="T182" s="1156"/>
    </row>
    <row r="183" spans="1:20" s="995" customFormat="1" ht="79.2" x14ac:dyDescent="0.3">
      <c r="A183" s="1023">
        <v>2022177</v>
      </c>
      <c r="B183" s="1023">
        <v>7655</v>
      </c>
      <c r="C183" s="1023" t="s">
        <v>668</v>
      </c>
      <c r="D183" s="1039" t="s">
        <v>698</v>
      </c>
      <c r="E183" s="1040">
        <v>80111600</v>
      </c>
      <c r="F183" s="1068" t="s">
        <v>868</v>
      </c>
      <c r="G183" s="1054" t="s">
        <v>1495</v>
      </c>
      <c r="H183" s="1069" t="s">
        <v>1505</v>
      </c>
      <c r="I183" s="1054" t="s">
        <v>1498</v>
      </c>
      <c r="J183" s="1043" t="s">
        <v>1535</v>
      </c>
      <c r="K183" s="1027" t="s">
        <v>674</v>
      </c>
      <c r="L183" s="1070" t="s">
        <v>675</v>
      </c>
      <c r="M183" s="1030">
        <v>80000000</v>
      </c>
      <c r="N183" s="1056" t="s">
        <v>730</v>
      </c>
      <c r="O183" s="1056" t="s">
        <v>1536</v>
      </c>
      <c r="P183" s="1056"/>
      <c r="Q183" s="1027"/>
      <c r="R183" s="1022"/>
      <c r="S183" s="1130">
        <v>460</v>
      </c>
      <c r="T183" s="1156">
        <v>62700000</v>
      </c>
    </row>
    <row r="184" spans="1:20" s="995" customFormat="1" ht="66" x14ac:dyDescent="0.3">
      <c r="A184" s="1023">
        <v>2022178</v>
      </c>
      <c r="B184" s="1023">
        <v>7655</v>
      </c>
      <c r="C184" s="1023" t="s">
        <v>668</v>
      </c>
      <c r="D184" s="1039" t="s">
        <v>692</v>
      </c>
      <c r="E184" s="1040">
        <v>80111600</v>
      </c>
      <c r="F184" s="1068" t="s">
        <v>869</v>
      </c>
      <c r="G184" s="1054" t="s">
        <v>1495</v>
      </c>
      <c r="H184" s="1069" t="s">
        <v>1505</v>
      </c>
      <c r="I184" s="1054" t="s">
        <v>1541</v>
      </c>
      <c r="J184" s="1043" t="s">
        <v>1535</v>
      </c>
      <c r="K184" s="1027" t="s">
        <v>674</v>
      </c>
      <c r="L184" s="1070" t="s">
        <v>675</v>
      </c>
      <c r="M184" s="1030">
        <v>80000000</v>
      </c>
      <c r="N184" s="1056" t="s">
        <v>730</v>
      </c>
      <c r="O184" s="1056" t="s">
        <v>1536</v>
      </c>
      <c r="P184" s="1056"/>
      <c r="Q184" s="1027"/>
      <c r="R184" s="1022"/>
      <c r="S184" s="1130">
        <v>119</v>
      </c>
      <c r="T184" s="1156">
        <v>80000000</v>
      </c>
    </row>
    <row r="185" spans="1:20" s="995" customFormat="1" ht="66" x14ac:dyDescent="0.3">
      <c r="A185" s="1023">
        <v>2022179</v>
      </c>
      <c r="B185" s="1023">
        <v>7655</v>
      </c>
      <c r="C185" s="1023" t="s">
        <v>668</v>
      </c>
      <c r="D185" s="1039" t="s">
        <v>686</v>
      </c>
      <c r="E185" s="1071">
        <v>80111600</v>
      </c>
      <c r="F185" s="1068" t="s">
        <v>870</v>
      </c>
      <c r="G185" s="1054" t="s">
        <v>1495</v>
      </c>
      <c r="H185" s="1054" t="s">
        <v>1495</v>
      </c>
      <c r="I185" s="1054" t="s">
        <v>1543</v>
      </c>
      <c r="J185" s="1043" t="s">
        <v>1535</v>
      </c>
      <c r="K185" s="1027" t="s">
        <v>674</v>
      </c>
      <c r="L185" s="1070" t="s">
        <v>675</v>
      </c>
      <c r="M185" s="1030">
        <v>39371000</v>
      </c>
      <c r="N185" s="1044" t="s">
        <v>730</v>
      </c>
      <c r="O185" s="1056" t="s">
        <v>1536</v>
      </c>
      <c r="P185" s="1056"/>
      <c r="Q185" s="1027"/>
      <c r="R185" s="1022"/>
      <c r="S185" s="1130">
        <v>105</v>
      </c>
      <c r="T185" s="1156">
        <v>26247328</v>
      </c>
    </row>
    <row r="186" spans="1:20" s="995" customFormat="1" ht="66" x14ac:dyDescent="0.3">
      <c r="A186" s="1023">
        <v>2022180</v>
      </c>
      <c r="B186" s="1023">
        <v>7655</v>
      </c>
      <c r="C186" s="1023" t="s">
        <v>668</v>
      </c>
      <c r="D186" s="1039" t="s">
        <v>686</v>
      </c>
      <c r="E186" s="1071">
        <v>80111600</v>
      </c>
      <c r="F186" s="1068" t="s">
        <v>871</v>
      </c>
      <c r="G186" s="1054" t="s">
        <v>1495</v>
      </c>
      <c r="H186" s="1054" t="s">
        <v>1495</v>
      </c>
      <c r="I186" s="1054" t="s">
        <v>1543</v>
      </c>
      <c r="J186" s="1043" t="s">
        <v>1535</v>
      </c>
      <c r="K186" s="1027" t="s">
        <v>674</v>
      </c>
      <c r="L186" s="1070" t="s">
        <v>675</v>
      </c>
      <c r="M186" s="1030">
        <v>45697000</v>
      </c>
      <c r="N186" s="1044" t="s">
        <v>730</v>
      </c>
      <c r="O186" s="1056" t="s">
        <v>1536</v>
      </c>
      <c r="P186" s="1056"/>
      <c r="Q186" s="1027"/>
      <c r="R186" s="1022"/>
      <c r="S186" s="1130">
        <v>153</v>
      </c>
      <c r="T186" s="1156">
        <v>30464664</v>
      </c>
    </row>
    <row r="187" spans="1:20" s="995" customFormat="1" ht="66" x14ac:dyDescent="0.3">
      <c r="A187" s="1023">
        <v>2022181</v>
      </c>
      <c r="B187" s="1023">
        <v>7655</v>
      </c>
      <c r="C187" s="1023" t="s">
        <v>668</v>
      </c>
      <c r="D187" s="1039" t="s">
        <v>686</v>
      </c>
      <c r="E187" s="1071">
        <v>80111600</v>
      </c>
      <c r="F187" s="1068" t="s">
        <v>871</v>
      </c>
      <c r="G187" s="1054" t="s">
        <v>1495</v>
      </c>
      <c r="H187" s="1054" t="s">
        <v>1495</v>
      </c>
      <c r="I187" s="1054" t="s">
        <v>1543</v>
      </c>
      <c r="J187" s="1043" t="s">
        <v>1535</v>
      </c>
      <c r="K187" s="1027" t="s">
        <v>674</v>
      </c>
      <c r="L187" s="1070" t="s">
        <v>675</v>
      </c>
      <c r="M187" s="1030">
        <v>79351000</v>
      </c>
      <c r="N187" s="1044" t="s">
        <v>730</v>
      </c>
      <c r="O187" s="1056" t="s">
        <v>1536</v>
      </c>
      <c r="P187" s="1056"/>
      <c r="Q187" s="1027"/>
      <c r="R187" s="1022"/>
      <c r="S187" s="1130">
        <v>155</v>
      </c>
      <c r="T187" s="1156">
        <v>52900664</v>
      </c>
    </row>
    <row r="188" spans="1:20" s="995" customFormat="1" ht="66" x14ac:dyDescent="0.3">
      <c r="A188" s="1023">
        <v>2022182</v>
      </c>
      <c r="B188" s="1023">
        <v>7655</v>
      </c>
      <c r="C188" s="1023" t="s">
        <v>668</v>
      </c>
      <c r="D188" s="1039" t="s">
        <v>686</v>
      </c>
      <c r="E188" s="1071">
        <v>80111600</v>
      </c>
      <c r="F188" s="1068" t="s">
        <v>871</v>
      </c>
      <c r="G188" s="1054" t="s">
        <v>1495</v>
      </c>
      <c r="H188" s="1054" t="s">
        <v>1495</v>
      </c>
      <c r="I188" s="1054" t="s">
        <v>1543</v>
      </c>
      <c r="J188" s="1043" t="s">
        <v>1535</v>
      </c>
      <c r="K188" s="1027" t="s">
        <v>674</v>
      </c>
      <c r="L188" s="1070" t="s">
        <v>675</v>
      </c>
      <c r="M188" s="1030">
        <v>79351000</v>
      </c>
      <c r="N188" s="1044" t="s">
        <v>730</v>
      </c>
      <c r="O188" s="1056" t="s">
        <v>1536</v>
      </c>
      <c r="P188" s="1056"/>
      <c r="Q188" s="1027"/>
      <c r="R188" s="1022"/>
      <c r="S188" s="1130">
        <v>98</v>
      </c>
      <c r="T188" s="1156">
        <v>52900664</v>
      </c>
    </row>
    <row r="189" spans="1:20" s="995" customFormat="1" ht="66" x14ac:dyDescent="0.3">
      <c r="A189" s="1023">
        <v>2022183</v>
      </c>
      <c r="B189" s="1023">
        <v>7655</v>
      </c>
      <c r="C189" s="1023" t="s">
        <v>668</v>
      </c>
      <c r="D189" s="1039" t="s">
        <v>686</v>
      </c>
      <c r="E189" s="1071">
        <v>80111600</v>
      </c>
      <c r="F189" s="1068" t="s">
        <v>871</v>
      </c>
      <c r="G189" s="1054" t="s">
        <v>1495</v>
      </c>
      <c r="H189" s="1054" t="s">
        <v>1495</v>
      </c>
      <c r="I189" s="1054" t="s">
        <v>1543</v>
      </c>
      <c r="J189" s="1043" t="s">
        <v>1535</v>
      </c>
      <c r="K189" s="1027" t="s">
        <v>674</v>
      </c>
      <c r="L189" s="1070" t="s">
        <v>675</v>
      </c>
      <c r="M189" s="1030">
        <v>79351000</v>
      </c>
      <c r="N189" s="1044" t="s">
        <v>730</v>
      </c>
      <c r="O189" s="1056" t="s">
        <v>1536</v>
      </c>
      <c r="P189" s="1056"/>
      <c r="Q189" s="1027"/>
      <c r="R189" s="1022"/>
      <c r="S189" s="1130">
        <v>154</v>
      </c>
      <c r="T189" s="1156">
        <v>52900664</v>
      </c>
    </row>
    <row r="190" spans="1:20" s="995" customFormat="1" ht="66" x14ac:dyDescent="0.3">
      <c r="A190" s="1023">
        <v>2022184</v>
      </c>
      <c r="B190" s="1023">
        <v>7655</v>
      </c>
      <c r="C190" s="1023" t="s">
        <v>668</v>
      </c>
      <c r="D190" s="1039" t="s">
        <v>682</v>
      </c>
      <c r="E190" s="1040">
        <v>80111600</v>
      </c>
      <c r="F190" s="1026" t="s">
        <v>872</v>
      </c>
      <c r="G190" s="1041">
        <v>44566</v>
      </c>
      <c r="H190" s="1041">
        <v>44568</v>
      </c>
      <c r="I190" s="1054" t="s">
        <v>1553</v>
      </c>
      <c r="J190" s="1043" t="s">
        <v>1535</v>
      </c>
      <c r="K190" s="1027" t="s">
        <v>674</v>
      </c>
      <c r="L190" s="1029" t="s">
        <v>780</v>
      </c>
      <c r="M190" s="1030">
        <v>106950000</v>
      </c>
      <c r="N190" s="1044" t="s">
        <v>730</v>
      </c>
      <c r="O190" s="1056" t="s">
        <v>1536</v>
      </c>
      <c r="P190" s="1056"/>
      <c r="Q190" s="1027"/>
      <c r="R190" s="1022"/>
      <c r="S190" s="1130">
        <v>18</v>
      </c>
      <c r="T190" s="1156">
        <v>106950000</v>
      </c>
    </row>
    <row r="191" spans="1:20" s="995" customFormat="1" ht="66" x14ac:dyDescent="0.3">
      <c r="A191" s="1023">
        <v>2022185</v>
      </c>
      <c r="B191" s="1023">
        <v>7655</v>
      </c>
      <c r="C191" s="1023" t="s">
        <v>668</v>
      </c>
      <c r="D191" s="1039" t="s">
        <v>682</v>
      </c>
      <c r="E191" s="1040">
        <v>80111600</v>
      </c>
      <c r="F191" s="1026" t="s">
        <v>873</v>
      </c>
      <c r="G191" s="1041">
        <v>44566</v>
      </c>
      <c r="H191" s="1041">
        <v>44568</v>
      </c>
      <c r="I191" s="1054" t="s">
        <v>1553</v>
      </c>
      <c r="J191" s="1043" t="s">
        <v>1535</v>
      </c>
      <c r="K191" s="1027" t="s">
        <v>674</v>
      </c>
      <c r="L191" s="1029" t="s">
        <v>780</v>
      </c>
      <c r="M191" s="1030">
        <v>78200000</v>
      </c>
      <c r="N191" s="1044" t="s">
        <v>730</v>
      </c>
      <c r="O191" s="1056" t="s">
        <v>1536</v>
      </c>
      <c r="P191" s="1056"/>
      <c r="Q191" s="1027"/>
      <c r="R191" s="1022"/>
      <c r="S191" s="1130">
        <v>262</v>
      </c>
      <c r="T191" s="1156">
        <v>78200000</v>
      </c>
    </row>
    <row r="192" spans="1:20" s="995" customFormat="1" ht="66" x14ac:dyDescent="0.3">
      <c r="A192" s="1023">
        <v>2022186</v>
      </c>
      <c r="B192" s="1023">
        <v>7655</v>
      </c>
      <c r="C192" s="1023" t="s">
        <v>668</v>
      </c>
      <c r="D192" s="1039" t="s">
        <v>682</v>
      </c>
      <c r="E192" s="1040">
        <v>80111600</v>
      </c>
      <c r="F192" s="1026" t="s">
        <v>874</v>
      </c>
      <c r="G192" s="1041">
        <v>44566</v>
      </c>
      <c r="H192" s="1041">
        <v>44568</v>
      </c>
      <c r="I192" s="1054" t="s">
        <v>1553</v>
      </c>
      <c r="J192" s="1043" t="s">
        <v>1535</v>
      </c>
      <c r="K192" s="1027" t="s">
        <v>674</v>
      </c>
      <c r="L192" s="1029" t="s">
        <v>780</v>
      </c>
      <c r="M192" s="1030">
        <v>92000000</v>
      </c>
      <c r="N192" s="1044" t="s">
        <v>730</v>
      </c>
      <c r="O192" s="1056" t="s">
        <v>1536</v>
      </c>
      <c r="P192" s="1056"/>
      <c r="Q192" s="1027"/>
      <c r="R192" s="1022"/>
      <c r="S192" s="1130">
        <v>17</v>
      </c>
      <c r="T192" s="1156">
        <v>92000000</v>
      </c>
    </row>
    <row r="193" spans="1:20" s="995" customFormat="1" ht="79.2" x14ac:dyDescent="0.3">
      <c r="A193" s="1023">
        <v>2022187</v>
      </c>
      <c r="B193" s="1023">
        <v>7655</v>
      </c>
      <c r="C193" s="1023" t="s">
        <v>668</v>
      </c>
      <c r="D193" s="1039" t="s">
        <v>682</v>
      </c>
      <c r="E193" s="1040">
        <v>80111600</v>
      </c>
      <c r="F193" s="1026" t="s">
        <v>875</v>
      </c>
      <c r="G193" s="1041">
        <v>44566</v>
      </c>
      <c r="H193" s="1041">
        <v>44568</v>
      </c>
      <c r="I193" s="1054" t="s">
        <v>1553</v>
      </c>
      <c r="J193" s="1043" t="s">
        <v>1535</v>
      </c>
      <c r="K193" s="1027" t="s">
        <v>674</v>
      </c>
      <c r="L193" s="1029" t="s">
        <v>675</v>
      </c>
      <c r="M193" s="1030">
        <v>80500000</v>
      </c>
      <c r="N193" s="1044" t="s">
        <v>730</v>
      </c>
      <c r="O193" s="1056" t="s">
        <v>1536</v>
      </c>
      <c r="P193" s="1056"/>
      <c r="Q193" s="1027"/>
      <c r="R193" s="1022"/>
      <c r="S193" s="1130">
        <v>52</v>
      </c>
      <c r="T193" s="1156">
        <v>80500000</v>
      </c>
    </row>
    <row r="194" spans="1:20" s="995" customFormat="1" ht="66" x14ac:dyDescent="0.3">
      <c r="A194" s="1023">
        <v>2022188</v>
      </c>
      <c r="B194" s="1023">
        <v>7655</v>
      </c>
      <c r="C194" s="1023" t="s">
        <v>668</v>
      </c>
      <c r="D194" s="1039" t="s">
        <v>682</v>
      </c>
      <c r="E194" s="1040">
        <v>80111600</v>
      </c>
      <c r="F194" s="1026" t="s">
        <v>876</v>
      </c>
      <c r="G194" s="1041">
        <v>44566</v>
      </c>
      <c r="H194" s="1041">
        <v>44568</v>
      </c>
      <c r="I194" s="1054" t="s">
        <v>1553</v>
      </c>
      <c r="J194" s="1043" t="s">
        <v>1535</v>
      </c>
      <c r="K194" s="1027" t="s">
        <v>674</v>
      </c>
      <c r="L194" s="1029" t="s">
        <v>780</v>
      </c>
      <c r="M194" s="1030">
        <v>87975000</v>
      </c>
      <c r="N194" s="1044" t="s">
        <v>730</v>
      </c>
      <c r="O194" s="1056" t="s">
        <v>1536</v>
      </c>
      <c r="P194" s="1056"/>
      <c r="Q194" s="1027"/>
      <c r="R194" s="1022"/>
      <c r="S194" s="1130">
        <v>13</v>
      </c>
      <c r="T194" s="1156">
        <v>87975000</v>
      </c>
    </row>
    <row r="195" spans="1:20" s="995" customFormat="1" ht="66" x14ac:dyDescent="0.3">
      <c r="A195" s="1023">
        <v>2022189</v>
      </c>
      <c r="B195" s="1023">
        <v>7655</v>
      </c>
      <c r="C195" s="1023" t="s">
        <v>668</v>
      </c>
      <c r="D195" s="1039" t="s">
        <v>682</v>
      </c>
      <c r="E195" s="1040">
        <v>80111600</v>
      </c>
      <c r="F195" s="1026" t="s">
        <v>876</v>
      </c>
      <c r="G195" s="1041">
        <v>44566</v>
      </c>
      <c r="H195" s="1041">
        <v>44568</v>
      </c>
      <c r="I195" s="1054" t="s">
        <v>1553</v>
      </c>
      <c r="J195" s="1043" t="s">
        <v>1535</v>
      </c>
      <c r="K195" s="1027" t="s">
        <v>674</v>
      </c>
      <c r="L195" s="1029" t="s">
        <v>780</v>
      </c>
      <c r="M195" s="1030">
        <v>87975000</v>
      </c>
      <c r="N195" s="1044" t="s">
        <v>730</v>
      </c>
      <c r="O195" s="1056" t="s">
        <v>1536</v>
      </c>
      <c r="P195" s="1056"/>
      <c r="Q195" s="1027"/>
      <c r="R195" s="1022"/>
      <c r="S195" s="1130">
        <v>14</v>
      </c>
      <c r="T195" s="1156">
        <v>87975000</v>
      </c>
    </row>
    <row r="196" spans="1:20" s="995" customFormat="1" ht="66" x14ac:dyDescent="0.3">
      <c r="A196" s="1023">
        <v>2022190</v>
      </c>
      <c r="B196" s="1023">
        <v>7655</v>
      </c>
      <c r="C196" s="1023" t="s">
        <v>668</v>
      </c>
      <c r="D196" s="1039" t="s">
        <v>682</v>
      </c>
      <c r="E196" s="1040">
        <v>80111600</v>
      </c>
      <c r="F196" s="1026" t="s">
        <v>876</v>
      </c>
      <c r="G196" s="1041">
        <v>44566</v>
      </c>
      <c r="H196" s="1041">
        <v>44568</v>
      </c>
      <c r="I196" s="1054" t="s">
        <v>1553</v>
      </c>
      <c r="J196" s="1043" t="s">
        <v>1535</v>
      </c>
      <c r="K196" s="1027" t="s">
        <v>674</v>
      </c>
      <c r="L196" s="1029" t="s">
        <v>780</v>
      </c>
      <c r="M196" s="1030">
        <v>87975000</v>
      </c>
      <c r="N196" s="1044" t="s">
        <v>730</v>
      </c>
      <c r="O196" s="1056" t="s">
        <v>1536</v>
      </c>
      <c r="P196" s="1056"/>
      <c r="Q196" s="1027"/>
      <c r="R196" s="1022"/>
      <c r="S196" s="1130">
        <v>16</v>
      </c>
      <c r="T196" s="1156">
        <v>87975000</v>
      </c>
    </row>
    <row r="197" spans="1:20" s="995" customFormat="1" ht="66" x14ac:dyDescent="0.3">
      <c r="A197" s="1023">
        <v>2022191</v>
      </c>
      <c r="B197" s="1023">
        <v>7655</v>
      </c>
      <c r="C197" s="1023" t="s">
        <v>668</v>
      </c>
      <c r="D197" s="1039" t="s">
        <v>682</v>
      </c>
      <c r="E197" s="1040">
        <v>80111600</v>
      </c>
      <c r="F197" s="1026" t="s">
        <v>876</v>
      </c>
      <c r="G197" s="1041">
        <v>44566</v>
      </c>
      <c r="H197" s="1041">
        <v>44568</v>
      </c>
      <c r="I197" s="1054" t="s">
        <v>1553</v>
      </c>
      <c r="J197" s="1043" t="s">
        <v>1535</v>
      </c>
      <c r="K197" s="1027" t="s">
        <v>674</v>
      </c>
      <c r="L197" s="1029" t="s">
        <v>780</v>
      </c>
      <c r="M197" s="1030">
        <v>87975000</v>
      </c>
      <c r="N197" s="1044" t="s">
        <v>730</v>
      </c>
      <c r="O197" s="1056" t="s">
        <v>1536</v>
      </c>
      <c r="P197" s="1056"/>
      <c r="Q197" s="1027"/>
      <c r="R197" s="1022"/>
      <c r="S197" s="1130">
        <v>62</v>
      </c>
      <c r="T197" s="1156">
        <v>87975000</v>
      </c>
    </row>
    <row r="198" spans="1:20" s="995" customFormat="1" ht="66" x14ac:dyDescent="0.3">
      <c r="A198" s="1023">
        <v>2022192</v>
      </c>
      <c r="B198" s="1023">
        <v>7655</v>
      </c>
      <c r="C198" s="1023" t="s">
        <v>668</v>
      </c>
      <c r="D198" s="1039" t="s">
        <v>682</v>
      </c>
      <c r="E198" s="1040">
        <v>80111600</v>
      </c>
      <c r="F198" s="1026" t="s">
        <v>876</v>
      </c>
      <c r="G198" s="1041">
        <v>44566</v>
      </c>
      <c r="H198" s="1041">
        <v>44568</v>
      </c>
      <c r="I198" s="1054" t="s">
        <v>1553</v>
      </c>
      <c r="J198" s="1043" t="s">
        <v>1535</v>
      </c>
      <c r="K198" s="1027" t="s">
        <v>674</v>
      </c>
      <c r="L198" s="1029" t="s">
        <v>780</v>
      </c>
      <c r="M198" s="1030">
        <v>87975000</v>
      </c>
      <c r="N198" s="1044" t="s">
        <v>730</v>
      </c>
      <c r="O198" s="1056" t="s">
        <v>1536</v>
      </c>
      <c r="P198" s="1056"/>
      <c r="Q198" s="1027"/>
      <c r="R198" s="1022"/>
      <c r="S198" s="1130">
        <v>131</v>
      </c>
      <c r="T198" s="1156">
        <v>87975000</v>
      </c>
    </row>
    <row r="199" spans="1:20" s="995" customFormat="1" ht="66" x14ac:dyDescent="0.3">
      <c r="A199" s="1023">
        <v>2022193</v>
      </c>
      <c r="B199" s="1023">
        <v>7655</v>
      </c>
      <c r="C199" s="1023" t="s">
        <v>668</v>
      </c>
      <c r="D199" s="1039" t="s">
        <v>682</v>
      </c>
      <c r="E199" s="1040">
        <v>80111600</v>
      </c>
      <c r="F199" s="1026" t="s">
        <v>876</v>
      </c>
      <c r="G199" s="1041">
        <v>44566</v>
      </c>
      <c r="H199" s="1041">
        <v>44568</v>
      </c>
      <c r="I199" s="1054" t="s">
        <v>1553</v>
      </c>
      <c r="J199" s="1043" t="s">
        <v>1535</v>
      </c>
      <c r="K199" s="1027" t="s">
        <v>674</v>
      </c>
      <c r="L199" s="1029" t="s">
        <v>780</v>
      </c>
      <c r="M199" s="1030">
        <v>87975000</v>
      </c>
      <c r="N199" s="1044" t="s">
        <v>730</v>
      </c>
      <c r="O199" s="1056" t="s">
        <v>1536</v>
      </c>
      <c r="P199" s="1056"/>
      <c r="Q199" s="1027"/>
      <c r="R199" s="1022"/>
      <c r="S199" s="1130">
        <v>15</v>
      </c>
      <c r="T199" s="1156">
        <v>87975000</v>
      </c>
    </row>
    <row r="200" spans="1:20" s="995" customFormat="1" ht="66" x14ac:dyDescent="0.3">
      <c r="A200" s="1023">
        <v>2022194</v>
      </c>
      <c r="B200" s="1023">
        <v>7655</v>
      </c>
      <c r="C200" s="1023" t="s">
        <v>668</v>
      </c>
      <c r="D200" s="1039" t="s">
        <v>682</v>
      </c>
      <c r="E200" s="1040">
        <v>80111600</v>
      </c>
      <c r="F200" s="1026" t="s">
        <v>877</v>
      </c>
      <c r="G200" s="1041">
        <v>44566</v>
      </c>
      <c r="H200" s="1041">
        <v>44568</v>
      </c>
      <c r="I200" s="1054" t="s">
        <v>1553</v>
      </c>
      <c r="J200" s="1043" t="s">
        <v>1535</v>
      </c>
      <c r="K200" s="1027" t="s">
        <v>674</v>
      </c>
      <c r="L200" s="1029" t="s">
        <v>780</v>
      </c>
      <c r="M200" s="1030">
        <v>42642000</v>
      </c>
      <c r="N200" s="1044" t="s">
        <v>730</v>
      </c>
      <c r="O200" s="1056" t="s">
        <v>1536</v>
      </c>
      <c r="P200" s="1056"/>
      <c r="Q200" s="1027"/>
      <c r="R200" s="1022"/>
      <c r="S200" s="1130">
        <v>47</v>
      </c>
      <c r="T200" s="1156">
        <v>42642000</v>
      </c>
    </row>
    <row r="201" spans="1:20" s="995" customFormat="1" ht="66" x14ac:dyDescent="0.3">
      <c r="A201" s="1023">
        <v>2022195</v>
      </c>
      <c r="B201" s="1023">
        <v>7655</v>
      </c>
      <c r="C201" s="1023" t="s">
        <v>668</v>
      </c>
      <c r="D201" s="1039" t="s">
        <v>682</v>
      </c>
      <c r="E201" s="1040">
        <v>80111600</v>
      </c>
      <c r="F201" s="1026" t="s">
        <v>877</v>
      </c>
      <c r="G201" s="1041">
        <v>44566</v>
      </c>
      <c r="H201" s="1041">
        <v>44568</v>
      </c>
      <c r="I201" s="1054" t="s">
        <v>1553</v>
      </c>
      <c r="J201" s="1043" t="s">
        <v>1535</v>
      </c>
      <c r="K201" s="1027" t="s">
        <v>674</v>
      </c>
      <c r="L201" s="1029" t="s">
        <v>780</v>
      </c>
      <c r="M201" s="1030">
        <v>42642000</v>
      </c>
      <c r="N201" s="1044" t="s">
        <v>730</v>
      </c>
      <c r="O201" s="1056" t="s">
        <v>1536</v>
      </c>
      <c r="P201" s="1056"/>
      <c r="Q201" s="1027"/>
      <c r="R201" s="1022"/>
      <c r="S201" s="1130">
        <v>41</v>
      </c>
      <c r="T201" s="1156">
        <v>42642000</v>
      </c>
    </row>
    <row r="202" spans="1:20" s="995" customFormat="1" ht="66" x14ac:dyDescent="0.3">
      <c r="A202" s="1023">
        <v>2022196</v>
      </c>
      <c r="B202" s="1023">
        <v>7655</v>
      </c>
      <c r="C202" s="1023" t="s">
        <v>668</v>
      </c>
      <c r="D202" s="1039" t="s">
        <v>682</v>
      </c>
      <c r="E202" s="1040">
        <v>80111600</v>
      </c>
      <c r="F202" s="1026" t="s">
        <v>876</v>
      </c>
      <c r="G202" s="1041">
        <v>44566</v>
      </c>
      <c r="H202" s="1041">
        <v>44568</v>
      </c>
      <c r="I202" s="1054" t="s">
        <v>1554</v>
      </c>
      <c r="J202" s="1043" t="s">
        <v>1535</v>
      </c>
      <c r="K202" s="1027" t="s">
        <v>674</v>
      </c>
      <c r="L202" s="1029" t="s">
        <v>780</v>
      </c>
      <c r="M202" s="1030">
        <v>71103000</v>
      </c>
      <c r="N202" s="1044" t="s">
        <v>730</v>
      </c>
      <c r="O202" s="1056" t="s">
        <v>1536</v>
      </c>
      <c r="P202" s="1056"/>
      <c r="Q202" s="1027"/>
      <c r="R202" s="1022"/>
      <c r="S202" s="1130">
        <v>86</v>
      </c>
      <c r="T202" s="1156">
        <v>70890000</v>
      </c>
    </row>
    <row r="203" spans="1:20" s="995" customFormat="1" ht="66" x14ac:dyDescent="0.3">
      <c r="A203" s="1023">
        <v>2022197</v>
      </c>
      <c r="B203" s="1023">
        <v>7655</v>
      </c>
      <c r="C203" s="1023" t="s">
        <v>668</v>
      </c>
      <c r="D203" s="1039" t="s">
        <v>682</v>
      </c>
      <c r="E203" s="1040">
        <v>80111600</v>
      </c>
      <c r="F203" s="1026" t="s">
        <v>878</v>
      </c>
      <c r="G203" s="1041">
        <v>44566</v>
      </c>
      <c r="H203" s="1041">
        <v>44568</v>
      </c>
      <c r="I203" s="1054" t="s">
        <v>1553</v>
      </c>
      <c r="J203" s="1043" t="s">
        <v>1535</v>
      </c>
      <c r="K203" s="1027" t="s">
        <v>674</v>
      </c>
      <c r="L203" s="1029" t="s">
        <v>780</v>
      </c>
      <c r="M203" s="1030">
        <v>61295000</v>
      </c>
      <c r="N203" s="1044" t="s">
        <v>730</v>
      </c>
      <c r="O203" s="1056" t="s">
        <v>1536</v>
      </c>
      <c r="P203" s="1056"/>
      <c r="Q203" s="1027"/>
      <c r="R203" s="1022"/>
      <c r="S203" s="1130">
        <v>12</v>
      </c>
      <c r="T203" s="1156">
        <v>61295000</v>
      </c>
    </row>
    <row r="204" spans="1:20" s="995" customFormat="1" ht="66" x14ac:dyDescent="0.3">
      <c r="A204" s="1023">
        <v>2022198</v>
      </c>
      <c r="B204" s="1023">
        <v>7655</v>
      </c>
      <c r="C204" s="1023" t="s">
        <v>668</v>
      </c>
      <c r="D204" s="1039" t="s">
        <v>682</v>
      </c>
      <c r="E204" s="1040">
        <v>80111600</v>
      </c>
      <c r="F204" s="1026" t="s">
        <v>879</v>
      </c>
      <c r="G204" s="1041">
        <v>44566</v>
      </c>
      <c r="H204" s="1041">
        <v>44568</v>
      </c>
      <c r="I204" s="1054" t="s">
        <v>1553</v>
      </c>
      <c r="J204" s="1043" t="s">
        <v>1535</v>
      </c>
      <c r="K204" s="1027" t="s">
        <v>674</v>
      </c>
      <c r="L204" s="1029" t="s">
        <v>780</v>
      </c>
      <c r="M204" s="1030">
        <v>358041000</v>
      </c>
      <c r="N204" s="1044" t="s">
        <v>730</v>
      </c>
      <c r="O204" s="1056" t="s">
        <v>1536</v>
      </c>
      <c r="P204" s="1056"/>
      <c r="Q204" s="1027"/>
      <c r="R204" s="1022"/>
      <c r="S204" s="1130">
        <v>299</v>
      </c>
      <c r="T204" s="1156">
        <v>358041000</v>
      </c>
    </row>
    <row r="205" spans="1:20" s="995" customFormat="1" ht="66" x14ac:dyDescent="0.3">
      <c r="A205" s="1023">
        <v>2022199</v>
      </c>
      <c r="B205" s="1023">
        <v>7655</v>
      </c>
      <c r="C205" s="1023" t="s">
        <v>668</v>
      </c>
      <c r="D205" s="1039" t="s">
        <v>682</v>
      </c>
      <c r="E205" s="1040">
        <v>80111600</v>
      </c>
      <c r="F205" s="1026" t="s">
        <v>880</v>
      </c>
      <c r="G205" s="1041">
        <v>44566</v>
      </c>
      <c r="H205" s="1041">
        <v>44568</v>
      </c>
      <c r="I205" s="1054" t="s">
        <v>1553</v>
      </c>
      <c r="J205" s="1043" t="s">
        <v>1535</v>
      </c>
      <c r="K205" s="1027" t="s">
        <v>674</v>
      </c>
      <c r="L205" s="1029" t="s">
        <v>675</v>
      </c>
      <c r="M205" s="1030">
        <v>38525000</v>
      </c>
      <c r="N205" s="1044" t="s">
        <v>730</v>
      </c>
      <c r="O205" s="1056" t="s">
        <v>1536</v>
      </c>
      <c r="P205" s="1056"/>
      <c r="Q205" s="1027"/>
      <c r="R205" s="1022"/>
      <c r="S205" s="1130">
        <v>120</v>
      </c>
      <c r="T205" s="1156">
        <v>38525000</v>
      </c>
    </row>
    <row r="206" spans="1:20" s="995" customFormat="1" ht="66" x14ac:dyDescent="0.3">
      <c r="A206" s="1023">
        <v>2022200</v>
      </c>
      <c r="B206" s="1023">
        <v>7655</v>
      </c>
      <c r="C206" s="1023" t="s">
        <v>668</v>
      </c>
      <c r="D206" s="1039" t="s">
        <v>682</v>
      </c>
      <c r="E206" s="1040">
        <v>80111600</v>
      </c>
      <c r="F206" s="1026" t="s">
        <v>881</v>
      </c>
      <c r="G206" s="1041">
        <v>44566</v>
      </c>
      <c r="H206" s="1041">
        <v>44568</v>
      </c>
      <c r="I206" s="1054" t="s">
        <v>1553</v>
      </c>
      <c r="J206" s="1043" t="s">
        <v>1535</v>
      </c>
      <c r="K206" s="1027" t="s">
        <v>674</v>
      </c>
      <c r="L206" s="1029" t="s">
        <v>675</v>
      </c>
      <c r="M206" s="1030">
        <v>32200000</v>
      </c>
      <c r="N206" s="1044" t="s">
        <v>730</v>
      </c>
      <c r="O206" s="1056" t="s">
        <v>1536</v>
      </c>
      <c r="P206" s="1056"/>
      <c r="Q206" s="1027"/>
      <c r="R206" s="1022"/>
      <c r="S206" s="1130">
        <v>40</v>
      </c>
      <c r="T206" s="1156">
        <v>32200000</v>
      </c>
    </row>
    <row r="207" spans="1:20" s="995" customFormat="1" ht="66" x14ac:dyDescent="0.3">
      <c r="A207" s="1023">
        <v>2022201</v>
      </c>
      <c r="B207" s="1023">
        <v>7655</v>
      </c>
      <c r="C207" s="1023" t="s">
        <v>668</v>
      </c>
      <c r="D207" s="1039" t="s">
        <v>682</v>
      </c>
      <c r="E207" s="1040">
        <v>80111600</v>
      </c>
      <c r="F207" s="1026" t="s">
        <v>881</v>
      </c>
      <c r="G207" s="1041">
        <v>44566</v>
      </c>
      <c r="H207" s="1041">
        <v>44568</v>
      </c>
      <c r="I207" s="1054" t="s">
        <v>1553</v>
      </c>
      <c r="J207" s="1043" t="s">
        <v>1535</v>
      </c>
      <c r="K207" s="1027" t="s">
        <v>674</v>
      </c>
      <c r="L207" s="1029" t="s">
        <v>675</v>
      </c>
      <c r="M207" s="1030">
        <v>32200000</v>
      </c>
      <c r="N207" s="1044" t="s">
        <v>730</v>
      </c>
      <c r="O207" s="1056" t="s">
        <v>1536</v>
      </c>
      <c r="P207" s="1056"/>
      <c r="Q207" s="1027"/>
      <c r="R207" s="1022"/>
      <c r="S207" s="1130">
        <v>57</v>
      </c>
      <c r="T207" s="1156">
        <v>32200000</v>
      </c>
    </row>
    <row r="208" spans="1:20" s="995" customFormat="1" ht="66" x14ac:dyDescent="0.3">
      <c r="A208" s="1023">
        <v>2022202</v>
      </c>
      <c r="B208" s="1023">
        <v>7655</v>
      </c>
      <c r="C208" s="1023" t="s">
        <v>668</v>
      </c>
      <c r="D208" s="1039" t="s">
        <v>682</v>
      </c>
      <c r="E208" s="1040">
        <v>80111600</v>
      </c>
      <c r="F208" s="1026" t="s">
        <v>881</v>
      </c>
      <c r="G208" s="1041">
        <v>44566</v>
      </c>
      <c r="H208" s="1041">
        <v>44568</v>
      </c>
      <c r="I208" s="1054" t="s">
        <v>1553</v>
      </c>
      <c r="J208" s="1043" t="s">
        <v>1535</v>
      </c>
      <c r="K208" s="1027" t="s">
        <v>674</v>
      </c>
      <c r="L208" s="1029" t="s">
        <v>675</v>
      </c>
      <c r="M208" s="1030">
        <v>32200000</v>
      </c>
      <c r="N208" s="1044" t="s">
        <v>730</v>
      </c>
      <c r="O208" s="1056" t="s">
        <v>1536</v>
      </c>
      <c r="P208" s="1056"/>
      <c r="Q208" s="1027"/>
      <c r="R208" s="1022"/>
      <c r="S208" s="1130">
        <v>125</v>
      </c>
      <c r="T208" s="1156">
        <v>32200000</v>
      </c>
    </row>
    <row r="209" spans="1:20" s="995" customFormat="1" ht="66" x14ac:dyDescent="0.3">
      <c r="A209" s="1023">
        <v>2022203</v>
      </c>
      <c r="B209" s="1023">
        <v>7655</v>
      </c>
      <c r="C209" s="1023" t="s">
        <v>668</v>
      </c>
      <c r="D209" s="1039" t="s">
        <v>682</v>
      </c>
      <c r="E209" s="1040">
        <v>80111600</v>
      </c>
      <c r="F209" s="1026" t="s">
        <v>881</v>
      </c>
      <c r="G209" s="1041">
        <v>44566</v>
      </c>
      <c r="H209" s="1041">
        <v>44568</v>
      </c>
      <c r="I209" s="1054" t="s">
        <v>1553</v>
      </c>
      <c r="J209" s="1043" t="s">
        <v>1535</v>
      </c>
      <c r="K209" s="1027" t="s">
        <v>674</v>
      </c>
      <c r="L209" s="1029" t="s">
        <v>675</v>
      </c>
      <c r="M209" s="1030">
        <v>37950000</v>
      </c>
      <c r="N209" s="1044" t="s">
        <v>730</v>
      </c>
      <c r="O209" s="1056" t="s">
        <v>1536</v>
      </c>
      <c r="P209" s="1056"/>
      <c r="Q209" s="1027"/>
      <c r="R209" s="1022"/>
      <c r="S209" s="1130">
        <v>46</v>
      </c>
      <c r="T209" s="1156">
        <v>37950000</v>
      </c>
    </row>
    <row r="210" spans="1:20" s="995" customFormat="1" ht="66" x14ac:dyDescent="0.3">
      <c r="A210" s="1023">
        <v>2022204</v>
      </c>
      <c r="B210" s="1023">
        <v>7655</v>
      </c>
      <c r="C210" s="1023" t="s">
        <v>668</v>
      </c>
      <c r="D210" s="1039" t="s">
        <v>682</v>
      </c>
      <c r="E210" s="1040">
        <v>80111600</v>
      </c>
      <c r="F210" s="1026" t="s">
        <v>882</v>
      </c>
      <c r="G210" s="1041">
        <v>44566</v>
      </c>
      <c r="H210" s="1041">
        <v>44568</v>
      </c>
      <c r="I210" s="1054" t="s">
        <v>1553</v>
      </c>
      <c r="J210" s="1043" t="s">
        <v>1535</v>
      </c>
      <c r="K210" s="1027" t="s">
        <v>674</v>
      </c>
      <c r="L210" s="1029" t="s">
        <v>675</v>
      </c>
      <c r="M210" s="1030">
        <v>52900000</v>
      </c>
      <c r="N210" s="1044" t="s">
        <v>730</v>
      </c>
      <c r="O210" s="1056" t="s">
        <v>1536</v>
      </c>
      <c r="P210" s="1056"/>
      <c r="Q210" s="1027"/>
      <c r="R210" s="1022"/>
      <c r="S210" s="1130">
        <v>42</v>
      </c>
      <c r="T210" s="1156">
        <v>51750000</v>
      </c>
    </row>
    <row r="211" spans="1:20" s="995" customFormat="1" ht="66" x14ac:dyDescent="0.3">
      <c r="A211" s="1023">
        <v>2022205</v>
      </c>
      <c r="B211" s="1023">
        <v>7655</v>
      </c>
      <c r="C211" s="1023" t="s">
        <v>668</v>
      </c>
      <c r="D211" s="1039" t="s">
        <v>682</v>
      </c>
      <c r="E211" s="1040">
        <v>80111600</v>
      </c>
      <c r="F211" s="1026" t="s">
        <v>883</v>
      </c>
      <c r="G211" s="1041">
        <v>44566</v>
      </c>
      <c r="H211" s="1041">
        <v>44568</v>
      </c>
      <c r="I211" s="1054" t="s">
        <v>1537</v>
      </c>
      <c r="J211" s="1043" t="s">
        <v>1535</v>
      </c>
      <c r="K211" s="1027" t="s">
        <v>674</v>
      </c>
      <c r="L211" s="1029" t="s">
        <v>675</v>
      </c>
      <c r="M211" s="1030">
        <v>37080000</v>
      </c>
      <c r="N211" s="1044" t="s">
        <v>730</v>
      </c>
      <c r="O211" s="1056" t="s">
        <v>1536</v>
      </c>
      <c r="P211" s="1056"/>
      <c r="Q211" s="1027"/>
      <c r="R211" s="1022"/>
      <c r="S211" s="1130">
        <v>58</v>
      </c>
      <c r="T211" s="1156">
        <v>37080000</v>
      </c>
    </row>
    <row r="212" spans="1:20" s="995" customFormat="1" ht="66" x14ac:dyDescent="0.3">
      <c r="A212" s="1023">
        <v>2022206</v>
      </c>
      <c r="B212" s="1023">
        <v>7655</v>
      </c>
      <c r="C212" s="1023" t="s">
        <v>668</v>
      </c>
      <c r="D212" s="1039" t="s">
        <v>682</v>
      </c>
      <c r="E212" s="1040">
        <v>80111600</v>
      </c>
      <c r="F212" s="1026" t="s">
        <v>884</v>
      </c>
      <c r="G212" s="1041">
        <v>44566</v>
      </c>
      <c r="H212" s="1041">
        <v>44568</v>
      </c>
      <c r="I212" s="1054" t="s">
        <v>1537</v>
      </c>
      <c r="J212" s="1043" t="s">
        <v>1535</v>
      </c>
      <c r="K212" s="1027" t="s">
        <v>674</v>
      </c>
      <c r="L212" s="1029" t="s">
        <v>675</v>
      </c>
      <c r="M212" s="1030">
        <v>16800000</v>
      </c>
      <c r="N212" s="1044" t="s">
        <v>730</v>
      </c>
      <c r="O212" s="1056" t="s">
        <v>1536</v>
      </c>
      <c r="P212" s="1056"/>
      <c r="Q212" s="1027"/>
      <c r="R212" s="1022"/>
      <c r="S212" s="1130">
        <v>39</v>
      </c>
      <c r="T212" s="1156">
        <v>16800000</v>
      </c>
    </row>
    <row r="213" spans="1:20" s="995" customFormat="1" ht="66" x14ac:dyDescent="0.3">
      <c r="A213" s="1023">
        <v>2022207</v>
      </c>
      <c r="B213" s="1023">
        <v>7655</v>
      </c>
      <c r="C213" s="1023" t="s">
        <v>668</v>
      </c>
      <c r="D213" s="1039" t="s">
        <v>682</v>
      </c>
      <c r="E213" s="1040">
        <v>80111600</v>
      </c>
      <c r="F213" s="1026" t="s">
        <v>885</v>
      </c>
      <c r="G213" s="1041">
        <v>44566</v>
      </c>
      <c r="H213" s="1041">
        <v>44568</v>
      </c>
      <c r="I213" s="1054" t="s">
        <v>1555</v>
      </c>
      <c r="J213" s="1043" t="s">
        <v>1535</v>
      </c>
      <c r="K213" s="1027" t="s">
        <v>674</v>
      </c>
      <c r="L213" s="1029" t="s">
        <v>675</v>
      </c>
      <c r="M213" s="1030">
        <v>17500000</v>
      </c>
      <c r="N213" s="1044" t="s">
        <v>730</v>
      </c>
      <c r="O213" s="1056" t="s">
        <v>1536</v>
      </c>
      <c r="P213" s="1056"/>
      <c r="Q213" s="1027"/>
      <c r="R213" s="1022"/>
      <c r="S213" s="1130">
        <v>64</v>
      </c>
      <c r="T213" s="1156">
        <v>17500000</v>
      </c>
    </row>
    <row r="214" spans="1:20" s="995" customFormat="1" ht="79.2" x14ac:dyDescent="0.3">
      <c r="A214" s="1023">
        <v>2022208</v>
      </c>
      <c r="B214" s="1023">
        <v>7655</v>
      </c>
      <c r="C214" s="1023" t="s">
        <v>668</v>
      </c>
      <c r="D214" s="1039" t="s">
        <v>671</v>
      </c>
      <c r="E214" s="1040">
        <v>80111600</v>
      </c>
      <c r="F214" s="1026" t="s">
        <v>886</v>
      </c>
      <c r="G214" s="1041" t="s">
        <v>1495</v>
      </c>
      <c r="H214" s="1028" t="s">
        <v>1495</v>
      </c>
      <c r="I214" s="1072" t="s">
        <v>1556</v>
      </c>
      <c r="J214" s="1043" t="s">
        <v>1535</v>
      </c>
      <c r="K214" s="1027" t="s">
        <v>674</v>
      </c>
      <c r="L214" s="1073" t="s">
        <v>675</v>
      </c>
      <c r="M214" s="1030">
        <v>106950000</v>
      </c>
      <c r="N214" s="1044" t="s">
        <v>730</v>
      </c>
      <c r="O214" s="1056" t="s">
        <v>1536</v>
      </c>
      <c r="P214" s="1056"/>
      <c r="Q214" s="1027"/>
      <c r="R214" s="1022"/>
      <c r="S214" s="1130">
        <v>351</v>
      </c>
      <c r="T214" s="1156">
        <v>102300000</v>
      </c>
    </row>
    <row r="215" spans="1:20" s="995" customFormat="1" ht="66" x14ac:dyDescent="0.3">
      <c r="A215" s="1023">
        <v>2022209</v>
      </c>
      <c r="B215" s="1023">
        <v>7655</v>
      </c>
      <c r="C215" s="1023" t="s">
        <v>668</v>
      </c>
      <c r="D215" s="1039" t="s">
        <v>671</v>
      </c>
      <c r="E215" s="1040">
        <v>80111600</v>
      </c>
      <c r="F215" s="1026" t="s">
        <v>887</v>
      </c>
      <c r="G215" s="1041" t="s">
        <v>1495</v>
      </c>
      <c r="H215" s="1028" t="s">
        <v>1495</v>
      </c>
      <c r="I215" s="1072" t="s">
        <v>1556</v>
      </c>
      <c r="J215" s="1043" t="s">
        <v>1535</v>
      </c>
      <c r="K215" s="1027" t="s">
        <v>674</v>
      </c>
      <c r="L215" s="1073" t="s">
        <v>675</v>
      </c>
      <c r="M215" s="1030">
        <v>97750000</v>
      </c>
      <c r="N215" s="1044" t="s">
        <v>730</v>
      </c>
      <c r="O215" s="1056" t="s">
        <v>1536</v>
      </c>
      <c r="P215" s="1056"/>
      <c r="Q215" s="1027"/>
      <c r="R215" s="1022"/>
      <c r="S215" s="1130">
        <v>443</v>
      </c>
      <c r="T215" s="1156">
        <v>93500000</v>
      </c>
    </row>
    <row r="216" spans="1:20" s="995" customFormat="1" ht="66" x14ac:dyDescent="0.3">
      <c r="A216" s="1023">
        <v>2022210</v>
      </c>
      <c r="B216" s="1023">
        <v>7655</v>
      </c>
      <c r="C216" s="1023" t="s">
        <v>668</v>
      </c>
      <c r="D216" s="1039" t="s">
        <v>671</v>
      </c>
      <c r="E216" s="1040">
        <v>80111600</v>
      </c>
      <c r="F216" s="1026" t="s">
        <v>888</v>
      </c>
      <c r="G216" s="1041" t="s">
        <v>1495</v>
      </c>
      <c r="H216" s="1028" t="s">
        <v>1495</v>
      </c>
      <c r="I216" s="1072" t="s">
        <v>1556</v>
      </c>
      <c r="J216" s="1043" t="s">
        <v>1535</v>
      </c>
      <c r="K216" s="1027" t="s">
        <v>674</v>
      </c>
      <c r="L216" s="1073" t="s">
        <v>675</v>
      </c>
      <c r="M216" s="1030">
        <v>92000000</v>
      </c>
      <c r="N216" s="1044" t="s">
        <v>730</v>
      </c>
      <c r="O216" s="1056" t="s">
        <v>1536</v>
      </c>
      <c r="P216" s="1056"/>
      <c r="Q216" s="1027"/>
      <c r="R216" s="1022"/>
      <c r="S216" s="1130">
        <v>126</v>
      </c>
      <c r="T216" s="1156">
        <v>68000000</v>
      </c>
    </row>
    <row r="217" spans="1:20" s="995" customFormat="1" ht="66" x14ac:dyDescent="0.3">
      <c r="A217" s="1023">
        <v>2022211</v>
      </c>
      <c r="B217" s="1023">
        <v>7655</v>
      </c>
      <c r="C217" s="1023" t="s">
        <v>668</v>
      </c>
      <c r="D217" s="1039" t="s">
        <v>671</v>
      </c>
      <c r="E217" s="1040">
        <v>80111600</v>
      </c>
      <c r="F217" s="1026" t="s">
        <v>889</v>
      </c>
      <c r="G217" s="1041" t="s">
        <v>1495</v>
      </c>
      <c r="H217" s="1028" t="s">
        <v>1495</v>
      </c>
      <c r="I217" s="1072" t="s">
        <v>1556</v>
      </c>
      <c r="J217" s="1043" t="s">
        <v>1535</v>
      </c>
      <c r="K217" s="1027" t="s">
        <v>674</v>
      </c>
      <c r="L217" s="1073" t="s">
        <v>675</v>
      </c>
      <c r="M217" s="1030">
        <v>80500000</v>
      </c>
      <c r="N217" s="1044" t="s">
        <v>730</v>
      </c>
      <c r="O217" s="1056" t="s">
        <v>1536</v>
      </c>
      <c r="P217" s="1056"/>
      <c r="Q217" s="1027"/>
      <c r="R217" s="1022"/>
      <c r="S217" s="1130">
        <v>454</v>
      </c>
      <c r="T217" s="1156">
        <v>77000000</v>
      </c>
    </row>
    <row r="218" spans="1:20" s="995" customFormat="1" ht="66" x14ac:dyDescent="0.3">
      <c r="A218" s="1023">
        <v>2022212</v>
      </c>
      <c r="B218" s="1023">
        <v>7655</v>
      </c>
      <c r="C218" s="1023" t="s">
        <v>668</v>
      </c>
      <c r="D218" s="1039" t="s">
        <v>671</v>
      </c>
      <c r="E218" s="1040">
        <v>80111600</v>
      </c>
      <c r="F218" s="1026" t="s">
        <v>890</v>
      </c>
      <c r="G218" s="1041" t="s">
        <v>1495</v>
      </c>
      <c r="H218" s="1028" t="s">
        <v>1495</v>
      </c>
      <c r="I218" s="1072" t="s">
        <v>1556</v>
      </c>
      <c r="J218" s="1043" t="s">
        <v>1535</v>
      </c>
      <c r="K218" s="1027" t="s">
        <v>674</v>
      </c>
      <c r="L218" s="1073" t="s">
        <v>780</v>
      </c>
      <c r="M218" s="1030">
        <v>92000000</v>
      </c>
      <c r="N218" s="1044" t="s">
        <v>730</v>
      </c>
      <c r="O218" s="1056" t="s">
        <v>1536</v>
      </c>
      <c r="P218" s="1056"/>
      <c r="Q218" s="1027"/>
      <c r="R218" s="1022"/>
      <c r="S218" s="1130">
        <v>396</v>
      </c>
      <c r="T218" s="1156">
        <v>64000000</v>
      </c>
    </row>
    <row r="219" spans="1:20" s="995" customFormat="1" ht="66" x14ac:dyDescent="0.3">
      <c r="A219" s="1023">
        <v>2022213</v>
      </c>
      <c r="B219" s="1023">
        <v>7655</v>
      </c>
      <c r="C219" s="1023" t="s">
        <v>668</v>
      </c>
      <c r="D219" s="1039" t="s">
        <v>671</v>
      </c>
      <c r="E219" s="1040">
        <v>80111600</v>
      </c>
      <c r="F219" s="1026" t="s">
        <v>891</v>
      </c>
      <c r="G219" s="1041" t="s">
        <v>1495</v>
      </c>
      <c r="H219" s="1028" t="s">
        <v>1495</v>
      </c>
      <c r="I219" s="1072" t="s">
        <v>1556</v>
      </c>
      <c r="J219" s="1043" t="s">
        <v>1535</v>
      </c>
      <c r="K219" s="1027" t="s">
        <v>674</v>
      </c>
      <c r="L219" s="1073" t="s">
        <v>780</v>
      </c>
      <c r="M219" s="1030">
        <v>51750000</v>
      </c>
      <c r="N219" s="1044" t="s">
        <v>730</v>
      </c>
      <c r="O219" s="1056" t="s">
        <v>1536</v>
      </c>
      <c r="P219" s="1056"/>
      <c r="Q219" s="1027"/>
      <c r="R219" s="1022"/>
      <c r="S219" s="1130">
        <v>354</v>
      </c>
      <c r="T219" s="1156">
        <v>49500000</v>
      </c>
    </row>
    <row r="220" spans="1:20" s="995" customFormat="1" ht="79.2" x14ac:dyDescent="0.3">
      <c r="A220" s="1023">
        <v>2022214</v>
      </c>
      <c r="B220" s="1023">
        <v>7655</v>
      </c>
      <c r="C220" s="1023" t="s">
        <v>668</v>
      </c>
      <c r="D220" s="1039" t="s">
        <v>671</v>
      </c>
      <c r="E220" s="1040">
        <v>80111600</v>
      </c>
      <c r="F220" s="1026" t="s">
        <v>892</v>
      </c>
      <c r="G220" s="1041" t="s">
        <v>1495</v>
      </c>
      <c r="H220" s="1028" t="s">
        <v>1495</v>
      </c>
      <c r="I220" s="1072" t="s">
        <v>1557</v>
      </c>
      <c r="J220" s="1043" t="s">
        <v>1535</v>
      </c>
      <c r="K220" s="1027" t="s">
        <v>674</v>
      </c>
      <c r="L220" s="1073" t="s">
        <v>675</v>
      </c>
      <c r="M220" s="1030">
        <f>4500000*10.6666666</f>
        <v>47999999.699999996</v>
      </c>
      <c r="N220" s="1044" t="s">
        <v>730</v>
      </c>
      <c r="O220" s="1056" t="s">
        <v>1536</v>
      </c>
      <c r="P220" s="1056"/>
      <c r="Q220" s="1027"/>
      <c r="R220" s="1022"/>
      <c r="S220" s="1130">
        <v>470</v>
      </c>
      <c r="T220" s="1156">
        <v>36000000</v>
      </c>
    </row>
    <row r="221" spans="1:20" s="995" customFormat="1" ht="66" x14ac:dyDescent="0.3">
      <c r="A221" s="1023">
        <v>2022215</v>
      </c>
      <c r="B221" s="1023">
        <v>7655</v>
      </c>
      <c r="C221" s="1023" t="s">
        <v>668</v>
      </c>
      <c r="D221" s="1039" t="s">
        <v>671</v>
      </c>
      <c r="E221" s="1040">
        <v>80111600</v>
      </c>
      <c r="F221" s="1026" t="s">
        <v>893</v>
      </c>
      <c r="G221" s="1041" t="s">
        <v>1495</v>
      </c>
      <c r="H221" s="1028" t="s">
        <v>1495</v>
      </c>
      <c r="I221" s="1072" t="s">
        <v>1556</v>
      </c>
      <c r="J221" s="1043" t="s">
        <v>1535</v>
      </c>
      <c r="K221" s="1027" t="s">
        <v>674</v>
      </c>
      <c r="L221" s="1073" t="s">
        <v>675</v>
      </c>
      <c r="M221" s="1030">
        <v>57500000</v>
      </c>
      <c r="N221" s="1044" t="s">
        <v>730</v>
      </c>
      <c r="O221" s="1056" t="s">
        <v>1536</v>
      </c>
      <c r="P221" s="1056"/>
      <c r="Q221" s="1027"/>
      <c r="R221" s="1022"/>
      <c r="S221" s="1130">
        <v>466</v>
      </c>
      <c r="T221" s="1156">
        <v>40000000</v>
      </c>
    </row>
    <row r="222" spans="1:20" s="995" customFormat="1" ht="92.4" x14ac:dyDescent="0.3">
      <c r="A222" s="1023">
        <v>2022216</v>
      </c>
      <c r="B222" s="1023">
        <v>7655</v>
      </c>
      <c r="C222" s="1023" t="s">
        <v>668</v>
      </c>
      <c r="D222" s="1039" t="s">
        <v>671</v>
      </c>
      <c r="E222" s="1040">
        <v>80111600</v>
      </c>
      <c r="F222" s="1026" t="s">
        <v>894</v>
      </c>
      <c r="G222" s="1041" t="s">
        <v>1495</v>
      </c>
      <c r="H222" s="1028" t="s">
        <v>1495</v>
      </c>
      <c r="I222" s="1072" t="s">
        <v>1556</v>
      </c>
      <c r="J222" s="1043" t="s">
        <v>1535</v>
      </c>
      <c r="K222" s="1027" t="s">
        <v>674</v>
      </c>
      <c r="L222" s="1073" t="s">
        <v>675</v>
      </c>
      <c r="M222" s="1030">
        <v>80500000</v>
      </c>
      <c r="N222" s="1044" t="s">
        <v>730</v>
      </c>
      <c r="O222" s="1056" t="s">
        <v>1536</v>
      </c>
      <c r="P222" s="1056"/>
      <c r="Q222" s="1027"/>
      <c r="R222" s="1022"/>
      <c r="S222" s="1130">
        <v>232</v>
      </c>
      <c r="T222" s="1156">
        <v>77000000</v>
      </c>
    </row>
    <row r="223" spans="1:20" s="995" customFormat="1" ht="79.2" x14ac:dyDescent="0.3">
      <c r="A223" s="1023">
        <v>2022217</v>
      </c>
      <c r="B223" s="1023">
        <v>7655</v>
      </c>
      <c r="C223" s="1023" t="s">
        <v>668</v>
      </c>
      <c r="D223" s="1039" t="s">
        <v>671</v>
      </c>
      <c r="E223" s="1040">
        <v>80111600</v>
      </c>
      <c r="F223" s="1026" t="s">
        <v>895</v>
      </c>
      <c r="G223" s="1041" t="s">
        <v>1495</v>
      </c>
      <c r="H223" s="1028" t="s">
        <v>1495</v>
      </c>
      <c r="I223" s="1072" t="s">
        <v>1556</v>
      </c>
      <c r="J223" s="1043" t="s">
        <v>1535</v>
      </c>
      <c r="K223" s="1027" t="s">
        <v>674</v>
      </c>
      <c r="L223" s="1073" t="s">
        <v>675</v>
      </c>
      <c r="M223" s="1030">
        <v>57500000</v>
      </c>
      <c r="N223" s="1044" t="s">
        <v>730</v>
      </c>
      <c r="O223" s="1056" t="s">
        <v>1536</v>
      </c>
      <c r="P223" s="1056"/>
      <c r="Q223" s="1027"/>
      <c r="R223" s="1022"/>
      <c r="S223" s="1130">
        <v>294</v>
      </c>
      <c r="T223" s="1156">
        <v>55000000</v>
      </c>
    </row>
    <row r="224" spans="1:20" s="995" customFormat="1" ht="92.4" x14ac:dyDescent="0.3">
      <c r="A224" s="1023">
        <v>2022218</v>
      </c>
      <c r="B224" s="1023">
        <v>7655</v>
      </c>
      <c r="C224" s="1023" t="s">
        <v>668</v>
      </c>
      <c r="D224" s="1039" t="s">
        <v>671</v>
      </c>
      <c r="E224" s="1040">
        <v>80111600</v>
      </c>
      <c r="F224" s="1026" t="s">
        <v>896</v>
      </c>
      <c r="G224" s="1041" t="s">
        <v>1495</v>
      </c>
      <c r="H224" s="1028" t="s">
        <v>1495</v>
      </c>
      <c r="I224" s="1072" t="s">
        <v>1556</v>
      </c>
      <c r="J224" s="1043" t="s">
        <v>1535</v>
      </c>
      <c r="K224" s="1027" t="s">
        <v>674</v>
      </c>
      <c r="L224" s="1073" t="s">
        <v>675</v>
      </c>
      <c r="M224" s="1030">
        <v>57500000</v>
      </c>
      <c r="N224" s="1044" t="s">
        <v>730</v>
      </c>
      <c r="O224" s="1056" t="s">
        <v>1536</v>
      </c>
      <c r="P224" s="1056"/>
      <c r="Q224" s="1027"/>
      <c r="R224" s="1022"/>
      <c r="S224" s="1130">
        <v>395</v>
      </c>
      <c r="T224" s="1156">
        <v>36000000</v>
      </c>
    </row>
    <row r="225" spans="1:103" s="995" customFormat="1" ht="79.2" x14ac:dyDescent="0.3">
      <c r="A225" s="1023">
        <v>2022219</v>
      </c>
      <c r="B225" s="1023">
        <v>7655</v>
      </c>
      <c r="C225" s="1023" t="s">
        <v>668</v>
      </c>
      <c r="D225" s="1039" t="s">
        <v>671</v>
      </c>
      <c r="E225" s="1040">
        <v>80111600</v>
      </c>
      <c r="F225" s="1026" t="s">
        <v>897</v>
      </c>
      <c r="G225" s="1041" t="s">
        <v>1495</v>
      </c>
      <c r="H225" s="1028" t="s">
        <v>1495</v>
      </c>
      <c r="I225" s="1072" t="s">
        <v>1556</v>
      </c>
      <c r="J225" s="1043" t="s">
        <v>1535</v>
      </c>
      <c r="K225" s="1027" t="s">
        <v>674</v>
      </c>
      <c r="L225" s="1073" t="s">
        <v>675</v>
      </c>
      <c r="M225" s="1030">
        <v>57500000</v>
      </c>
      <c r="N225" s="1044" t="s">
        <v>730</v>
      </c>
      <c r="O225" s="1056" t="s">
        <v>1536</v>
      </c>
      <c r="P225" s="1056"/>
      <c r="Q225" s="1027"/>
      <c r="R225" s="1022"/>
      <c r="S225" s="1130">
        <v>350</v>
      </c>
      <c r="T225" s="1156">
        <v>40000000</v>
      </c>
    </row>
    <row r="226" spans="1:103" s="995" customFormat="1" ht="66" x14ac:dyDescent="0.3">
      <c r="A226" s="1023">
        <v>2022220</v>
      </c>
      <c r="B226" s="1023">
        <v>7655</v>
      </c>
      <c r="C226" s="1023" t="s">
        <v>668</v>
      </c>
      <c r="D226" s="1039" t="s">
        <v>671</v>
      </c>
      <c r="E226" s="1040">
        <v>80111600</v>
      </c>
      <c r="F226" s="1026" t="s">
        <v>898</v>
      </c>
      <c r="G226" s="1041" t="s">
        <v>1495</v>
      </c>
      <c r="H226" s="1028" t="s">
        <v>1495</v>
      </c>
      <c r="I226" s="1072" t="s">
        <v>1541</v>
      </c>
      <c r="J226" s="1043" t="s">
        <v>1535</v>
      </c>
      <c r="K226" s="1027" t="s">
        <v>674</v>
      </c>
      <c r="L226" s="1073" t="s">
        <v>675</v>
      </c>
      <c r="M226" s="1030">
        <f>10*4500000</f>
        <v>45000000</v>
      </c>
      <c r="N226" s="1044" t="s">
        <v>730</v>
      </c>
      <c r="O226" s="1056" t="s">
        <v>1536</v>
      </c>
      <c r="P226" s="1056"/>
      <c r="Q226" s="1027"/>
      <c r="R226" s="1022"/>
      <c r="S226" s="1130">
        <v>457</v>
      </c>
      <c r="T226" s="1156">
        <v>27000000</v>
      </c>
    </row>
    <row r="227" spans="1:103" s="995" customFormat="1" ht="66" x14ac:dyDescent="0.3">
      <c r="A227" s="1023">
        <v>2022221</v>
      </c>
      <c r="B227" s="1023">
        <v>7655</v>
      </c>
      <c r="C227" s="1023" t="s">
        <v>668</v>
      </c>
      <c r="D227" s="1039" t="s">
        <v>671</v>
      </c>
      <c r="E227" s="1040">
        <v>80111600</v>
      </c>
      <c r="F227" s="1026" t="s">
        <v>899</v>
      </c>
      <c r="G227" s="1041" t="s">
        <v>1495</v>
      </c>
      <c r="H227" s="1028" t="s">
        <v>1495</v>
      </c>
      <c r="I227" s="1072" t="s">
        <v>1556</v>
      </c>
      <c r="J227" s="1043" t="s">
        <v>1535</v>
      </c>
      <c r="K227" s="1027" t="s">
        <v>674</v>
      </c>
      <c r="L227" s="1073" t="s">
        <v>675</v>
      </c>
      <c r="M227" s="1030">
        <v>57500000</v>
      </c>
      <c r="N227" s="1044" t="s">
        <v>730</v>
      </c>
      <c r="O227" s="1056" t="s">
        <v>1536</v>
      </c>
      <c r="P227" s="1056"/>
      <c r="Q227" s="1027"/>
      <c r="R227" s="1022"/>
      <c r="S227" s="1130">
        <v>261</v>
      </c>
      <c r="T227" s="1156">
        <v>55000000</v>
      </c>
    </row>
    <row r="228" spans="1:103" s="995" customFormat="1" ht="66" x14ac:dyDescent="0.3">
      <c r="A228" s="1023">
        <v>2022222</v>
      </c>
      <c r="B228" s="1023">
        <v>7655</v>
      </c>
      <c r="C228" s="1023" t="s">
        <v>668</v>
      </c>
      <c r="D228" s="1039" t="s">
        <v>671</v>
      </c>
      <c r="E228" s="1040">
        <v>80111600</v>
      </c>
      <c r="F228" s="1026" t="s">
        <v>900</v>
      </c>
      <c r="G228" s="1041" t="s">
        <v>1495</v>
      </c>
      <c r="H228" s="1028" t="s">
        <v>1495</v>
      </c>
      <c r="I228" s="1072" t="s">
        <v>1556</v>
      </c>
      <c r="J228" s="1043" t="s">
        <v>1535</v>
      </c>
      <c r="K228" s="1027" t="s">
        <v>674</v>
      </c>
      <c r="L228" s="1073" t="s">
        <v>675</v>
      </c>
      <c r="M228" s="1030">
        <v>57500000</v>
      </c>
      <c r="N228" s="1044" t="s">
        <v>730</v>
      </c>
      <c r="O228" s="1056" t="s">
        <v>1536</v>
      </c>
      <c r="P228" s="1056"/>
      <c r="Q228" s="1027"/>
      <c r="R228" s="1022"/>
      <c r="S228" s="1130">
        <v>473</v>
      </c>
      <c r="T228" s="1156">
        <v>36000000</v>
      </c>
    </row>
    <row r="229" spans="1:103" s="995" customFormat="1" ht="66" x14ac:dyDescent="0.3">
      <c r="A229" s="1023">
        <v>2022223</v>
      </c>
      <c r="B229" s="1023">
        <v>7655</v>
      </c>
      <c r="C229" s="1023" t="s">
        <v>668</v>
      </c>
      <c r="D229" s="1039" t="s">
        <v>671</v>
      </c>
      <c r="E229" s="1040">
        <v>80111600</v>
      </c>
      <c r="F229" s="1026" t="s">
        <v>901</v>
      </c>
      <c r="G229" s="1041" t="s">
        <v>1495</v>
      </c>
      <c r="H229" s="1028" t="s">
        <v>1495</v>
      </c>
      <c r="I229" s="1072" t="s">
        <v>1556</v>
      </c>
      <c r="J229" s="1043" t="s">
        <v>1535</v>
      </c>
      <c r="K229" s="1027" t="s">
        <v>674</v>
      </c>
      <c r="L229" s="1073" t="s">
        <v>675</v>
      </c>
      <c r="M229" s="1030">
        <v>72450000</v>
      </c>
      <c r="N229" s="1044" t="s">
        <v>730</v>
      </c>
      <c r="O229" s="1056" t="s">
        <v>1536</v>
      </c>
      <c r="P229" s="1056"/>
      <c r="Q229" s="1027"/>
      <c r="R229" s="1022"/>
      <c r="S229" s="1130">
        <v>458</v>
      </c>
      <c r="T229" s="1156">
        <v>69300000</v>
      </c>
    </row>
    <row r="230" spans="1:103" s="995" customFormat="1" ht="66" x14ac:dyDescent="0.3">
      <c r="A230" s="1023">
        <v>2022224</v>
      </c>
      <c r="B230" s="1023">
        <v>7655</v>
      </c>
      <c r="C230" s="1023" t="s">
        <v>668</v>
      </c>
      <c r="D230" s="1039" t="s">
        <v>671</v>
      </c>
      <c r="E230" s="1040">
        <v>80111600</v>
      </c>
      <c r="F230" s="1026" t="s">
        <v>902</v>
      </c>
      <c r="G230" s="1041" t="s">
        <v>1495</v>
      </c>
      <c r="H230" s="1028" t="s">
        <v>1495</v>
      </c>
      <c r="I230" s="1072" t="s">
        <v>1556</v>
      </c>
      <c r="J230" s="1043" t="s">
        <v>1535</v>
      </c>
      <c r="K230" s="1027" t="s">
        <v>674</v>
      </c>
      <c r="L230" s="1073" t="s">
        <v>675</v>
      </c>
      <c r="M230" s="1030">
        <v>59800000</v>
      </c>
      <c r="N230" s="1044" t="s">
        <v>730</v>
      </c>
      <c r="O230" s="1056" t="s">
        <v>1536</v>
      </c>
      <c r="P230" s="1056"/>
      <c r="Q230" s="1027"/>
      <c r="R230" s="1022"/>
      <c r="S230" s="1130">
        <v>426</v>
      </c>
      <c r="T230" s="1156">
        <v>57200000</v>
      </c>
    </row>
    <row r="231" spans="1:103" s="995" customFormat="1" ht="66" x14ac:dyDescent="0.3">
      <c r="A231" s="1023">
        <v>2022225</v>
      </c>
      <c r="B231" s="1023">
        <v>7655</v>
      </c>
      <c r="C231" s="1023" t="s">
        <v>668</v>
      </c>
      <c r="D231" s="1039" t="s">
        <v>671</v>
      </c>
      <c r="E231" s="1040">
        <v>80111600</v>
      </c>
      <c r="F231" s="1026" t="s">
        <v>903</v>
      </c>
      <c r="G231" s="1041" t="s">
        <v>1495</v>
      </c>
      <c r="H231" s="1028" t="s">
        <v>1495</v>
      </c>
      <c r="I231" s="1072" t="s">
        <v>1558</v>
      </c>
      <c r="J231" s="1043" t="s">
        <v>1535</v>
      </c>
      <c r="K231" s="1027" t="s">
        <v>674</v>
      </c>
      <c r="L231" s="1073" t="s">
        <v>675</v>
      </c>
      <c r="M231" s="1030">
        <v>57000000</v>
      </c>
      <c r="N231" s="1044" t="s">
        <v>730</v>
      </c>
      <c r="O231" s="1056" t="s">
        <v>1536</v>
      </c>
      <c r="P231" s="1056"/>
      <c r="Q231" s="1027"/>
      <c r="R231" s="1022"/>
      <c r="S231" s="1130">
        <v>456</v>
      </c>
      <c r="T231" s="1156">
        <v>40000000</v>
      </c>
    </row>
    <row r="232" spans="1:103" s="995" customFormat="1" ht="66" x14ac:dyDescent="0.3">
      <c r="A232" s="1013">
        <v>2022226</v>
      </c>
      <c r="B232" s="1013">
        <v>7655</v>
      </c>
      <c r="C232" s="1013" t="s">
        <v>668</v>
      </c>
      <c r="D232" s="1045" t="s">
        <v>671</v>
      </c>
      <c r="E232" s="1046">
        <v>80111600</v>
      </c>
      <c r="F232" s="1074" t="s">
        <v>904</v>
      </c>
      <c r="G232" s="1075"/>
      <c r="H232" s="1075"/>
      <c r="I232" s="1019"/>
      <c r="J232" s="1049" t="s">
        <v>1535</v>
      </c>
      <c r="K232" s="1017" t="s">
        <v>674</v>
      </c>
      <c r="L232" s="1076" t="s">
        <v>675</v>
      </c>
      <c r="M232" s="1077">
        <v>13800000</v>
      </c>
      <c r="N232" s="1050" t="s">
        <v>730</v>
      </c>
      <c r="O232" s="1061" t="s">
        <v>1536</v>
      </c>
      <c r="P232" s="1061"/>
      <c r="Q232" s="1017"/>
      <c r="R232" s="1022"/>
      <c r="S232" s="1130"/>
      <c r="T232" s="1156"/>
    </row>
    <row r="233" spans="1:103" s="995" customFormat="1" ht="79.2" x14ac:dyDescent="0.3">
      <c r="A233" s="1023">
        <v>2022227</v>
      </c>
      <c r="B233" s="1023">
        <v>7655</v>
      </c>
      <c r="C233" s="1023" t="s">
        <v>668</v>
      </c>
      <c r="D233" s="1039" t="s">
        <v>669</v>
      </c>
      <c r="E233" s="1040">
        <v>80111600</v>
      </c>
      <c r="F233" s="1068" t="s">
        <v>905</v>
      </c>
      <c r="G233" s="1078" t="s">
        <v>1495</v>
      </c>
      <c r="H233" s="1054" t="s">
        <v>1495</v>
      </c>
      <c r="I233" s="1079" t="s">
        <v>1559</v>
      </c>
      <c r="J233" s="1043" t="s">
        <v>1535</v>
      </c>
      <c r="K233" s="1027" t="s">
        <v>674</v>
      </c>
      <c r="L233" s="1073" t="s">
        <v>675</v>
      </c>
      <c r="M233" s="1030">
        <v>29920000</v>
      </c>
      <c r="N233" s="1044" t="s">
        <v>730</v>
      </c>
      <c r="O233" s="1056" t="s">
        <v>1536</v>
      </c>
      <c r="P233" s="1056"/>
      <c r="Q233" s="1027"/>
      <c r="R233" s="1022"/>
      <c r="S233" s="1130">
        <v>150</v>
      </c>
      <c r="T233" s="1156">
        <v>27000000</v>
      </c>
    </row>
    <row r="234" spans="1:103" s="995" customFormat="1" ht="66" x14ac:dyDescent="0.3">
      <c r="A234" s="1023">
        <v>2022228</v>
      </c>
      <c r="B234" s="1023">
        <v>7655</v>
      </c>
      <c r="C234" s="1023" t="s">
        <v>668</v>
      </c>
      <c r="D234" s="1039" t="s">
        <v>669</v>
      </c>
      <c r="E234" s="1040">
        <v>80111600</v>
      </c>
      <c r="F234" s="1068" t="s">
        <v>906</v>
      </c>
      <c r="G234" s="1078" t="s">
        <v>1495</v>
      </c>
      <c r="H234" s="1054" t="s">
        <v>1495</v>
      </c>
      <c r="I234" s="1079" t="s">
        <v>1559</v>
      </c>
      <c r="J234" s="1043" t="s">
        <v>1535</v>
      </c>
      <c r="K234" s="1027" t="s">
        <v>674</v>
      </c>
      <c r="L234" s="1073" t="s">
        <v>675</v>
      </c>
      <c r="M234" s="1030">
        <v>30800000</v>
      </c>
      <c r="N234" s="1044" t="s">
        <v>730</v>
      </c>
      <c r="O234" s="1056" t="s">
        <v>1536</v>
      </c>
      <c r="P234" s="1056"/>
      <c r="Q234" s="1027"/>
      <c r="R234" s="1022"/>
      <c r="S234" s="1130">
        <v>161</v>
      </c>
      <c r="T234" s="1156">
        <v>30800000</v>
      </c>
    </row>
    <row r="235" spans="1:103" s="995" customFormat="1" ht="79.2" x14ac:dyDescent="0.3">
      <c r="A235" s="1023">
        <v>2022229</v>
      </c>
      <c r="B235" s="1023">
        <v>7655</v>
      </c>
      <c r="C235" s="1023" t="s">
        <v>668</v>
      </c>
      <c r="D235" s="1039" t="s">
        <v>669</v>
      </c>
      <c r="E235" s="1040">
        <v>80111600</v>
      </c>
      <c r="F235" s="1068" t="s">
        <v>907</v>
      </c>
      <c r="G235" s="1078" t="s">
        <v>1495</v>
      </c>
      <c r="H235" s="1054" t="s">
        <v>1495</v>
      </c>
      <c r="I235" s="1079" t="s">
        <v>1559</v>
      </c>
      <c r="J235" s="1043" t="s">
        <v>1535</v>
      </c>
      <c r="K235" s="1027" t="s">
        <v>674</v>
      </c>
      <c r="L235" s="1073" t="s">
        <v>675</v>
      </c>
      <c r="M235" s="1030">
        <v>78320000</v>
      </c>
      <c r="N235" s="1044" t="s">
        <v>730</v>
      </c>
      <c r="O235" s="1056" t="s">
        <v>1536</v>
      </c>
      <c r="P235" s="1056"/>
      <c r="Q235" s="1027"/>
      <c r="R235" s="1022"/>
      <c r="S235" s="1130">
        <v>67</v>
      </c>
      <c r="T235" s="1156">
        <v>42720000</v>
      </c>
    </row>
    <row r="236" spans="1:103" s="1034" customFormat="1" ht="79.2" x14ac:dyDescent="0.3">
      <c r="A236" s="1131">
        <v>2022230</v>
      </c>
      <c r="B236" s="1131">
        <v>7655</v>
      </c>
      <c r="C236" s="1131" t="s">
        <v>668</v>
      </c>
      <c r="D236" s="1139" t="s">
        <v>669</v>
      </c>
      <c r="E236" s="1145">
        <v>80111600</v>
      </c>
      <c r="F236" s="1146" t="s">
        <v>908</v>
      </c>
      <c r="G236" s="1147" t="s">
        <v>1495</v>
      </c>
      <c r="H236" s="1148" t="s">
        <v>1495</v>
      </c>
      <c r="I236" s="1082" t="s">
        <v>1559</v>
      </c>
      <c r="J236" s="1143" t="s">
        <v>1535</v>
      </c>
      <c r="K236" s="1135" t="s">
        <v>674</v>
      </c>
      <c r="L236" s="1149" t="s">
        <v>675</v>
      </c>
      <c r="M236" s="1136">
        <v>102520000</v>
      </c>
      <c r="N236" s="1144" t="s">
        <v>730</v>
      </c>
      <c r="O236" s="1150" t="s">
        <v>1536</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92.4" x14ac:dyDescent="0.3">
      <c r="A237" s="1023">
        <v>2022231</v>
      </c>
      <c r="B237" s="1023">
        <v>7655</v>
      </c>
      <c r="C237" s="1023" t="s">
        <v>668</v>
      </c>
      <c r="D237" s="1039" t="s">
        <v>669</v>
      </c>
      <c r="E237" s="1040">
        <v>80111600</v>
      </c>
      <c r="F237" s="1068" t="s">
        <v>909</v>
      </c>
      <c r="G237" s="1078" t="s">
        <v>1495</v>
      </c>
      <c r="H237" s="1054" t="s">
        <v>1495</v>
      </c>
      <c r="I237" s="1079" t="s">
        <v>1559</v>
      </c>
      <c r="J237" s="1043" t="s">
        <v>1535</v>
      </c>
      <c r="K237" s="1027" t="s">
        <v>674</v>
      </c>
      <c r="L237" s="1073" t="s">
        <v>675</v>
      </c>
      <c r="M237" s="1030">
        <f>101200000-8800000-19200000</f>
        <v>73200000</v>
      </c>
      <c r="N237" s="1044" t="s">
        <v>730</v>
      </c>
      <c r="O237" s="1056" t="s">
        <v>1536</v>
      </c>
      <c r="P237" s="1056"/>
      <c r="Q237" s="1027"/>
      <c r="R237" s="1022"/>
      <c r="S237" s="1130">
        <v>200</v>
      </c>
      <c r="T237" s="1156">
        <v>55200000</v>
      </c>
    </row>
    <row r="238" spans="1:103" s="995" customFormat="1" ht="66" x14ac:dyDescent="0.3">
      <c r="A238" s="1023">
        <v>2022232</v>
      </c>
      <c r="B238" s="1023">
        <v>7655</v>
      </c>
      <c r="C238" s="1023" t="s">
        <v>668</v>
      </c>
      <c r="D238" s="1039" t="s">
        <v>669</v>
      </c>
      <c r="E238" s="1040">
        <v>80111600</v>
      </c>
      <c r="F238" s="1068" t="s">
        <v>910</v>
      </c>
      <c r="G238" s="1078" t="s">
        <v>1495</v>
      </c>
      <c r="H238" s="1054" t="s">
        <v>1495</v>
      </c>
      <c r="I238" s="1079" t="s">
        <v>1559</v>
      </c>
      <c r="J238" s="1043" t="s">
        <v>1535</v>
      </c>
      <c r="K238" s="1027" t="s">
        <v>674</v>
      </c>
      <c r="L238" s="1073" t="s">
        <v>675</v>
      </c>
      <c r="M238" s="1030">
        <v>58080000</v>
      </c>
      <c r="N238" s="1044" t="s">
        <v>730</v>
      </c>
      <c r="O238" s="1056" t="s">
        <v>1536</v>
      </c>
      <c r="P238" s="1056"/>
      <c r="Q238" s="1027"/>
      <c r="R238" s="1022"/>
      <c r="S238" s="1130">
        <v>45</v>
      </c>
      <c r="T238" s="1156">
        <v>58080000</v>
      </c>
    </row>
    <row r="239" spans="1:103" s="995" customFormat="1" ht="105.6" x14ac:dyDescent="0.3">
      <c r="A239" s="1023">
        <v>2022233</v>
      </c>
      <c r="B239" s="1023">
        <v>7655</v>
      </c>
      <c r="C239" s="1023" t="s">
        <v>668</v>
      </c>
      <c r="D239" s="1039" t="s">
        <v>669</v>
      </c>
      <c r="E239" s="1040">
        <v>80111600</v>
      </c>
      <c r="F239" s="1026" t="s">
        <v>911</v>
      </c>
      <c r="G239" s="1078" t="s">
        <v>1495</v>
      </c>
      <c r="H239" s="1054" t="s">
        <v>1495</v>
      </c>
      <c r="I239" s="1079" t="s">
        <v>1559</v>
      </c>
      <c r="J239" s="1043" t="s">
        <v>1535</v>
      </c>
      <c r="K239" s="1027" t="s">
        <v>674</v>
      </c>
      <c r="L239" s="1073" t="s">
        <v>675</v>
      </c>
      <c r="M239" s="1030">
        <v>42350000</v>
      </c>
      <c r="N239" s="1044" t="s">
        <v>730</v>
      </c>
      <c r="O239" s="1056" t="s">
        <v>1536</v>
      </c>
      <c r="P239" s="1056"/>
      <c r="Q239" s="1027"/>
      <c r="R239" s="1022"/>
      <c r="S239" s="1130">
        <v>81</v>
      </c>
      <c r="T239" s="1156">
        <v>42350000</v>
      </c>
    </row>
    <row r="240" spans="1:103" s="995" customFormat="1" ht="66" x14ac:dyDescent="0.3">
      <c r="A240" s="1023">
        <v>2022234</v>
      </c>
      <c r="B240" s="1023">
        <v>7655</v>
      </c>
      <c r="C240" s="1023" t="s">
        <v>668</v>
      </c>
      <c r="D240" s="1039" t="s">
        <v>669</v>
      </c>
      <c r="E240" s="1040">
        <v>80111600</v>
      </c>
      <c r="F240" s="1068" t="s">
        <v>912</v>
      </c>
      <c r="G240" s="1078" t="s">
        <v>1495</v>
      </c>
      <c r="H240" s="1054" t="s">
        <v>1495</v>
      </c>
      <c r="I240" s="1079" t="s">
        <v>1498</v>
      </c>
      <c r="J240" s="1043" t="s">
        <v>1535</v>
      </c>
      <c r="K240" s="1027" t="s">
        <v>674</v>
      </c>
      <c r="L240" s="1080" t="s">
        <v>675</v>
      </c>
      <c r="M240" s="1030">
        <v>39600000</v>
      </c>
      <c r="N240" s="1044" t="s">
        <v>730</v>
      </c>
      <c r="O240" s="1056" t="s">
        <v>1536</v>
      </c>
      <c r="P240" s="1056"/>
      <c r="Q240" s="1027"/>
      <c r="R240" s="1022"/>
      <c r="S240" s="1130">
        <v>332</v>
      </c>
      <c r="T240" s="1156">
        <v>13800000</v>
      </c>
    </row>
    <row r="241" spans="1:20" s="995" customFormat="1" ht="66" x14ac:dyDescent="0.3">
      <c r="A241" s="1023">
        <v>2022235</v>
      </c>
      <c r="B241" s="1023">
        <v>7655</v>
      </c>
      <c r="C241" s="1023" t="s">
        <v>668</v>
      </c>
      <c r="D241" s="1039" t="s">
        <v>669</v>
      </c>
      <c r="E241" s="1040">
        <v>80111600</v>
      </c>
      <c r="F241" s="1026" t="s">
        <v>913</v>
      </c>
      <c r="G241" s="1078" t="s">
        <v>1495</v>
      </c>
      <c r="H241" s="1054" t="s">
        <v>1495</v>
      </c>
      <c r="I241" s="1079" t="s">
        <v>1559</v>
      </c>
      <c r="J241" s="1043" t="s">
        <v>1535</v>
      </c>
      <c r="K241" s="1027" t="s">
        <v>674</v>
      </c>
      <c r="L241" s="1073" t="s">
        <v>675</v>
      </c>
      <c r="M241" s="1030">
        <v>39600000</v>
      </c>
      <c r="N241" s="1044" t="s">
        <v>730</v>
      </c>
      <c r="O241" s="1056" t="s">
        <v>1536</v>
      </c>
      <c r="P241" s="1056"/>
      <c r="Q241" s="1027"/>
      <c r="R241" s="1022"/>
      <c r="S241" s="1130">
        <v>164</v>
      </c>
      <c r="T241" s="1156">
        <v>39600000</v>
      </c>
    </row>
    <row r="242" spans="1:20" s="995" customFormat="1" ht="66" x14ac:dyDescent="0.3">
      <c r="A242" s="1013">
        <v>2022237</v>
      </c>
      <c r="B242" s="1013">
        <v>7655</v>
      </c>
      <c r="C242" s="1013" t="s">
        <v>668</v>
      </c>
      <c r="D242" s="1045" t="s">
        <v>669</v>
      </c>
      <c r="E242" s="1046">
        <v>80111600</v>
      </c>
      <c r="F242" s="1016" t="s">
        <v>1560</v>
      </c>
      <c r="G242" s="1081" t="s">
        <v>1495</v>
      </c>
      <c r="H242" s="1059" t="s">
        <v>1495</v>
      </c>
      <c r="I242" s="1082" t="s">
        <v>1559</v>
      </c>
      <c r="J242" s="1049" t="s">
        <v>1535</v>
      </c>
      <c r="K242" s="1017" t="s">
        <v>674</v>
      </c>
      <c r="L242" s="1076" t="s">
        <v>675</v>
      </c>
      <c r="M242" s="1020">
        <v>48735000</v>
      </c>
      <c r="N242" s="1050" t="s">
        <v>730</v>
      </c>
      <c r="O242" s="1061" t="s">
        <v>1536</v>
      </c>
      <c r="P242" s="1061"/>
      <c r="Q242" s="1017"/>
      <c r="R242" s="1022"/>
      <c r="S242" s="1130"/>
      <c r="T242" s="1156"/>
    </row>
    <row r="243" spans="1:20" s="995" customFormat="1" ht="66" x14ac:dyDescent="0.3">
      <c r="A243" s="1023">
        <v>2022238</v>
      </c>
      <c r="B243" s="1023">
        <v>7655</v>
      </c>
      <c r="C243" s="1023" t="s">
        <v>668</v>
      </c>
      <c r="D243" s="1039" t="s">
        <v>669</v>
      </c>
      <c r="E243" s="1040">
        <v>80111600</v>
      </c>
      <c r="F243" s="1068" t="s">
        <v>917</v>
      </c>
      <c r="G243" s="1078" t="s">
        <v>1495</v>
      </c>
      <c r="H243" s="1054" t="s">
        <v>1495</v>
      </c>
      <c r="I243" s="1079" t="s">
        <v>1559</v>
      </c>
      <c r="J243" s="1043" t="s">
        <v>1535</v>
      </c>
      <c r="K243" s="1027" t="s">
        <v>674</v>
      </c>
      <c r="L243" s="1073" t="s">
        <v>675</v>
      </c>
      <c r="M243" s="1030">
        <f>44000000+8800000</f>
        <v>52800000</v>
      </c>
      <c r="N243" s="1044" t="s">
        <v>730</v>
      </c>
      <c r="O243" s="1056" t="s">
        <v>1536</v>
      </c>
      <c r="P243" s="1056"/>
      <c r="Q243" s="1027"/>
      <c r="R243" s="1022"/>
      <c r="S243" s="1130">
        <v>435</v>
      </c>
      <c r="T243" s="1156">
        <v>28800000</v>
      </c>
    </row>
    <row r="244" spans="1:20" s="995" customFormat="1" ht="66" x14ac:dyDescent="0.3">
      <c r="A244" s="1023">
        <v>2022239</v>
      </c>
      <c r="B244" s="1023">
        <v>7655</v>
      </c>
      <c r="C244" s="1023" t="s">
        <v>668</v>
      </c>
      <c r="D244" s="1039" t="s">
        <v>1561</v>
      </c>
      <c r="E244" s="1040">
        <v>80111600</v>
      </c>
      <c r="F244" s="1068" t="s">
        <v>918</v>
      </c>
      <c r="G244" s="1078" t="s">
        <v>1495</v>
      </c>
      <c r="H244" s="1078" t="s">
        <v>1495</v>
      </c>
      <c r="I244" s="1079" t="s">
        <v>1559</v>
      </c>
      <c r="J244" s="1043" t="s">
        <v>1535</v>
      </c>
      <c r="K244" s="1027" t="s">
        <v>674</v>
      </c>
      <c r="L244" s="1073" t="s">
        <v>675</v>
      </c>
      <c r="M244" s="1030">
        <v>102520000</v>
      </c>
      <c r="N244" s="1044" t="s">
        <v>730</v>
      </c>
      <c r="O244" s="1056" t="s">
        <v>1536</v>
      </c>
      <c r="P244" s="1056"/>
      <c r="Q244" s="1027"/>
      <c r="R244" s="1022"/>
      <c r="S244" s="1130">
        <v>158</v>
      </c>
      <c r="T244" s="1156">
        <v>102520000</v>
      </c>
    </row>
    <row r="245" spans="1:20" s="995" customFormat="1" ht="92.4" x14ac:dyDescent="0.3">
      <c r="A245" s="1023">
        <v>2022240</v>
      </c>
      <c r="B245" s="1023">
        <v>7655</v>
      </c>
      <c r="C245" s="1023" t="s">
        <v>668</v>
      </c>
      <c r="D245" s="1039" t="s">
        <v>1561</v>
      </c>
      <c r="E245" s="1040">
        <v>80111600</v>
      </c>
      <c r="F245" s="1068" t="s">
        <v>919</v>
      </c>
      <c r="G245" s="1078" t="s">
        <v>1495</v>
      </c>
      <c r="H245" s="1078" t="s">
        <v>1495</v>
      </c>
      <c r="I245" s="1079" t="s">
        <v>1559</v>
      </c>
      <c r="J245" s="1043" t="s">
        <v>1535</v>
      </c>
      <c r="K245" s="1027" t="s">
        <v>674</v>
      </c>
      <c r="L245" s="1073" t="s">
        <v>675</v>
      </c>
      <c r="M245" s="1030">
        <v>90200000</v>
      </c>
      <c r="N245" s="1044" t="s">
        <v>730</v>
      </c>
      <c r="O245" s="1056" t="s">
        <v>1536</v>
      </c>
      <c r="P245" s="1056"/>
      <c r="Q245" s="1027"/>
      <c r="R245" s="1022"/>
      <c r="S245" s="1130">
        <v>44</v>
      </c>
      <c r="T245" s="1156">
        <v>90200000</v>
      </c>
    </row>
    <row r="246" spans="1:20" s="995" customFormat="1" ht="79.2" x14ac:dyDescent="0.3">
      <c r="A246" s="1023">
        <v>2022241</v>
      </c>
      <c r="B246" s="1023">
        <v>7655</v>
      </c>
      <c r="C246" s="1023" t="s">
        <v>668</v>
      </c>
      <c r="D246" s="1039" t="s">
        <v>1561</v>
      </c>
      <c r="E246" s="1040">
        <v>80111600</v>
      </c>
      <c r="F246" s="1068" t="s">
        <v>920</v>
      </c>
      <c r="G246" s="1078" t="s">
        <v>1495</v>
      </c>
      <c r="H246" s="1078" t="s">
        <v>1495</v>
      </c>
      <c r="I246" s="1079" t="s">
        <v>1559</v>
      </c>
      <c r="J246" s="1043" t="s">
        <v>1535</v>
      </c>
      <c r="K246" s="1027" t="s">
        <v>674</v>
      </c>
      <c r="L246" s="1073" t="s">
        <v>675</v>
      </c>
      <c r="M246" s="1030">
        <v>82500000</v>
      </c>
      <c r="N246" s="1044" t="s">
        <v>730</v>
      </c>
      <c r="O246" s="1056" t="s">
        <v>1536</v>
      </c>
      <c r="P246" s="1056"/>
      <c r="Q246" s="1027"/>
      <c r="R246" s="1022"/>
      <c r="S246" s="1130">
        <v>244</v>
      </c>
      <c r="T246" s="1156">
        <v>82500000</v>
      </c>
    </row>
    <row r="247" spans="1:20" s="995" customFormat="1" ht="79.2" x14ac:dyDescent="0.3">
      <c r="A247" s="1023">
        <v>2022242</v>
      </c>
      <c r="B247" s="1023">
        <v>7655</v>
      </c>
      <c r="C247" s="1023" t="s">
        <v>668</v>
      </c>
      <c r="D247" s="1039" t="s">
        <v>1561</v>
      </c>
      <c r="E247" s="1040">
        <v>80111600</v>
      </c>
      <c r="F247" s="1068" t="s">
        <v>921</v>
      </c>
      <c r="G247" s="1078" t="s">
        <v>1495</v>
      </c>
      <c r="H247" s="1078" t="s">
        <v>1495</v>
      </c>
      <c r="I247" s="1079" t="s">
        <v>1559</v>
      </c>
      <c r="J247" s="1043" t="s">
        <v>1535</v>
      </c>
      <c r="K247" s="1027" t="s">
        <v>674</v>
      </c>
      <c r="L247" s="1073" t="s">
        <v>675</v>
      </c>
      <c r="M247" s="1030">
        <v>50600000</v>
      </c>
      <c r="N247" s="1044" t="s">
        <v>730</v>
      </c>
      <c r="O247" s="1056" t="s">
        <v>1536</v>
      </c>
      <c r="P247" s="1056"/>
      <c r="Q247" s="1027"/>
      <c r="R247" s="1022"/>
      <c r="S247" s="1130">
        <v>249</v>
      </c>
      <c r="T247" s="1156">
        <v>50600000</v>
      </c>
    </row>
    <row r="248" spans="1:20" s="995" customFormat="1" ht="66" x14ac:dyDescent="0.3">
      <c r="A248" s="1023">
        <v>2022243</v>
      </c>
      <c r="B248" s="1023">
        <v>7655</v>
      </c>
      <c r="C248" s="1023" t="s">
        <v>668</v>
      </c>
      <c r="D248" s="1039" t="s">
        <v>1561</v>
      </c>
      <c r="E248" s="1040">
        <v>80111600</v>
      </c>
      <c r="F248" s="1068" t="s">
        <v>922</v>
      </c>
      <c r="G248" s="1078" t="s">
        <v>1495</v>
      </c>
      <c r="H248" s="1078" t="s">
        <v>1495</v>
      </c>
      <c r="I248" s="1079" t="s">
        <v>1559</v>
      </c>
      <c r="J248" s="1043" t="s">
        <v>1535</v>
      </c>
      <c r="K248" s="1027" t="s">
        <v>674</v>
      </c>
      <c r="L248" s="1073" t="s">
        <v>675</v>
      </c>
      <c r="M248" s="1030">
        <v>35200000</v>
      </c>
      <c r="N248" s="1044" t="s">
        <v>730</v>
      </c>
      <c r="O248" s="1056" t="s">
        <v>1536</v>
      </c>
      <c r="P248" s="1056"/>
      <c r="Q248" s="1027"/>
      <c r="R248" s="1022"/>
      <c r="S248" s="1130">
        <v>376</v>
      </c>
      <c r="T248" s="1156">
        <v>30250000</v>
      </c>
    </row>
    <row r="249" spans="1:20" s="995" customFormat="1" ht="66" x14ac:dyDescent="0.3">
      <c r="A249" s="1023">
        <v>2022244</v>
      </c>
      <c r="B249" s="1023">
        <v>7655</v>
      </c>
      <c r="C249" s="1023" t="s">
        <v>668</v>
      </c>
      <c r="D249" s="1039" t="s">
        <v>1561</v>
      </c>
      <c r="E249" s="1040">
        <v>80111600</v>
      </c>
      <c r="F249" s="1068" t="s">
        <v>923</v>
      </c>
      <c r="G249" s="1078" t="s">
        <v>1495</v>
      </c>
      <c r="H249" s="1078" t="s">
        <v>1495</v>
      </c>
      <c r="I249" s="1079" t="s">
        <v>1559</v>
      </c>
      <c r="J249" s="1043" t="s">
        <v>1535</v>
      </c>
      <c r="K249" s="1027" t="s">
        <v>674</v>
      </c>
      <c r="L249" s="1073" t="s">
        <v>675</v>
      </c>
      <c r="M249" s="1030">
        <v>39050000</v>
      </c>
      <c r="N249" s="1044" t="s">
        <v>730</v>
      </c>
      <c r="O249" s="1056" t="s">
        <v>1536</v>
      </c>
      <c r="P249" s="1056"/>
      <c r="Q249" s="1027"/>
      <c r="R249" s="1022"/>
      <c r="S249" s="1130">
        <v>163</v>
      </c>
      <c r="T249" s="1156">
        <v>39050000</v>
      </c>
    </row>
    <row r="250" spans="1:20" s="995" customFormat="1" ht="66" x14ac:dyDescent="0.3">
      <c r="A250" s="1023">
        <v>2022245</v>
      </c>
      <c r="B250" s="1023">
        <v>7655</v>
      </c>
      <c r="C250" s="1023" t="s">
        <v>668</v>
      </c>
      <c r="D250" s="1039" t="s">
        <v>1561</v>
      </c>
      <c r="E250" s="1040">
        <v>80111600</v>
      </c>
      <c r="F250" s="1068" t="s">
        <v>924</v>
      </c>
      <c r="G250" s="1078" t="s">
        <v>1495</v>
      </c>
      <c r="H250" s="1078" t="s">
        <v>1495</v>
      </c>
      <c r="I250" s="1079" t="s">
        <v>1559</v>
      </c>
      <c r="J250" s="1043" t="s">
        <v>1535</v>
      </c>
      <c r="K250" s="1027" t="s">
        <v>674</v>
      </c>
      <c r="L250" s="1073" t="s">
        <v>675</v>
      </c>
      <c r="M250" s="1030">
        <v>39050000</v>
      </c>
      <c r="N250" s="1044" t="s">
        <v>730</v>
      </c>
      <c r="O250" s="1056" t="s">
        <v>1536</v>
      </c>
      <c r="P250" s="1056"/>
      <c r="Q250" s="1027"/>
      <c r="R250" s="1022"/>
      <c r="S250" s="1130">
        <v>160</v>
      </c>
      <c r="T250" s="1156">
        <v>39050000</v>
      </c>
    </row>
    <row r="251" spans="1:20" s="995" customFormat="1" ht="66" x14ac:dyDescent="0.3">
      <c r="A251" s="1023">
        <v>2022246</v>
      </c>
      <c r="B251" s="1023">
        <v>7655</v>
      </c>
      <c r="C251" s="1023" t="s">
        <v>668</v>
      </c>
      <c r="D251" s="1039" t="s">
        <v>1561</v>
      </c>
      <c r="E251" s="1040">
        <v>80111600</v>
      </c>
      <c r="F251" s="1068" t="s">
        <v>925</v>
      </c>
      <c r="G251" s="1078" t="s">
        <v>1495</v>
      </c>
      <c r="H251" s="1078" t="s">
        <v>1495</v>
      </c>
      <c r="I251" s="1079" t="s">
        <v>1559</v>
      </c>
      <c r="J251" s="1043" t="s">
        <v>1535</v>
      </c>
      <c r="K251" s="1027" t="s">
        <v>674</v>
      </c>
      <c r="L251" s="1073" t="s">
        <v>675</v>
      </c>
      <c r="M251" s="1030">
        <v>39050000</v>
      </c>
      <c r="N251" s="1044" t="s">
        <v>730</v>
      </c>
      <c r="O251" s="1056" t="s">
        <v>1536</v>
      </c>
      <c r="P251" s="1056"/>
      <c r="Q251" s="1027"/>
      <c r="R251" s="1022"/>
      <c r="S251" s="1130">
        <v>159</v>
      </c>
      <c r="T251" s="1156">
        <v>39050000</v>
      </c>
    </row>
    <row r="252" spans="1:20" s="995" customFormat="1" ht="79.2" x14ac:dyDescent="0.3">
      <c r="A252" s="1023">
        <v>2022247</v>
      </c>
      <c r="B252" s="1023">
        <v>7655</v>
      </c>
      <c r="C252" s="1023" t="s">
        <v>668</v>
      </c>
      <c r="D252" s="1039" t="s">
        <v>1561</v>
      </c>
      <c r="E252" s="1040">
        <v>80111600</v>
      </c>
      <c r="F252" s="1068" t="s">
        <v>926</v>
      </c>
      <c r="G252" s="1078" t="s">
        <v>1495</v>
      </c>
      <c r="H252" s="1078" t="s">
        <v>1495</v>
      </c>
      <c r="I252" s="1079" t="s">
        <v>1559</v>
      </c>
      <c r="J252" s="1043" t="s">
        <v>1535</v>
      </c>
      <c r="K252" s="1027" t="s">
        <v>674</v>
      </c>
      <c r="L252" s="1073" t="s">
        <v>675</v>
      </c>
      <c r="M252" s="1030">
        <v>30250000</v>
      </c>
      <c r="N252" s="1044" t="s">
        <v>730</v>
      </c>
      <c r="O252" s="1056" t="s">
        <v>1536</v>
      </c>
      <c r="P252" s="1056"/>
      <c r="Q252" s="1027"/>
      <c r="R252" s="1022"/>
      <c r="S252" s="1130">
        <v>96</v>
      </c>
      <c r="T252" s="1156">
        <v>30250000</v>
      </c>
    </row>
    <row r="253" spans="1:20" s="995" customFormat="1" ht="66" x14ac:dyDescent="0.3">
      <c r="A253" s="1023">
        <v>2022248</v>
      </c>
      <c r="B253" s="1023">
        <v>7655</v>
      </c>
      <c r="C253" s="1023" t="s">
        <v>668</v>
      </c>
      <c r="D253" s="1039" t="s">
        <v>1561</v>
      </c>
      <c r="E253" s="1040">
        <v>80111600</v>
      </c>
      <c r="F253" s="1068" t="s">
        <v>927</v>
      </c>
      <c r="G253" s="1078" t="s">
        <v>1495</v>
      </c>
      <c r="H253" s="1078" t="s">
        <v>1495</v>
      </c>
      <c r="I253" s="1079" t="s">
        <v>1559</v>
      </c>
      <c r="J253" s="1043" t="s">
        <v>1535</v>
      </c>
      <c r="K253" s="1027" t="s">
        <v>674</v>
      </c>
      <c r="L253" s="1073" t="s">
        <v>675</v>
      </c>
      <c r="M253" s="1030">
        <v>36850000</v>
      </c>
      <c r="N253" s="1044" t="s">
        <v>730</v>
      </c>
      <c r="O253" s="1056" t="s">
        <v>1536</v>
      </c>
      <c r="P253" s="1056"/>
      <c r="Q253" s="1027"/>
      <c r="R253" s="1022"/>
      <c r="S253" s="1130">
        <v>250</v>
      </c>
      <c r="T253" s="1156">
        <v>36850000</v>
      </c>
    </row>
    <row r="254" spans="1:20" s="995" customFormat="1" ht="66" x14ac:dyDescent="0.3">
      <c r="A254" s="1023">
        <v>2022249</v>
      </c>
      <c r="B254" s="1023">
        <v>7655</v>
      </c>
      <c r="C254" s="1023" t="s">
        <v>668</v>
      </c>
      <c r="D254" s="1039" t="s">
        <v>1561</v>
      </c>
      <c r="E254" s="1040">
        <v>80111600</v>
      </c>
      <c r="F254" s="1026" t="s">
        <v>928</v>
      </c>
      <c r="G254" s="1078" t="s">
        <v>1495</v>
      </c>
      <c r="H254" s="1054" t="s">
        <v>1495</v>
      </c>
      <c r="I254" s="1079" t="s">
        <v>1559</v>
      </c>
      <c r="J254" s="1043" t="s">
        <v>1535</v>
      </c>
      <c r="K254" s="1027" t="s">
        <v>674</v>
      </c>
      <c r="L254" s="1073" t="s">
        <v>675</v>
      </c>
      <c r="M254" s="1030">
        <v>38500000</v>
      </c>
      <c r="N254" s="1044" t="s">
        <v>730</v>
      </c>
      <c r="O254" s="1056" t="s">
        <v>1536</v>
      </c>
      <c r="P254" s="1056"/>
      <c r="Q254" s="1027"/>
      <c r="R254" s="1022"/>
      <c r="S254" s="1130">
        <v>162</v>
      </c>
      <c r="T254" s="1156">
        <v>38500000</v>
      </c>
    </row>
    <row r="255" spans="1:20" s="995" customFormat="1" ht="66" x14ac:dyDescent="0.3">
      <c r="A255" s="1023">
        <v>2022250</v>
      </c>
      <c r="B255" s="1023">
        <v>7655</v>
      </c>
      <c r="C255" s="1023" t="s">
        <v>668</v>
      </c>
      <c r="D255" s="1039" t="s">
        <v>1561</v>
      </c>
      <c r="E255" s="1040">
        <v>80111600</v>
      </c>
      <c r="F255" s="1068" t="s">
        <v>929</v>
      </c>
      <c r="G255" s="1078" t="s">
        <v>1495</v>
      </c>
      <c r="H255" s="1078" t="s">
        <v>1495</v>
      </c>
      <c r="I255" s="1079" t="s">
        <v>1559</v>
      </c>
      <c r="J255" s="1043" t="s">
        <v>1535</v>
      </c>
      <c r="K255" s="1027" t="s">
        <v>674</v>
      </c>
      <c r="L255" s="1073" t="s">
        <v>675</v>
      </c>
      <c r="M255" s="1030">
        <v>95700000</v>
      </c>
      <c r="N255" s="1044" t="s">
        <v>730</v>
      </c>
      <c r="O255" s="1056" t="s">
        <v>1536</v>
      </c>
      <c r="P255" s="1056"/>
      <c r="Q255" s="1027"/>
      <c r="R255" s="1022"/>
      <c r="S255" s="1130">
        <v>214</v>
      </c>
      <c r="T255" s="1156">
        <v>95700000</v>
      </c>
    </row>
    <row r="256" spans="1:20" s="995" customFormat="1" ht="92.4" x14ac:dyDescent="0.3">
      <c r="A256" s="1023">
        <v>2022251</v>
      </c>
      <c r="B256" s="1023">
        <v>7658</v>
      </c>
      <c r="C256" s="1023" t="s">
        <v>679</v>
      </c>
      <c r="D256" s="1039" t="s">
        <v>689</v>
      </c>
      <c r="E256" s="1040">
        <v>80111600</v>
      </c>
      <c r="F256" s="1026" t="s">
        <v>930</v>
      </c>
      <c r="G256" s="1041">
        <v>44575</v>
      </c>
      <c r="H256" s="1041">
        <v>44575</v>
      </c>
      <c r="I256" s="1042" t="s">
        <v>1534</v>
      </c>
      <c r="J256" s="1043" t="s">
        <v>1535</v>
      </c>
      <c r="K256" s="1027" t="s">
        <v>674</v>
      </c>
      <c r="L256" s="1029" t="s">
        <v>675</v>
      </c>
      <c r="M256" s="1030">
        <v>103500000</v>
      </c>
      <c r="N256" s="1083" t="s">
        <v>744</v>
      </c>
      <c r="O256" s="1083" t="s">
        <v>1562</v>
      </c>
      <c r="P256" s="1083"/>
      <c r="Q256" s="1027"/>
      <c r="R256" s="1022"/>
      <c r="S256" s="1130">
        <v>77</v>
      </c>
      <c r="T256" s="1156">
        <v>103500000</v>
      </c>
    </row>
    <row r="257" spans="1:20" s="995" customFormat="1" ht="92.4" x14ac:dyDescent="0.3">
      <c r="A257" s="1023">
        <v>2022253</v>
      </c>
      <c r="B257" s="1023">
        <v>7658</v>
      </c>
      <c r="C257" s="1023" t="s">
        <v>679</v>
      </c>
      <c r="D257" s="1039" t="s">
        <v>689</v>
      </c>
      <c r="E257" s="1040">
        <v>80111600</v>
      </c>
      <c r="F257" s="1026" t="s">
        <v>933</v>
      </c>
      <c r="G257" s="1041">
        <v>44575</v>
      </c>
      <c r="H257" s="1041">
        <v>44575</v>
      </c>
      <c r="I257" s="1042" t="s">
        <v>1534</v>
      </c>
      <c r="J257" s="1043" t="s">
        <v>1535</v>
      </c>
      <c r="K257" s="1027" t="s">
        <v>674</v>
      </c>
      <c r="L257" s="1029" t="s">
        <v>675</v>
      </c>
      <c r="M257" s="1030">
        <v>32775000</v>
      </c>
      <c r="N257" s="1083" t="s">
        <v>744</v>
      </c>
      <c r="O257" s="1083" t="s">
        <v>1562</v>
      </c>
      <c r="P257" s="1083"/>
      <c r="Q257" s="1027"/>
      <c r="R257" s="1022"/>
      <c r="S257" s="1130">
        <v>300</v>
      </c>
      <c r="T257" s="1156">
        <v>32200000</v>
      </c>
    </row>
    <row r="258" spans="1:20" s="995" customFormat="1" ht="92.4" x14ac:dyDescent="0.3">
      <c r="A258" s="1023">
        <v>2022255</v>
      </c>
      <c r="B258" s="1023">
        <v>7658</v>
      </c>
      <c r="C258" s="1023" t="s">
        <v>679</v>
      </c>
      <c r="D258" s="1039" t="s">
        <v>689</v>
      </c>
      <c r="E258" s="1040">
        <v>80111600</v>
      </c>
      <c r="F258" s="1026" t="s">
        <v>934</v>
      </c>
      <c r="G258" s="1041">
        <v>44575</v>
      </c>
      <c r="H258" s="1041">
        <v>44575</v>
      </c>
      <c r="I258" s="1042" t="s">
        <v>1534</v>
      </c>
      <c r="J258" s="1043" t="s">
        <v>1535</v>
      </c>
      <c r="K258" s="1027" t="s">
        <v>674</v>
      </c>
      <c r="L258" s="1029" t="s">
        <v>675</v>
      </c>
      <c r="M258" s="1030">
        <v>83950000</v>
      </c>
      <c r="N258" s="1083" t="s">
        <v>744</v>
      </c>
      <c r="O258" s="1083" t="s">
        <v>1562</v>
      </c>
      <c r="P258" s="1083"/>
      <c r="Q258" s="1027"/>
      <c r="R258" s="1022"/>
      <c r="S258" s="1130">
        <v>238</v>
      </c>
      <c r="T258" s="1156">
        <v>83950000</v>
      </c>
    </row>
    <row r="259" spans="1:20" s="995" customFormat="1" ht="92.4" x14ac:dyDescent="0.3">
      <c r="A259" s="1023">
        <v>2022258</v>
      </c>
      <c r="B259" s="1023">
        <v>7658</v>
      </c>
      <c r="C259" s="1023" t="s">
        <v>679</v>
      </c>
      <c r="D259" s="1039" t="s">
        <v>689</v>
      </c>
      <c r="E259" s="1040">
        <v>80111600</v>
      </c>
      <c r="F259" s="1026" t="s">
        <v>936</v>
      </c>
      <c r="G259" s="1041">
        <v>44575</v>
      </c>
      <c r="H259" s="1041">
        <v>44575</v>
      </c>
      <c r="I259" s="1042" t="s">
        <v>1534</v>
      </c>
      <c r="J259" s="1043" t="s">
        <v>1535</v>
      </c>
      <c r="K259" s="1027" t="s">
        <v>674</v>
      </c>
      <c r="L259" s="1029" t="s">
        <v>675</v>
      </c>
      <c r="M259" s="1030">
        <v>83950000</v>
      </c>
      <c r="N259" s="1083" t="s">
        <v>744</v>
      </c>
      <c r="O259" s="1083" t="s">
        <v>1562</v>
      </c>
      <c r="P259" s="1083"/>
      <c r="Q259" s="1027"/>
      <c r="R259" s="1022"/>
      <c r="S259" s="1130">
        <v>215</v>
      </c>
      <c r="T259" s="1156">
        <v>43800000</v>
      </c>
    </row>
    <row r="260" spans="1:20" s="995" customFormat="1" ht="92.4" x14ac:dyDescent="0.3">
      <c r="A260" s="1023">
        <v>2022260</v>
      </c>
      <c r="B260" s="1023">
        <v>7658</v>
      </c>
      <c r="C260" s="1023" t="s">
        <v>679</v>
      </c>
      <c r="D260" s="1039" t="s">
        <v>689</v>
      </c>
      <c r="E260" s="1040">
        <v>80111600</v>
      </c>
      <c r="F260" s="1026" t="s">
        <v>936</v>
      </c>
      <c r="G260" s="1041">
        <v>44575</v>
      </c>
      <c r="H260" s="1041">
        <v>44575</v>
      </c>
      <c r="I260" s="1042" t="s">
        <v>1534</v>
      </c>
      <c r="J260" s="1043" t="s">
        <v>1535</v>
      </c>
      <c r="K260" s="1027" t="s">
        <v>674</v>
      </c>
      <c r="L260" s="1029" t="s">
        <v>675</v>
      </c>
      <c r="M260" s="1030">
        <v>83950000</v>
      </c>
      <c r="N260" s="1083" t="s">
        <v>744</v>
      </c>
      <c r="O260" s="1083" t="s">
        <v>1562</v>
      </c>
      <c r="P260" s="1083"/>
      <c r="Q260" s="1027"/>
      <c r="R260" s="1022"/>
      <c r="S260" s="1130">
        <v>401</v>
      </c>
      <c r="T260" s="1156">
        <v>51100000</v>
      </c>
    </row>
    <row r="261" spans="1:20" s="995" customFormat="1" ht="92.4" x14ac:dyDescent="0.3">
      <c r="A261" s="1023">
        <v>2022261</v>
      </c>
      <c r="B261" s="1023">
        <v>7658</v>
      </c>
      <c r="C261" s="1023" t="s">
        <v>679</v>
      </c>
      <c r="D261" s="1039" t="s">
        <v>689</v>
      </c>
      <c r="E261" s="1040">
        <v>80111600</v>
      </c>
      <c r="F261" s="1026" t="s">
        <v>936</v>
      </c>
      <c r="G261" s="1041">
        <v>44575</v>
      </c>
      <c r="H261" s="1041">
        <v>44575</v>
      </c>
      <c r="I261" s="1042" t="s">
        <v>1534</v>
      </c>
      <c r="J261" s="1043" t="s">
        <v>1535</v>
      </c>
      <c r="K261" s="1027" t="s">
        <v>674</v>
      </c>
      <c r="L261" s="1029" t="s">
        <v>675</v>
      </c>
      <c r="M261" s="1030">
        <v>83950000</v>
      </c>
      <c r="N261" s="1083" t="s">
        <v>744</v>
      </c>
      <c r="O261" s="1083" t="s">
        <v>1562</v>
      </c>
      <c r="P261" s="1083"/>
      <c r="Q261" s="1027"/>
      <c r="R261" s="1022"/>
      <c r="S261" s="1130">
        <v>138</v>
      </c>
      <c r="T261" s="1156">
        <v>78200000</v>
      </c>
    </row>
    <row r="262" spans="1:20" s="995" customFormat="1" ht="92.4" x14ac:dyDescent="0.3">
      <c r="A262" s="1023">
        <v>2022262</v>
      </c>
      <c r="B262" s="1023">
        <v>7658</v>
      </c>
      <c r="C262" s="1023" t="s">
        <v>679</v>
      </c>
      <c r="D262" s="1039" t="s">
        <v>689</v>
      </c>
      <c r="E262" s="1040">
        <v>80111600</v>
      </c>
      <c r="F262" s="1026" t="s">
        <v>936</v>
      </c>
      <c r="G262" s="1041">
        <v>44575</v>
      </c>
      <c r="H262" s="1041">
        <v>44575</v>
      </c>
      <c r="I262" s="1042" t="s">
        <v>1534</v>
      </c>
      <c r="J262" s="1043" t="s">
        <v>1535</v>
      </c>
      <c r="K262" s="1027" t="s">
        <v>674</v>
      </c>
      <c r="L262" s="1029" t="s">
        <v>675</v>
      </c>
      <c r="M262" s="1030">
        <v>83950000</v>
      </c>
      <c r="N262" s="1083" t="s">
        <v>744</v>
      </c>
      <c r="O262" s="1083" t="s">
        <v>1562</v>
      </c>
      <c r="P262" s="1083"/>
      <c r="Q262" s="1027"/>
      <c r="R262" s="1022"/>
      <c r="S262" s="1130">
        <v>255</v>
      </c>
      <c r="T262" s="1156">
        <v>83950000</v>
      </c>
    </row>
    <row r="263" spans="1:20" s="995" customFormat="1" ht="92.4" x14ac:dyDescent="0.3">
      <c r="A263" s="1023">
        <v>2022264</v>
      </c>
      <c r="B263" s="1023">
        <v>7658</v>
      </c>
      <c r="C263" s="1023" t="s">
        <v>679</v>
      </c>
      <c r="D263" s="1039" t="s">
        <v>689</v>
      </c>
      <c r="E263" s="1040">
        <v>80111600</v>
      </c>
      <c r="F263" s="1026" t="s">
        <v>937</v>
      </c>
      <c r="G263" s="1041">
        <v>44575</v>
      </c>
      <c r="H263" s="1041">
        <v>44575</v>
      </c>
      <c r="I263" s="1042" t="s">
        <v>1534</v>
      </c>
      <c r="J263" s="1043" t="s">
        <v>1535</v>
      </c>
      <c r="K263" s="1027" t="s">
        <v>674</v>
      </c>
      <c r="L263" s="1029" t="s">
        <v>675</v>
      </c>
      <c r="M263" s="1030">
        <v>44275000</v>
      </c>
      <c r="N263" s="1083" t="s">
        <v>744</v>
      </c>
      <c r="O263" s="1083" t="s">
        <v>1562</v>
      </c>
      <c r="P263" s="1083"/>
      <c r="Q263" s="1027"/>
      <c r="R263" s="1022"/>
      <c r="S263" s="1130">
        <v>373</v>
      </c>
      <c r="T263" s="1156">
        <v>44275000</v>
      </c>
    </row>
    <row r="264" spans="1:20" s="995" customFormat="1" ht="92.4" x14ac:dyDescent="0.3">
      <c r="A264" s="1023">
        <v>2022265</v>
      </c>
      <c r="B264" s="1023">
        <v>7658</v>
      </c>
      <c r="C264" s="1023" t="s">
        <v>679</v>
      </c>
      <c r="D264" s="1039" t="s">
        <v>689</v>
      </c>
      <c r="E264" s="1040">
        <v>80111600</v>
      </c>
      <c r="F264" s="1026" t="s">
        <v>938</v>
      </c>
      <c r="G264" s="1041">
        <v>44575</v>
      </c>
      <c r="H264" s="1041">
        <v>44575</v>
      </c>
      <c r="I264" s="1042" t="s">
        <v>1534</v>
      </c>
      <c r="J264" s="1043" t="s">
        <v>1535</v>
      </c>
      <c r="K264" s="1027" t="s">
        <v>674</v>
      </c>
      <c r="L264" s="1029" t="s">
        <v>675</v>
      </c>
      <c r="M264" s="1030">
        <v>28175000</v>
      </c>
      <c r="N264" s="1083" t="s">
        <v>744</v>
      </c>
      <c r="O264" s="1083" t="s">
        <v>1562</v>
      </c>
      <c r="P264" s="1083"/>
      <c r="Q264" s="1027"/>
      <c r="R264" s="1022"/>
      <c r="S264" s="1130">
        <v>257</v>
      </c>
      <c r="T264" s="1156">
        <v>28175000</v>
      </c>
    </row>
    <row r="265" spans="1:20" s="995" customFormat="1" ht="92.4" x14ac:dyDescent="0.3">
      <c r="A265" s="1023">
        <v>2022266</v>
      </c>
      <c r="B265" s="1023">
        <v>7658</v>
      </c>
      <c r="C265" s="1023" t="s">
        <v>679</v>
      </c>
      <c r="D265" s="1039" t="s">
        <v>689</v>
      </c>
      <c r="E265" s="1040">
        <v>80111600</v>
      </c>
      <c r="F265" s="1026" t="s">
        <v>939</v>
      </c>
      <c r="G265" s="1041">
        <v>44575</v>
      </c>
      <c r="H265" s="1041">
        <v>44575</v>
      </c>
      <c r="I265" s="1042" t="s">
        <v>1534</v>
      </c>
      <c r="J265" s="1043" t="s">
        <v>1535</v>
      </c>
      <c r="K265" s="1027" t="s">
        <v>674</v>
      </c>
      <c r="L265" s="1029" t="s">
        <v>675</v>
      </c>
      <c r="M265" s="1030">
        <v>63250000</v>
      </c>
      <c r="N265" s="1083" t="s">
        <v>744</v>
      </c>
      <c r="O265" s="1083" t="s">
        <v>1562</v>
      </c>
      <c r="P265" s="1083"/>
      <c r="Q265" s="1027"/>
      <c r="R265" s="1022"/>
      <c r="S265" s="1130">
        <v>110</v>
      </c>
      <c r="T265" s="1156">
        <v>63250000</v>
      </c>
    </row>
    <row r="266" spans="1:20" s="995" customFormat="1" ht="92.4" x14ac:dyDescent="0.3">
      <c r="A266" s="1023">
        <v>2022267</v>
      </c>
      <c r="B266" s="1023">
        <v>7658</v>
      </c>
      <c r="C266" s="1023" t="s">
        <v>679</v>
      </c>
      <c r="D266" s="1039" t="s">
        <v>689</v>
      </c>
      <c r="E266" s="1040">
        <v>80111600</v>
      </c>
      <c r="F266" s="1026" t="s">
        <v>940</v>
      </c>
      <c r="G266" s="1041">
        <v>44575</v>
      </c>
      <c r="H266" s="1041">
        <v>44575</v>
      </c>
      <c r="I266" s="1042" t="s">
        <v>1534</v>
      </c>
      <c r="J266" s="1043" t="s">
        <v>1535</v>
      </c>
      <c r="K266" s="1027" t="s">
        <v>674</v>
      </c>
      <c r="L266" s="1029" t="s">
        <v>675</v>
      </c>
      <c r="M266" s="1030">
        <v>28175000</v>
      </c>
      <c r="N266" s="1083" t="s">
        <v>744</v>
      </c>
      <c r="O266" s="1083" t="s">
        <v>1562</v>
      </c>
      <c r="P266" s="1083"/>
      <c r="Q266" s="1027"/>
      <c r="R266" s="1022"/>
      <c r="S266" s="1130">
        <v>441</v>
      </c>
      <c r="T266" s="1156">
        <v>28175000</v>
      </c>
    </row>
    <row r="267" spans="1:20" s="995" customFormat="1" ht="92.4" x14ac:dyDescent="0.3">
      <c r="A267" s="1023">
        <v>2022268</v>
      </c>
      <c r="B267" s="1023">
        <v>7658</v>
      </c>
      <c r="C267" s="1023" t="s">
        <v>679</v>
      </c>
      <c r="D267" s="1039" t="s">
        <v>689</v>
      </c>
      <c r="E267" s="1040">
        <v>80111600</v>
      </c>
      <c r="F267" s="1026" t="s">
        <v>940</v>
      </c>
      <c r="G267" s="1041">
        <v>44575</v>
      </c>
      <c r="H267" s="1041">
        <v>44575</v>
      </c>
      <c r="I267" s="1042" t="s">
        <v>1534</v>
      </c>
      <c r="J267" s="1043" t="s">
        <v>1535</v>
      </c>
      <c r="K267" s="1027" t="s">
        <v>674</v>
      </c>
      <c r="L267" s="1029" t="s">
        <v>675</v>
      </c>
      <c r="M267" s="1030">
        <v>28175000</v>
      </c>
      <c r="N267" s="1083" t="s">
        <v>744</v>
      </c>
      <c r="O267" s="1083" t="s">
        <v>1562</v>
      </c>
      <c r="P267" s="1083"/>
      <c r="Q267" s="1027"/>
      <c r="R267" s="1022"/>
      <c r="S267" s="1130">
        <v>370</v>
      </c>
      <c r="T267" s="1156">
        <v>28175000</v>
      </c>
    </row>
    <row r="268" spans="1:20" s="995" customFormat="1" ht="92.4" x14ac:dyDescent="0.3">
      <c r="A268" s="1023">
        <v>2022269</v>
      </c>
      <c r="B268" s="1023">
        <v>7658</v>
      </c>
      <c r="C268" s="1023" t="s">
        <v>679</v>
      </c>
      <c r="D268" s="1039" t="s">
        <v>689</v>
      </c>
      <c r="E268" s="1040">
        <v>80111600</v>
      </c>
      <c r="F268" s="1026" t="s">
        <v>940</v>
      </c>
      <c r="G268" s="1041">
        <v>44575</v>
      </c>
      <c r="H268" s="1041">
        <v>44575</v>
      </c>
      <c r="I268" s="1042" t="s">
        <v>1534</v>
      </c>
      <c r="J268" s="1043" t="s">
        <v>1535</v>
      </c>
      <c r="K268" s="1027" t="s">
        <v>674</v>
      </c>
      <c r="L268" s="1029" t="s">
        <v>675</v>
      </c>
      <c r="M268" s="1030">
        <v>28175000</v>
      </c>
      <c r="N268" s="1083" t="s">
        <v>744</v>
      </c>
      <c r="O268" s="1083" t="s">
        <v>1562</v>
      </c>
      <c r="P268" s="1083"/>
      <c r="Q268" s="1027"/>
      <c r="R268" s="1022"/>
      <c r="S268" s="1130">
        <v>438</v>
      </c>
      <c r="T268" s="1156">
        <v>28175000</v>
      </c>
    </row>
    <row r="269" spans="1:20" s="995" customFormat="1" ht="92.4" x14ac:dyDescent="0.3">
      <c r="A269" s="1023">
        <v>2022270</v>
      </c>
      <c r="B269" s="1023">
        <v>7658</v>
      </c>
      <c r="C269" s="1023" t="s">
        <v>679</v>
      </c>
      <c r="D269" s="1039" t="s">
        <v>689</v>
      </c>
      <c r="E269" s="1040">
        <v>80111600</v>
      </c>
      <c r="F269" s="1026" t="s">
        <v>940</v>
      </c>
      <c r="G269" s="1041">
        <v>44575</v>
      </c>
      <c r="H269" s="1041">
        <v>44575</v>
      </c>
      <c r="I269" s="1042" t="s">
        <v>1534</v>
      </c>
      <c r="J269" s="1043" t="s">
        <v>1535</v>
      </c>
      <c r="K269" s="1027" t="s">
        <v>674</v>
      </c>
      <c r="L269" s="1029" t="s">
        <v>675</v>
      </c>
      <c r="M269" s="1030">
        <v>28175000</v>
      </c>
      <c r="N269" s="1083" t="s">
        <v>744</v>
      </c>
      <c r="O269" s="1083" t="s">
        <v>1562</v>
      </c>
      <c r="P269" s="1083"/>
      <c r="Q269" s="1027"/>
      <c r="R269" s="1022"/>
      <c r="S269" s="1130">
        <v>317</v>
      </c>
      <c r="T269" s="1156">
        <v>28175000</v>
      </c>
    </row>
    <row r="270" spans="1:20" s="995" customFormat="1" ht="92.4" x14ac:dyDescent="0.3">
      <c r="A270" s="1023">
        <v>2022271</v>
      </c>
      <c r="B270" s="1023">
        <v>7658</v>
      </c>
      <c r="C270" s="1023" t="s">
        <v>679</v>
      </c>
      <c r="D270" s="1039" t="s">
        <v>689</v>
      </c>
      <c r="E270" s="1040">
        <v>80111600</v>
      </c>
      <c r="F270" s="1026" t="s">
        <v>940</v>
      </c>
      <c r="G270" s="1041">
        <v>44575</v>
      </c>
      <c r="H270" s="1041">
        <v>44575</v>
      </c>
      <c r="I270" s="1042" t="s">
        <v>1534</v>
      </c>
      <c r="J270" s="1043" t="s">
        <v>1535</v>
      </c>
      <c r="K270" s="1027" t="s">
        <v>674</v>
      </c>
      <c r="L270" s="1029" t="s">
        <v>675</v>
      </c>
      <c r="M270" s="1030">
        <v>28175000</v>
      </c>
      <c r="N270" s="1083" t="s">
        <v>744</v>
      </c>
      <c r="O270" s="1083" t="s">
        <v>1562</v>
      </c>
      <c r="P270" s="1083"/>
      <c r="Q270" s="1027"/>
      <c r="R270" s="1022"/>
      <c r="S270" s="1130">
        <v>319</v>
      </c>
      <c r="T270" s="1156">
        <v>28175000</v>
      </c>
    </row>
    <row r="271" spans="1:20" s="995" customFormat="1" ht="92.4" x14ac:dyDescent="0.3">
      <c r="A271" s="1023">
        <v>2022272</v>
      </c>
      <c r="B271" s="1023">
        <v>7658</v>
      </c>
      <c r="C271" s="1023" t="s">
        <v>679</v>
      </c>
      <c r="D271" s="1039" t="s">
        <v>689</v>
      </c>
      <c r="E271" s="1040">
        <v>80111600</v>
      </c>
      <c r="F271" s="1026" t="s">
        <v>940</v>
      </c>
      <c r="G271" s="1041">
        <v>44575</v>
      </c>
      <c r="H271" s="1041">
        <v>44575</v>
      </c>
      <c r="I271" s="1042" t="s">
        <v>1534</v>
      </c>
      <c r="J271" s="1043" t="s">
        <v>1535</v>
      </c>
      <c r="K271" s="1027" t="s">
        <v>674</v>
      </c>
      <c r="L271" s="1029" t="s">
        <v>675</v>
      </c>
      <c r="M271" s="1030">
        <v>28175000</v>
      </c>
      <c r="N271" s="1083" t="s">
        <v>744</v>
      </c>
      <c r="O271" s="1083" t="s">
        <v>1562</v>
      </c>
      <c r="P271" s="1083"/>
      <c r="Q271" s="1027"/>
      <c r="R271" s="1022"/>
      <c r="S271" s="1130">
        <v>337</v>
      </c>
      <c r="T271" s="1156">
        <v>28175000</v>
      </c>
    </row>
    <row r="272" spans="1:20" s="995" customFormat="1" ht="92.4" x14ac:dyDescent="0.3">
      <c r="A272" s="1023">
        <v>2022273</v>
      </c>
      <c r="B272" s="1023">
        <v>7658</v>
      </c>
      <c r="C272" s="1023" t="s">
        <v>679</v>
      </c>
      <c r="D272" s="1039" t="s">
        <v>689</v>
      </c>
      <c r="E272" s="1040">
        <v>80111600</v>
      </c>
      <c r="F272" s="1026" t="s">
        <v>940</v>
      </c>
      <c r="G272" s="1041">
        <v>44575</v>
      </c>
      <c r="H272" s="1041">
        <v>44575</v>
      </c>
      <c r="I272" s="1042" t="s">
        <v>1534</v>
      </c>
      <c r="J272" s="1043" t="s">
        <v>1535</v>
      </c>
      <c r="K272" s="1027" t="s">
        <v>674</v>
      </c>
      <c r="L272" s="1029" t="s">
        <v>675</v>
      </c>
      <c r="M272" s="1030">
        <v>28175000</v>
      </c>
      <c r="N272" s="1083" t="s">
        <v>744</v>
      </c>
      <c r="O272" s="1083" t="s">
        <v>1562</v>
      </c>
      <c r="P272" s="1083"/>
      <c r="Q272" s="1027"/>
      <c r="R272" s="1022"/>
      <c r="S272" s="1130">
        <v>400</v>
      </c>
      <c r="T272" s="1156">
        <v>28175000</v>
      </c>
    </row>
    <row r="273" spans="1:103" s="995" customFormat="1" ht="92.4" x14ac:dyDescent="0.3">
      <c r="A273" s="1023">
        <v>2022274</v>
      </c>
      <c r="B273" s="1023">
        <v>7658</v>
      </c>
      <c r="C273" s="1023" t="s">
        <v>679</v>
      </c>
      <c r="D273" s="1039" t="s">
        <v>689</v>
      </c>
      <c r="E273" s="1040">
        <v>80111600</v>
      </c>
      <c r="F273" s="1026" t="s">
        <v>940</v>
      </c>
      <c r="G273" s="1041">
        <v>44575</v>
      </c>
      <c r="H273" s="1041">
        <v>44575</v>
      </c>
      <c r="I273" s="1042" t="s">
        <v>1534</v>
      </c>
      <c r="J273" s="1043" t="s">
        <v>1535</v>
      </c>
      <c r="K273" s="1027" t="s">
        <v>674</v>
      </c>
      <c r="L273" s="1029" t="s">
        <v>675</v>
      </c>
      <c r="M273" s="1030">
        <v>28175000</v>
      </c>
      <c r="N273" s="1083" t="s">
        <v>744</v>
      </c>
      <c r="O273" s="1083" t="s">
        <v>1562</v>
      </c>
      <c r="P273" s="1083"/>
      <c r="Q273" s="1027"/>
      <c r="R273" s="1022"/>
      <c r="S273" s="1130">
        <v>425</v>
      </c>
      <c r="T273" s="1156">
        <v>28175000</v>
      </c>
    </row>
    <row r="274" spans="1:103" s="995" customFormat="1" ht="92.4" x14ac:dyDescent="0.3">
      <c r="A274" s="1023">
        <v>2022275</v>
      </c>
      <c r="B274" s="1023">
        <v>7658</v>
      </c>
      <c r="C274" s="1023" t="s">
        <v>679</v>
      </c>
      <c r="D274" s="1039" t="s">
        <v>689</v>
      </c>
      <c r="E274" s="1040">
        <v>80111600</v>
      </c>
      <c r="F274" s="1026" t="s">
        <v>940</v>
      </c>
      <c r="G274" s="1041">
        <v>44575</v>
      </c>
      <c r="H274" s="1041">
        <v>44575</v>
      </c>
      <c r="I274" s="1042" t="s">
        <v>1534</v>
      </c>
      <c r="J274" s="1043" t="s">
        <v>1535</v>
      </c>
      <c r="K274" s="1027" t="s">
        <v>674</v>
      </c>
      <c r="L274" s="1029" t="s">
        <v>675</v>
      </c>
      <c r="M274" s="1030">
        <v>28175000</v>
      </c>
      <c r="N274" s="1083" t="s">
        <v>744</v>
      </c>
      <c r="O274" s="1083" t="s">
        <v>1562</v>
      </c>
      <c r="P274" s="1083"/>
      <c r="Q274" s="1027"/>
      <c r="R274" s="1022"/>
      <c r="S274" s="1130">
        <v>369</v>
      </c>
      <c r="T274" s="1156">
        <v>28175000</v>
      </c>
    </row>
    <row r="275" spans="1:103" s="995" customFormat="1" ht="92.4" x14ac:dyDescent="0.3">
      <c r="A275" s="1023">
        <v>2022276</v>
      </c>
      <c r="B275" s="1023">
        <v>7658</v>
      </c>
      <c r="C275" s="1023" t="s">
        <v>679</v>
      </c>
      <c r="D275" s="1039" t="s">
        <v>689</v>
      </c>
      <c r="E275" s="1040">
        <v>80111600</v>
      </c>
      <c r="F275" s="1026" t="s">
        <v>940</v>
      </c>
      <c r="G275" s="1041">
        <v>44575</v>
      </c>
      <c r="H275" s="1041">
        <v>44575</v>
      </c>
      <c r="I275" s="1042" t="s">
        <v>1534</v>
      </c>
      <c r="J275" s="1043" t="s">
        <v>1535</v>
      </c>
      <c r="K275" s="1027" t="s">
        <v>674</v>
      </c>
      <c r="L275" s="1029" t="s">
        <v>675</v>
      </c>
      <c r="M275" s="1030">
        <v>24150000</v>
      </c>
      <c r="N275" s="1083" t="s">
        <v>744</v>
      </c>
      <c r="O275" s="1083" t="s">
        <v>1562</v>
      </c>
      <c r="P275" s="1083"/>
      <c r="Q275" s="1027"/>
      <c r="R275" s="1022"/>
      <c r="S275" s="1130">
        <v>325</v>
      </c>
      <c r="T275" s="1156">
        <v>24150000</v>
      </c>
    </row>
    <row r="276" spans="1:103" s="995" customFormat="1" ht="92.4" x14ac:dyDescent="0.3">
      <c r="A276" s="1023">
        <v>2022277</v>
      </c>
      <c r="B276" s="1023">
        <v>7658</v>
      </c>
      <c r="C276" s="1023" t="s">
        <v>679</v>
      </c>
      <c r="D276" s="1039" t="s">
        <v>689</v>
      </c>
      <c r="E276" s="1040">
        <v>80111600</v>
      </c>
      <c r="F276" s="1026" t="s">
        <v>940</v>
      </c>
      <c r="G276" s="1041">
        <v>44575</v>
      </c>
      <c r="H276" s="1041">
        <v>44575</v>
      </c>
      <c r="I276" s="1042" t="s">
        <v>1534</v>
      </c>
      <c r="J276" s="1043" t="s">
        <v>1535</v>
      </c>
      <c r="K276" s="1027" t="s">
        <v>674</v>
      </c>
      <c r="L276" s="1029" t="s">
        <v>675</v>
      </c>
      <c r="M276" s="1030">
        <v>28175000</v>
      </c>
      <c r="N276" s="1083" t="s">
        <v>744</v>
      </c>
      <c r="O276" s="1083" t="s">
        <v>1562</v>
      </c>
      <c r="P276" s="1083"/>
      <c r="Q276" s="1027"/>
      <c r="R276" s="1022"/>
      <c r="S276" s="1130">
        <v>88</v>
      </c>
      <c r="T276" s="1156">
        <v>28175000</v>
      </c>
    </row>
    <row r="277" spans="1:103" s="995" customFormat="1" ht="92.4" x14ac:dyDescent="0.3">
      <c r="A277" s="1023">
        <v>2022278</v>
      </c>
      <c r="B277" s="1023">
        <v>7658</v>
      </c>
      <c r="C277" s="1023" t="s">
        <v>679</v>
      </c>
      <c r="D277" s="1039" t="s">
        <v>689</v>
      </c>
      <c r="E277" s="1040">
        <v>80111600</v>
      </c>
      <c r="F277" s="1026" t="s">
        <v>940</v>
      </c>
      <c r="G277" s="1041">
        <v>44575</v>
      </c>
      <c r="H277" s="1041">
        <v>44575</v>
      </c>
      <c r="I277" s="1042" t="s">
        <v>1534</v>
      </c>
      <c r="J277" s="1043" t="s">
        <v>1535</v>
      </c>
      <c r="K277" s="1027" t="s">
        <v>674</v>
      </c>
      <c r="L277" s="1029" t="s">
        <v>675</v>
      </c>
      <c r="M277" s="1030">
        <v>28175000</v>
      </c>
      <c r="N277" s="1083" t="s">
        <v>744</v>
      </c>
      <c r="O277" s="1083" t="s">
        <v>1562</v>
      </c>
      <c r="P277" s="1083"/>
      <c r="Q277" s="1027"/>
      <c r="R277" s="1022"/>
      <c r="S277" s="1130">
        <v>335</v>
      </c>
      <c r="T277" s="1156">
        <v>28175000</v>
      </c>
    </row>
    <row r="278" spans="1:103" s="995" customFormat="1" ht="92.4" x14ac:dyDescent="0.3">
      <c r="A278" s="1023">
        <v>2022280</v>
      </c>
      <c r="B278" s="1023">
        <v>7658</v>
      </c>
      <c r="C278" s="1023" t="s">
        <v>679</v>
      </c>
      <c r="D278" s="1039" t="s">
        <v>689</v>
      </c>
      <c r="E278" s="1040">
        <v>80111600</v>
      </c>
      <c r="F278" s="1026" t="s">
        <v>940</v>
      </c>
      <c r="G278" s="1041">
        <v>44575</v>
      </c>
      <c r="H278" s="1041">
        <v>44575</v>
      </c>
      <c r="I278" s="1042" t="s">
        <v>1534</v>
      </c>
      <c r="J278" s="1043" t="s">
        <v>1535</v>
      </c>
      <c r="K278" s="1027" t="s">
        <v>674</v>
      </c>
      <c r="L278" s="1029" t="s">
        <v>675</v>
      </c>
      <c r="M278" s="1030">
        <v>28175000</v>
      </c>
      <c r="N278" s="1083" t="s">
        <v>744</v>
      </c>
      <c r="O278" s="1083" t="s">
        <v>1562</v>
      </c>
      <c r="P278" s="1083"/>
      <c r="Q278" s="1027"/>
      <c r="R278" s="1022"/>
      <c r="S278" s="1130">
        <v>326</v>
      </c>
      <c r="T278" s="1156">
        <v>28175000</v>
      </c>
    </row>
    <row r="279" spans="1:103" s="995" customFormat="1" ht="92.4" x14ac:dyDescent="0.3">
      <c r="A279" s="1023">
        <v>2022281</v>
      </c>
      <c r="B279" s="1023">
        <v>7658</v>
      </c>
      <c r="C279" s="1023" t="s">
        <v>679</v>
      </c>
      <c r="D279" s="1039" t="s">
        <v>689</v>
      </c>
      <c r="E279" s="1040">
        <v>80111600</v>
      </c>
      <c r="F279" s="1026" t="s">
        <v>940</v>
      </c>
      <c r="G279" s="1041">
        <v>44575</v>
      </c>
      <c r="H279" s="1041">
        <v>44575</v>
      </c>
      <c r="I279" s="1042" t="s">
        <v>1534</v>
      </c>
      <c r="J279" s="1043" t="s">
        <v>1535</v>
      </c>
      <c r="K279" s="1027" t="s">
        <v>674</v>
      </c>
      <c r="L279" s="1029" t="s">
        <v>675</v>
      </c>
      <c r="M279" s="1030">
        <v>28175000</v>
      </c>
      <c r="N279" s="1083" t="s">
        <v>744</v>
      </c>
      <c r="O279" s="1083" t="s">
        <v>1562</v>
      </c>
      <c r="P279" s="1083"/>
      <c r="Q279" s="1027"/>
      <c r="R279" s="1022"/>
      <c r="S279" s="1130">
        <v>320</v>
      </c>
      <c r="T279" s="1156">
        <v>28175000</v>
      </c>
    </row>
    <row r="280" spans="1:103" s="995" customFormat="1" ht="92.4" x14ac:dyDescent="0.3">
      <c r="A280" s="1023">
        <v>2022283</v>
      </c>
      <c r="B280" s="1023">
        <v>7658</v>
      </c>
      <c r="C280" s="1023" t="s">
        <v>679</v>
      </c>
      <c r="D280" s="1039" t="s">
        <v>689</v>
      </c>
      <c r="E280" s="1040">
        <v>80111600</v>
      </c>
      <c r="F280" s="1026" t="s">
        <v>941</v>
      </c>
      <c r="G280" s="1041">
        <v>44575</v>
      </c>
      <c r="H280" s="1041">
        <v>44575</v>
      </c>
      <c r="I280" s="1042" t="s">
        <v>1534</v>
      </c>
      <c r="J280" s="1043" t="s">
        <v>1535</v>
      </c>
      <c r="K280" s="1027" t="s">
        <v>674</v>
      </c>
      <c r="L280" s="1029" t="s">
        <v>675</v>
      </c>
      <c r="M280" s="1030">
        <v>47150000</v>
      </c>
      <c r="N280" s="1083" t="s">
        <v>744</v>
      </c>
      <c r="O280" s="1083" t="s">
        <v>1562</v>
      </c>
      <c r="P280" s="1083"/>
      <c r="Q280" s="1027"/>
      <c r="R280" s="1022"/>
      <c r="S280" s="1130">
        <v>476</v>
      </c>
      <c r="T280" s="1156">
        <v>44275000</v>
      </c>
    </row>
    <row r="281" spans="1:103" s="995" customFormat="1" ht="92.4" x14ac:dyDescent="0.3">
      <c r="A281" s="1023">
        <v>2022284</v>
      </c>
      <c r="B281" s="1023">
        <v>7658</v>
      </c>
      <c r="C281" s="1023" t="s">
        <v>679</v>
      </c>
      <c r="D281" s="1039" t="s">
        <v>689</v>
      </c>
      <c r="E281" s="1040">
        <v>80111600</v>
      </c>
      <c r="F281" s="1026" t="s">
        <v>930</v>
      </c>
      <c r="G281" s="1041">
        <v>44575</v>
      </c>
      <c r="H281" s="1041">
        <v>44575</v>
      </c>
      <c r="I281" s="1042" t="s">
        <v>1534</v>
      </c>
      <c r="J281" s="1043" t="s">
        <v>1535</v>
      </c>
      <c r="K281" s="1027" t="s">
        <v>674</v>
      </c>
      <c r="L281" s="1029" t="s">
        <v>675</v>
      </c>
      <c r="M281" s="1030">
        <v>51750000</v>
      </c>
      <c r="N281" s="1083" t="s">
        <v>744</v>
      </c>
      <c r="O281" s="1083" t="s">
        <v>1562</v>
      </c>
      <c r="P281" s="1083"/>
      <c r="Q281" s="1027"/>
      <c r="R281" s="1022"/>
      <c r="S281" s="1130">
        <v>412</v>
      </c>
      <c r="T281" s="1156">
        <v>51100000</v>
      </c>
    </row>
    <row r="282" spans="1:103" s="995" customFormat="1" ht="92.4" x14ac:dyDescent="0.3">
      <c r="A282" s="1023">
        <v>2022304</v>
      </c>
      <c r="B282" s="1023">
        <v>7658</v>
      </c>
      <c r="C282" s="1023" t="s">
        <v>679</v>
      </c>
      <c r="D282" s="1039" t="s">
        <v>689</v>
      </c>
      <c r="E282" s="1086" t="s">
        <v>968</v>
      </c>
      <c r="F282" s="1087" t="s">
        <v>971</v>
      </c>
      <c r="G282" s="1041">
        <v>44606</v>
      </c>
      <c r="H282" s="1041">
        <v>44606</v>
      </c>
      <c r="I282" s="1042" t="s">
        <v>1563</v>
      </c>
      <c r="J282" s="1043" t="s">
        <v>1564</v>
      </c>
      <c r="K282" s="1027" t="s">
        <v>674</v>
      </c>
      <c r="L282" s="1029" t="s">
        <v>970</v>
      </c>
      <c r="M282" s="1030">
        <v>109400000</v>
      </c>
      <c r="N282" s="1083" t="s">
        <v>744</v>
      </c>
      <c r="O282" s="1083" t="s">
        <v>1562</v>
      </c>
      <c r="P282" s="1083"/>
      <c r="Q282" s="1027"/>
      <c r="R282" s="1022"/>
      <c r="S282" s="1130">
        <v>462</v>
      </c>
      <c r="T282" s="1156">
        <v>99859613</v>
      </c>
    </row>
    <row r="283" spans="1:103" s="995" customFormat="1" ht="92.4" x14ac:dyDescent="0.3">
      <c r="A283" s="1013">
        <v>2022252</v>
      </c>
      <c r="B283" s="1013">
        <v>7658</v>
      </c>
      <c r="C283" s="1013" t="s">
        <v>679</v>
      </c>
      <c r="D283" s="1045" t="s">
        <v>689</v>
      </c>
      <c r="E283" s="1046">
        <v>80111600</v>
      </c>
      <c r="F283" s="1016" t="s">
        <v>932</v>
      </c>
      <c r="G283" s="1047">
        <v>44575</v>
      </c>
      <c r="H283" s="1047">
        <v>44575</v>
      </c>
      <c r="I283" s="1048" t="s">
        <v>1534</v>
      </c>
      <c r="J283" s="1049" t="s">
        <v>1535</v>
      </c>
      <c r="K283" s="1017" t="s">
        <v>674</v>
      </c>
      <c r="L283" s="1019" t="s">
        <v>780</v>
      </c>
      <c r="M283" s="1020">
        <v>103500000</v>
      </c>
      <c r="N283" s="1037" t="s">
        <v>744</v>
      </c>
      <c r="O283" s="1037" t="s">
        <v>1562</v>
      </c>
      <c r="P283" s="1037"/>
      <c r="Q283" s="1017"/>
      <c r="R283" s="1022"/>
      <c r="S283" s="1130"/>
      <c r="T283" s="1156"/>
    </row>
    <row r="284" spans="1:103" s="1034" customFormat="1" ht="92.4" x14ac:dyDescent="0.3">
      <c r="A284" s="1013">
        <v>2022254</v>
      </c>
      <c r="B284" s="1013">
        <v>7658</v>
      </c>
      <c r="C284" s="1013" t="s">
        <v>679</v>
      </c>
      <c r="D284" s="1045" t="s">
        <v>689</v>
      </c>
      <c r="E284" s="1046">
        <v>80111600</v>
      </c>
      <c r="F284" s="1016" t="s">
        <v>1565</v>
      </c>
      <c r="G284" s="1047">
        <v>44575</v>
      </c>
      <c r="H284" s="1047">
        <v>44575</v>
      </c>
      <c r="I284" s="1048" t="s">
        <v>1534</v>
      </c>
      <c r="J284" s="1049" t="s">
        <v>1535</v>
      </c>
      <c r="K284" s="1017" t="s">
        <v>674</v>
      </c>
      <c r="L284" s="1019" t="s">
        <v>675</v>
      </c>
      <c r="M284" s="1020">
        <v>63250000</v>
      </c>
      <c r="N284" s="1037" t="s">
        <v>744</v>
      </c>
      <c r="O284" s="1037" t="s">
        <v>1562</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92.4" x14ac:dyDescent="0.3">
      <c r="A285" s="1013">
        <v>2022256</v>
      </c>
      <c r="B285" s="1013">
        <v>7658</v>
      </c>
      <c r="C285" s="1013" t="s">
        <v>679</v>
      </c>
      <c r="D285" s="1045" t="s">
        <v>689</v>
      </c>
      <c r="E285" s="1046">
        <v>80111600</v>
      </c>
      <c r="F285" s="1016" t="s">
        <v>1566</v>
      </c>
      <c r="G285" s="1047">
        <v>44575</v>
      </c>
      <c r="H285" s="1047">
        <v>44575</v>
      </c>
      <c r="I285" s="1048" t="s">
        <v>1534</v>
      </c>
      <c r="J285" s="1049" t="s">
        <v>1535</v>
      </c>
      <c r="K285" s="1017" t="s">
        <v>674</v>
      </c>
      <c r="L285" s="1019" t="s">
        <v>675</v>
      </c>
      <c r="M285" s="1020">
        <v>51750000</v>
      </c>
      <c r="N285" s="1037" t="s">
        <v>744</v>
      </c>
      <c r="O285" s="1037" t="s">
        <v>1562</v>
      </c>
      <c r="P285" s="1037"/>
      <c r="Q285" s="1017"/>
      <c r="R285" s="1022"/>
      <c r="S285" s="1130"/>
      <c r="T285" s="1156"/>
    </row>
    <row r="286" spans="1:103" s="995" customFormat="1" ht="92.4" x14ac:dyDescent="0.3">
      <c r="A286" s="1013">
        <v>2022257</v>
      </c>
      <c r="B286" s="1013">
        <v>7658</v>
      </c>
      <c r="C286" s="1013" t="s">
        <v>679</v>
      </c>
      <c r="D286" s="1045" t="s">
        <v>689</v>
      </c>
      <c r="E286" s="1046">
        <v>80111600</v>
      </c>
      <c r="F286" s="1016" t="s">
        <v>935</v>
      </c>
      <c r="G286" s="1047">
        <v>44575</v>
      </c>
      <c r="H286" s="1047">
        <v>44575</v>
      </c>
      <c r="I286" s="1048" t="s">
        <v>1534</v>
      </c>
      <c r="J286" s="1049" t="s">
        <v>1535</v>
      </c>
      <c r="K286" s="1017" t="s">
        <v>674</v>
      </c>
      <c r="L286" s="1019" t="s">
        <v>675</v>
      </c>
      <c r="M286" s="1020">
        <v>83950000</v>
      </c>
      <c r="N286" s="1037" t="s">
        <v>744</v>
      </c>
      <c r="O286" s="1037" t="s">
        <v>1562</v>
      </c>
      <c r="P286" s="1037"/>
      <c r="Q286" s="1017"/>
      <c r="R286" s="1022"/>
      <c r="S286" s="1130"/>
      <c r="T286" s="1156"/>
    </row>
    <row r="287" spans="1:103" s="995" customFormat="1" ht="92.4" x14ac:dyDescent="0.3">
      <c r="A287" s="1013">
        <v>2022259</v>
      </c>
      <c r="B287" s="1013">
        <v>7658</v>
      </c>
      <c r="C287" s="1013" t="s">
        <v>679</v>
      </c>
      <c r="D287" s="1045" t="s">
        <v>689</v>
      </c>
      <c r="E287" s="1046">
        <v>80111600</v>
      </c>
      <c r="F287" s="1016" t="s">
        <v>1567</v>
      </c>
      <c r="G287" s="1047">
        <v>44575</v>
      </c>
      <c r="H287" s="1047">
        <v>44575</v>
      </c>
      <c r="I287" s="1048" t="s">
        <v>1534</v>
      </c>
      <c r="J287" s="1049" t="s">
        <v>1535</v>
      </c>
      <c r="K287" s="1017" t="s">
        <v>674</v>
      </c>
      <c r="L287" s="1019" t="s">
        <v>675</v>
      </c>
      <c r="M287" s="1020">
        <v>94300000</v>
      </c>
      <c r="N287" s="1037" t="s">
        <v>744</v>
      </c>
      <c r="O287" s="1037" t="s">
        <v>1562</v>
      </c>
      <c r="P287" s="1037"/>
      <c r="Q287" s="1017"/>
      <c r="R287" s="1022"/>
      <c r="S287" s="1130"/>
      <c r="T287" s="1156"/>
    </row>
    <row r="288" spans="1:103" s="995" customFormat="1" ht="92.4" x14ac:dyDescent="0.3">
      <c r="A288" s="1013">
        <v>2022263</v>
      </c>
      <c r="B288" s="1013">
        <v>7658</v>
      </c>
      <c r="C288" s="1013" t="s">
        <v>679</v>
      </c>
      <c r="D288" s="1045" t="s">
        <v>689</v>
      </c>
      <c r="E288" s="1046">
        <v>80111600</v>
      </c>
      <c r="F288" s="1016" t="s">
        <v>935</v>
      </c>
      <c r="G288" s="1047">
        <v>44575</v>
      </c>
      <c r="H288" s="1047">
        <v>44575</v>
      </c>
      <c r="I288" s="1048" t="s">
        <v>1534</v>
      </c>
      <c r="J288" s="1049" t="s">
        <v>1535</v>
      </c>
      <c r="K288" s="1017" t="s">
        <v>674</v>
      </c>
      <c r="L288" s="1019" t="s">
        <v>675</v>
      </c>
      <c r="M288" s="1020">
        <v>78200000</v>
      </c>
      <c r="N288" s="1037" t="s">
        <v>744</v>
      </c>
      <c r="O288" s="1037" t="s">
        <v>1562</v>
      </c>
      <c r="P288" s="1037"/>
      <c r="Q288" s="1017"/>
      <c r="R288" s="1022"/>
      <c r="S288" s="1130"/>
      <c r="T288" s="1156"/>
    </row>
    <row r="289" spans="1:20" s="995" customFormat="1" ht="92.4" x14ac:dyDescent="0.3">
      <c r="A289" s="1131">
        <v>2022279</v>
      </c>
      <c r="B289" s="1131">
        <v>7658</v>
      </c>
      <c r="C289" s="1131" t="s">
        <v>679</v>
      </c>
      <c r="D289" s="1139" t="s">
        <v>689</v>
      </c>
      <c r="E289" s="1145">
        <v>80111600</v>
      </c>
      <c r="F289" s="1134" t="s">
        <v>940</v>
      </c>
      <c r="G289" s="1141">
        <v>44575</v>
      </c>
      <c r="H289" s="1141">
        <v>44575</v>
      </c>
      <c r="I289" s="1142" t="s">
        <v>1534</v>
      </c>
      <c r="J289" s="1143" t="s">
        <v>1535</v>
      </c>
      <c r="K289" s="1135" t="s">
        <v>674</v>
      </c>
      <c r="L289" s="1132" t="s">
        <v>675</v>
      </c>
      <c r="M289" s="1136">
        <v>28175000</v>
      </c>
      <c r="N289" s="1151" t="s">
        <v>744</v>
      </c>
      <c r="O289" s="1151" t="s">
        <v>1562</v>
      </c>
      <c r="P289" s="1151"/>
      <c r="Q289" s="1135"/>
      <c r="R289" s="1130">
        <v>209</v>
      </c>
      <c r="S289" s="1130"/>
      <c r="T289" s="1156"/>
    </row>
    <row r="290" spans="1:20" s="995" customFormat="1" ht="92.4" x14ac:dyDescent="0.3">
      <c r="A290" s="1013">
        <v>2022282</v>
      </c>
      <c r="B290" s="1013">
        <v>7658</v>
      </c>
      <c r="C290" s="1013" t="s">
        <v>679</v>
      </c>
      <c r="D290" s="1045" t="s">
        <v>689</v>
      </c>
      <c r="E290" s="1046">
        <v>80111600</v>
      </c>
      <c r="F290" s="1016" t="s">
        <v>1568</v>
      </c>
      <c r="G290" s="1047">
        <v>44575</v>
      </c>
      <c r="H290" s="1141">
        <v>44575</v>
      </c>
      <c r="I290" s="1048" t="s">
        <v>1534</v>
      </c>
      <c r="J290" s="1049" t="s">
        <v>1535</v>
      </c>
      <c r="K290" s="1017" t="s">
        <v>674</v>
      </c>
      <c r="L290" s="1019" t="s">
        <v>675</v>
      </c>
      <c r="M290" s="1020">
        <v>92000000</v>
      </c>
      <c r="N290" s="1037" t="s">
        <v>744</v>
      </c>
      <c r="O290" s="1037" t="s">
        <v>1562</v>
      </c>
      <c r="P290" s="1037"/>
      <c r="Q290" s="1017"/>
      <c r="R290" s="1022"/>
      <c r="S290" s="1130"/>
      <c r="T290" s="1156"/>
    </row>
    <row r="291" spans="1:20" s="995" customFormat="1" ht="92.4" x14ac:dyDescent="0.3">
      <c r="A291" s="1013">
        <v>2022285</v>
      </c>
      <c r="B291" s="1013">
        <v>7658</v>
      </c>
      <c r="C291" s="1013" t="s">
        <v>679</v>
      </c>
      <c r="D291" s="1045" t="s">
        <v>689</v>
      </c>
      <c r="E291" s="1051" t="s">
        <v>942</v>
      </c>
      <c r="F291" s="1016" t="s">
        <v>1569</v>
      </c>
      <c r="G291" s="1047">
        <v>44774</v>
      </c>
      <c r="H291" s="1141">
        <v>44774</v>
      </c>
      <c r="I291" s="1048" t="s">
        <v>1538</v>
      </c>
      <c r="J291" s="1049" t="s">
        <v>1503</v>
      </c>
      <c r="K291" s="1017" t="s">
        <v>674</v>
      </c>
      <c r="L291" s="1019" t="s">
        <v>944</v>
      </c>
      <c r="M291" s="1020">
        <v>100000000</v>
      </c>
      <c r="N291" s="1037" t="s">
        <v>744</v>
      </c>
      <c r="O291" s="1037" t="s">
        <v>1562</v>
      </c>
      <c r="P291" s="1037"/>
      <c r="Q291" s="1017"/>
      <c r="R291" s="1022"/>
      <c r="S291" s="1130"/>
      <c r="T291" s="1156"/>
    </row>
    <row r="292" spans="1:20" s="995" customFormat="1" ht="92.4" x14ac:dyDescent="0.3">
      <c r="A292" s="1013">
        <v>2022286</v>
      </c>
      <c r="B292" s="1013">
        <v>7658</v>
      </c>
      <c r="C292" s="1013" t="s">
        <v>679</v>
      </c>
      <c r="D292" s="1045" t="s">
        <v>689</v>
      </c>
      <c r="E292" s="1051" t="s">
        <v>946</v>
      </c>
      <c r="F292" s="1084" t="s">
        <v>1570</v>
      </c>
      <c r="G292" s="1047">
        <v>44774</v>
      </c>
      <c r="H292" s="1141">
        <v>44774</v>
      </c>
      <c r="I292" s="1048" t="s">
        <v>1538</v>
      </c>
      <c r="J292" s="1049" t="s">
        <v>1503</v>
      </c>
      <c r="K292" s="1014" t="s">
        <v>674</v>
      </c>
      <c r="L292" s="1085" t="s">
        <v>948</v>
      </c>
      <c r="M292" s="1020">
        <v>150000000</v>
      </c>
      <c r="N292" s="1037" t="s">
        <v>744</v>
      </c>
      <c r="O292" s="1037" t="s">
        <v>1562</v>
      </c>
      <c r="P292" s="1037"/>
      <c r="Q292" s="1017"/>
      <c r="R292" s="1022"/>
      <c r="S292" s="1130"/>
      <c r="T292" s="1156"/>
    </row>
    <row r="293" spans="1:20" s="995" customFormat="1" ht="92.4" x14ac:dyDescent="0.3">
      <c r="A293" s="1013">
        <v>2022287</v>
      </c>
      <c r="B293" s="1013">
        <v>7658</v>
      </c>
      <c r="C293" s="1013" t="s">
        <v>679</v>
      </c>
      <c r="D293" s="1045" t="s">
        <v>689</v>
      </c>
      <c r="E293" s="1046" t="s">
        <v>1571</v>
      </c>
      <c r="F293" s="1084" t="s">
        <v>950</v>
      </c>
      <c r="G293" s="1047">
        <v>44713</v>
      </c>
      <c r="H293" s="1141">
        <v>44713</v>
      </c>
      <c r="I293" s="1048" t="s">
        <v>1537</v>
      </c>
      <c r="J293" s="1049" t="s">
        <v>1503</v>
      </c>
      <c r="K293" s="1017" t="s">
        <v>674</v>
      </c>
      <c r="L293" s="1085" t="s">
        <v>948</v>
      </c>
      <c r="M293" s="1020">
        <v>100000000</v>
      </c>
      <c r="N293" s="1037" t="s">
        <v>744</v>
      </c>
      <c r="O293" s="1037" t="s">
        <v>1562</v>
      </c>
      <c r="P293" s="1037"/>
      <c r="Q293" s="1017"/>
      <c r="R293" s="1022"/>
      <c r="S293" s="1130"/>
      <c r="T293" s="1156"/>
    </row>
    <row r="294" spans="1:20" s="995" customFormat="1" ht="92.4" x14ac:dyDescent="0.3">
      <c r="A294" s="1013">
        <v>2022288</v>
      </c>
      <c r="B294" s="1013">
        <v>7658</v>
      </c>
      <c r="C294" s="1013" t="s">
        <v>679</v>
      </c>
      <c r="D294" s="1045" t="s">
        <v>689</v>
      </c>
      <c r="E294" s="1046" t="s">
        <v>1572</v>
      </c>
      <c r="F294" s="1084" t="s">
        <v>1573</v>
      </c>
      <c r="G294" s="1047">
        <v>44743</v>
      </c>
      <c r="H294" s="1141">
        <v>44743</v>
      </c>
      <c r="I294" s="1048" t="s">
        <v>1537</v>
      </c>
      <c r="J294" s="1049" t="s">
        <v>1503</v>
      </c>
      <c r="K294" s="1017" t="s">
        <v>674</v>
      </c>
      <c r="L294" s="1085" t="s">
        <v>948</v>
      </c>
      <c r="M294" s="1020">
        <v>80000000</v>
      </c>
      <c r="N294" s="1037" t="s">
        <v>744</v>
      </c>
      <c r="O294" s="1037" t="s">
        <v>1562</v>
      </c>
      <c r="P294" s="1037"/>
      <c r="Q294" s="1017"/>
      <c r="R294" s="1022"/>
      <c r="S294" s="1130"/>
      <c r="T294" s="1156"/>
    </row>
    <row r="295" spans="1:20" s="995" customFormat="1" ht="132" x14ac:dyDescent="0.3">
      <c r="A295" s="1013">
        <v>2022289</v>
      </c>
      <c r="B295" s="1013">
        <v>7658</v>
      </c>
      <c r="C295" s="1013" t="s">
        <v>679</v>
      </c>
      <c r="D295" s="1045" t="s">
        <v>689</v>
      </c>
      <c r="E295" s="1051" t="s">
        <v>1574</v>
      </c>
      <c r="F295" s="1084" t="s">
        <v>1575</v>
      </c>
      <c r="G295" s="1047">
        <v>44621</v>
      </c>
      <c r="H295" s="1141">
        <v>44621</v>
      </c>
      <c r="I295" s="1048" t="s">
        <v>1541</v>
      </c>
      <c r="J295" s="1049" t="s">
        <v>1503</v>
      </c>
      <c r="K295" s="1017" t="s">
        <v>674</v>
      </c>
      <c r="L295" s="1085" t="s">
        <v>948</v>
      </c>
      <c r="M295" s="1020">
        <v>70000000</v>
      </c>
      <c r="N295" s="1037" t="s">
        <v>744</v>
      </c>
      <c r="O295" s="1037" t="s">
        <v>1562</v>
      </c>
      <c r="P295" s="1037"/>
      <c r="Q295" s="1017"/>
      <c r="R295" s="1022"/>
      <c r="S295" s="1130"/>
      <c r="T295" s="1156"/>
    </row>
    <row r="296" spans="1:20" s="995" customFormat="1" ht="92.4" x14ac:dyDescent="0.3">
      <c r="A296" s="1013">
        <v>2022290</v>
      </c>
      <c r="B296" s="1013">
        <v>7658</v>
      </c>
      <c r="C296" s="1013" t="s">
        <v>679</v>
      </c>
      <c r="D296" s="1045" t="s">
        <v>689</v>
      </c>
      <c r="E296" s="1051" t="s">
        <v>951</v>
      </c>
      <c r="F296" s="1084" t="s">
        <v>952</v>
      </c>
      <c r="G296" s="1047">
        <v>44593</v>
      </c>
      <c r="H296" s="1141">
        <v>44593</v>
      </c>
      <c r="I296" s="1048" t="s">
        <v>1498</v>
      </c>
      <c r="J296" s="1049" t="s">
        <v>1503</v>
      </c>
      <c r="K296" s="1017" t="s">
        <v>674</v>
      </c>
      <c r="L296" s="1085" t="s">
        <v>948</v>
      </c>
      <c r="M296" s="1020">
        <v>20000000</v>
      </c>
      <c r="N296" s="1037" t="s">
        <v>744</v>
      </c>
      <c r="O296" s="1037" t="s">
        <v>1562</v>
      </c>
      <c r="P296" s="1037"/>
      <c r="Q296" s="1017"/>
      <c r="R296" s="1022"/>
      <c r="S296" s="1130"/>
      <c r="T296" s="1156"/>
    </row>
    <row r="297" spans="1:20" s="995" customFormat="1" ht="66" x14ac:dyDescent="0.3">
      <c r="A297" s="1013">
        <v>2022291</v>
      </c>
      <c r="B297" s="1013">
        <v>7658</v>
      </c>
      <c r="C297" s="1013" t="s">
        <v>679</v>
      </c>
      <c r="D297" s="1045" t="s">
        <v>689</v>
      </c>
      <c r="E297" s="1051" t="s">
        <v>953</v>
      </c>
      <c r="F297" s="1084" t="s">
        <v>1576</v>
      </c>
      <c r="G297" s="1047">
        <v>44593</v>
      </c>
      <c r="H297" s="1141">
        <v>44593</v>
      </c>
      <c r="I297" s="1048" t="s">
        <v>1541</v>
      </c>
      <c r="J297" s="1049" t="s">
        <v>1577</v>
      </c>
      <c r="K297" s="1017" t="s">
        <v>770</v>
      </c>
      <c r="L297" s="1019" t="s">
        <v>955</v>
      </c>
      <c r="M297" s="1020">
        <v>900000000</v>
      </c>
      <c r="N297" s="1037" t="s">
        <v>722</v>
      </c>
      <c r="O297" s="1037" t="s">
        <v>1578</v>
      </c>
      <c r="P297" s="1037"/>
      <c r="Q297" s="1017"/>
      <c r="R297" s="1022"/>
      <c r="S297" s="1130"/>
      <c r="T297" s="1156"/>
    </row>
    <row r="298" spans="1:20" s="995" customFormat="1" ht="92.4" x14ac:dyDescent="0.3">
      <c r="A298" s="1013">
        <v>2022292</v>
      </c>
      <c r="B298" s="1013">
        <v>7658</v>
      </c>
      <c r="C298" s="1013" t="s">
        <v>679</v>
      </c>
      <c r="D298" s="1045" t="s">
        <v>689</v>
      </c>
      <c r="E298" s="1051" t="s">
        <v>956</v>
      </c>
      <c r="F298" s="1084" t="s">
        <v>1579</v>
      </c>
      <c r="G298" s="1047">
        <v>44593</v>
      </c>
      <c r="H298" s="1141">
        <v>44593</v>
      </c>
      <c r="I298" s="1048" t="s">
        <v>1498</v>
      </c>
      <c r="J298" s="1049" t="s">
        <v>1577</v>
      </c>
      <c r="K298" s="1017" t="s">
        <v>770</v>
      </c>
      <c r="L298" s="1019" t="s">
        <v>955</v>
      </c>
      <c r="M298" s="1020">
        <v>180000000</v>
      </c>
      <c r="N298" s="1037" t="s">
        <v>722</v>
      </c>
      <c r="O298" s="1037" t="s">
        <v>1578</v>
      </c>
      <c r="P298" s="1037"/>
      <c r="Q298" s="1017"/>
      <c r="R298" s="1022"/>
      <c r="S298" s="1130"/>
      <c r="T298" s="1156"/>
    </row>
    <row r="299" spans="1:20" s="995" customFormat="1" ht="66" x14ac:dyDescent="0.3">
      <c r="A299" s="1013">
        <v>2022293</v>
      </c>
      <c r="B299" s="1013">
        <v>7658</v>
      </c>
      <c r="C299" s="1013" t="s">
        <v>679</v>
      </c>
      <c r="D299" s="1045" t="s">
        <v>689</v>
      </c>
      <c r="E299" s="1051" t="s">
        <v>953</v>
      </c>
      <c r="F299" s="1084" t="s">
        <v>1580</v>
      </c>
      <c r="G299" s="1047">
        <v>44593</v>
      </c>
      <c r="H299" s="1141">
        <v>44593</v>
      </c>
      <c r="I299" s="1048" t="s">
        <v>1541</v>
      </c>
      <c r="J299" s="1049" t="s">
        <v>1577</v>
      </c>
      <c r="K299" s="1017" t="s">
        <v>770</v>
      </c>
      <c r="L299" s="1019" t="s">
        <v>955</v>
      </c>
      <c r="M299" s="1020">
        <v>450000000</v>
      </c>
      <c r="N299" s="1037" t="s">
        <v>722</v>
      </c>
      <c r="O299" s="1037" t="s">
        <v>1578</v>
      </c>
      <c r="P299" s="1037"/>
      <c r="Q299" s="1017"/>
      <c r="R299" s="1022"/>
      <c r="S299" s="1130"/>
      <c r="T299" s="1156"/>
    </row>
    <row r="300" spans="1:20" s="995" customFormat="1" ht="79.2" x14ac:dyDescent="0.3">
      <c r="A300" s="1013">
        <v>2022294</v>
      </c>
      <c r="B300" s="1013">
        <v>7658</v>
      </c>
      <c r="C300" s="1013" t="s">
        <v>679</v>
      </c>
      <c r="D300" s="1045" t="s">
        <v>689</v>
      </c>
      <c r="E300" s="1051" t="s">
        <v>956</v>
      </c>
      <c r="F300" s="1084" t="s">
        <v>1581</v>
      </c>
      <c r="G300" s="1047">
        <v>44593</v>
      </c>
      <c r="H300" s="1141">
        <v>44593</v>
      </c>
      <c r="I300" s="1048" t="s">
        <v>1498</v>
      </c>
      <c r="J300" s="1049" t="s">
        <v>1577</v>
      </c>
      <c r="K300" s="1017" t="s">
        <v>770</v>
      </c>
      <c r="L300" s="1019" t="s">
        <v>955</v>
      </c>
      <c r="M300" s="1020">
        <v>90000000</v>
      </c>
      <c r="N300" s="1037" t="s">
        <v>722</v>
      </c>
      <c r="O300" s="1037" t="s">
        <v>1578</v>
      </c>
      <c r="P300" s="1037"/>
      <c r="Q300" s="1017"/>
      <c r="R300" s="1022"/>
      <c r="S300" s="1130"/>
      <c r="T300" s="1156"/>
    </row>
    <row r="301" spans="1:20" s="995" customFormat="1" ht="92.4" x14ac:dyDescent="0.3">
      <c r="A301" s="1013">
        <v>2022295</v>
      </c>
      <c r="B301" s="1013">
        <v>7658</v>
      </c>
      <c r="C301" s="1013" t="s">
        <v>679</v>
      </c>
      <c r="D301" s="1045" t="s">
        <v>689</v>
      </c>
      <c r="E301" s="1051" t="s">
        <v>958</v>
      </c>
      <c r="F301" s="1084" t="s">
        <v>959</v>
      </c>
      <c r="G301" s="1047">
        <v>44593</v>
      </c>
      <c r="H301" s="1141">
        <v>44593</v>
      </c>
      <c r="I301" s="1048" t="s">
        <v>1537</v>
      </c>
      <c r="J301" s="1049" t="s">
        <v>1503</v>
      </c>
      <c r="K301" s="1017" t="s">
        <v>674</v>
      </c>
      <c r="L301" s="1085" t="s">
        <v>948</v>
      </c>
      <c r="M301" s="1020">
        <v>70000000</v>
      </c>
      <c r="N301" s="1037" t="s">
        <v>744</v>
      </c>
      <c r="O301" s="1037" t="s">
        <v>1562</v>
      </c>
      <c r="P301" s="1037"/>
      <c r="Q301" s="1017"/>
      <c r="R301" s="1022"/>
      <c r="S301" s="1130"/>
      <c r="T301" s="1156"/>
    </row>
    <row r="302" spans="1:20" s="995" customFormat="1" ht="92.4" x14ac:dyDescent="0.3">
      <c r="A302" s="1013">
        <v>2022296</v>
      </c>
      <c r="B302" s="1013">
        <v>7658</v>
      </c>
      <c r="C302" s="1013" t="s">
        <v>679</v>
      </c>
      <c r="D302" s="1045" t="s">
        <v>689</v>
      </c>
      <c r="E302" s="1051" t="s">
        <v>1582</v>
      </c>
      <c r="F302" s="1084" t="s">
        <v>1583</v>
      </c>
      <c r="G302" s="1047">
        <v>44652</v>
      </c>
      <c r="H302" s="1141">
        <v>44652</v>
      </c>
      <c r="I302" s="1048" t="s">
        <v>1549</v>
      </c>
      <c r="J302" s="1049" t="s">
        <v>1518</v>
      </c>
      <c r="K302" s="1017" t="s">
        <v>674</v>
      </c>
      <c r="L302" s="1019" t="s">
        <v>1584</v>
      </c>
      <c r="M302" s="1020">
        <v>300000000</v>
      </c>
      <c r="N302" s="1037" t="s">
        <v>744</v>
      </c>
      <c r="O302" s="1037" t="s">
        <v>1562</v>
      </c>
      <c r="P302" s="1037"/>
      <c r="Q302" s="1017"/>
      <c r="R302" s="1022"/>
      <c r="S302" s="1130"/>
      <c r="T302" s="1156"/>
    </row>
    <row r="303" spans="1:20" s="995" customFormat="1" ht="92.4" x14ac:dyDescent="0.3">
      <c r="A303" s="1013">
        <v>2022297</v>
      </c>
      <c r="B303" s="1013">
        <v>7658</v>
      </c>
      <c r="C303" s="1013" t="s">
        <v>679</v>
      </c>
      <c r="D303" s="1045" t="s">
        <v>689</v>
      </c>
      <c r="E303" s="1051" t="s">
        <v>960</v>
      </c>
      <c r="F303" s="1084" t="s">
        <v>1585</v>
      </c>
      <c r="G303" s="1047">
        <v>44593</v>
      </c>
      <c r="H303" s="1141">
        <v>44593</v>
      </c>
      <c r="I303" s="1048" t="s">
        <v>1498</v>
      </c>
      <c r="J303" s="1049" t="s">
        <v>1586</v>
      </c>
      <c r="K303" s="1017" t="s">
        <v>674</v>
      </c>
      <c r="L303" s="1019" t="s">
        <v>955</v>
      </c>
      <c r="M303" s="1020">
        <v>1119870000</v>
      </c>
      <c r="N303" s="1037" t="s">
        <v>744</v>
      </c>
      <c r="O303" s="1037" t="s">
        <v>1562</v>
      </c>
      <c r="P303" s="1037"/>
      <c r="Q303" s="1017"/>
      <c r="R303" s="1022"/>
      <c r="S303" s="1130"/>
      <c r="T303" s="1156"/>
    </row>
    <row r="304" spans="1:20" s="995" customFormat="1" ht="92.4" x14ac:dyDescent="0.3">
      <c r="A304" s="1013">
        <v>2022298</v>
      </c>
      <c r="B304" s="1013">
        <v>7658</v>
      </c>
      <c r="C304" s="1013" t="s">
        <v>679</v>
      </c>
      <c r="D304" s="1045" t="s">
        <v>689</v>
      </c>
      <c r="E304" s="1051" t="s">
        <v>956</v>
      </c>
      <c r="F304" s="1084" t="s">
        <v>962</v>
      </c>
      <c r="G304" s="1047">
        <v>44593</v>
      </c>
      <c r="H304" s="1141">
        <v>44593</v>
      </c>
      <c r="I304" s="1048" t="s">
        <v>1498</v>
      </c>
      <c r="J304" s="1049" t="s">
        <v>1577</v>
      </c>
      <c r="K304" s="1017" t="s">
        <v>674</v>
      </c>
      <c r="L304" s="1019" t="s">
        <v>955</v>
      </c>
      <c r="M304" s="1020">
        <v>420000000</v>
      </c>
      <c r="N304" s="1037" t="s">
        <v>744</v>
      </c>
      <c r="O304" s="1037" t="s">
        <v>1562</v>
      </c>
      <c r="P304" s="1037"/>
      <c r="Q304" s="1017"/>
      <c r="R304" s="1022"/>
      <c r="S304" s="1130"/>
      <c r="T304" s="1156"/>
    </row>
    <row r="305" spans="1:20" s="995" customFormat="1" ht="92.4" x14ac:dyDescent="0.3">
      <c r="A305" s="1013">
        <v>2022299</v>
      </c>
      <c r="B305" s="1013">
        <v>7658</v>
      </c>
      <c r="C305" s="1013" t="s">
        <v>679</v>
      </c>
      <c r="D305" s="1045" t="s">
        <v>689</v>
      </c>
      <c r="E305" s="1051" t="s">
        <v>1587</v>
      </c>
      <c r="F305" s="1084" t="s">
        <v>1588</v>
      </c>
      <c r="G305" s="1047">
        <v>44621</v>
      </c>
      <c r="H305" s="1141">
        <v>44621</v>
      </c>
      <c r="I305" s="1048" t="s">
        <v>1589</v>
      </c>
      <c r="J305" s="1049" t="s">
        <v>1590</v>
      </c>
      <c r="K305" s="1017" t="s">
        <v>770</v>
      </c>
      <c r="L305" s="1019" t="s">
        <v>1584</v>
      </c>
      <c r="M305" s="1020">
        <v>500000000</v>
      </c>
      <c r="N305" s="1037" t="s">
        <v>744</v>
      </c>
      <c r="O305" s="1037" t="s">
        <v>1562</v>
      </c>
      <c r="P305" s="1037"/>
      <c r="Q305" s="1017"/>
      <c r="R305" s="1022"/>
      <c r="S305" s="1130"/>
      <c r="T305" s="1156"/>
    </row>
    <row r="306" spans="1:20" s="995" customFormat="1" ht="92.4" x14ac:dyDescent="0.3">
      <c r="A306" s="1013">
        <v>2022300</v>
      </c>
      <c r="B306" s="1013">
        <v>7658</v>
      </c>
      <c r="C306" s="1013" t="s">
        <v>679</v>
      </c>
      <c r="D306" s="1045" t="s">
        <v>689</v>
      </c>
      <c r="E306" s="1051" t="s">
        <v>963</v>
      </c>
      <c r="F306" s="1084" t="s">
        <v>1591</v>
      </c>
      <c r="G306" s="1047">
        <v>44621</v>
      </c>
      <c r="H306" s="1141">
        <v>44621</v>
      </c>
      <c r="I306" s="1048" t="s">
        <v>1540</v>
      </c>
      <c r="J306" s="1049" t="s">
        <v>1590</v>
      </c>
      <c r="K306" s="1017" t="s">
        <v>770</v>
      </c>
      <c r="L306" s="1019" t="s">
        <v>1584</v>
      </c>
      <c r="M306" s="1020">
        <v>300000000</v>
      </c>
      <c r="N306" s="1037" t="s">
        <v>744</v>
      </c>
      <c r="O306" s="1037" t="s">
        <v>1562</v>
      </c>
      <c r="P306" s="1037"/>
      <c r="Q306" s="1017"/>
      <c r="R306" s="1022"/>
      <c r="S306" s="1130"/>
      <c r="T306" s="1156"/>
    </row>
    <row r="307" spans="1:20" s="995" customFormat="1" ht="66" x14ac:dyDescent="0.3">
      <c r="A307" s="1013">
        <v>2022301</v>
      </c>
      <c r="B307" s="1013">
        <v>7658</v>
      </c>
      <c r="C307" s="1013" t="s">
        <v>679</v>
      </c>
      <c r="D307" s="1045" t="s">
        <v>689</v>
      </c>
      <c r="E307" s="1046" t="s">
        <v>97</v>
      </c>
      <c r="F307" s="1084" t="s">
        <v>1001</v>
      </c>
      <c r="G307" s="1047">
        <v>44621</v>
      </c>
      <c r="H307" s="1141">
        <v>44621</v>
      </c>
      <c r="I307" s="1018" t="s">
        <v>97</v>
      </c>
      <c r="J307" s="1049" t="s">
        <v>1546</v>
      </c>
      <c r="K307" s="1017" t="s">
        <v>674</v>
      </c>
      <c r="L307" s="1019" t="s">
        <v>955</v>
      </c>
      <c r="M307" s="1020">
        <v>170000000</v>
      </c>
      <c r="N307" s="1019" t="s">
        <v>722</v>
      </c>
      <c r="O307" s="1019" t="s">
        <v>1578</v>
      </c>
      <c r="P307" s="1019"/>
      <c r="Q307" s="1017"/>
      <c r="R307" s="1022"/>
      <c r="S307" s="1130"/>
      <c r="T307" s="1156"/>
    </row>
    <row r="308" spans="1:20" s="995" customFormat="1" ht="92.4" x14ac:dyDescent="0.3">
      <c r="A308" s="1131">
        <v>2022302</v>
      </c>
      <c r="B308" s="1131">
        <v>7658</v>
      </c>
      <c r="C308" s="1131" t="s">
        <v>679</v>
      </c>
      <c r="D308" s="1139" t="s">
        <v>689</v>
      </c>
      <c r="E308" s="1140" t="s">
        <v>965</v>
      </c>
      <c r="F308" s="1152" t="s">
        <v>966</v>
      </c>
      <c r="G308" s="1141">
        <v>44652</v>
      </c>
      <c r="H308" s="1141">
        <v>44652</v>
      </c>
      <c r="I308" s="1142" t="s">
        <v>1549</v>
      </c>
      <c r="J308" s="1143" t="s">
        <v>1586</v>
      </c>
      <c r="K308" s="1135" t="s">
        <v>674</v>
      </c>
      <c r="L308" s="1132" t="s">
        <v>1592</v>
      </c>
      <c r="M308" s="1136">
        <v>308129000</v>
      </c>
      <c r="N308" s="1151" t="s">
        <v>744</v>
      </c>
      <c r="O308" s="1151" t="s">
        <v>1562</v>
      </c>
      <c r="P308" s="1151"/>
      <c r="Q308" s="1135"/>
      <c r="R308" s="1130">
        <v>594</v>
      </c>
      <c r="S308" s="1130"/>
      <c r="T308" s="1156"/>
    </row>
    <row r="309" spans="1:20" s="995" customFormat="1" ht="92.4" x14ac:dyDescent="0.3">
      <c r="A309" s="1013">
        <v>2022303</v>
      </c>
      <c r="B309" s="1013">
        <v>7658</v>
      </c>
      <c r="C309" s="1013" t="s">
        <v>679</v>
      </c>
      <c r="D309" s="1045" t="s">
        <v>689</v>
      </c>
      <c r="E309" s="1051" t="s">
        <v>968</v>
      </c>
      <c r="F309" s="1084" t="s">
        <v>1154</v>
      </c>
      <c r="G309" s="1047">
        <v>44575</v>
      </c>
      <c r="H309" s="1141">
        <v>44575</v>
      </c>
      <c r="I309" s="1048" t="s">
        <v>1593</v>
      </c>
      <c r="J309" s="1049" t="s">
        <v>1564</v>
      </c>
      <c r="K309" s="1017" t="s">
        <v>674</v>
      </c>
      <c r="L309" s="1019" t="s">
        <v>970</v>
      </c>
      <c r="M309" s="1020">
        <v>10600000</v>
      </c>
      <c r="N309" s="1037" t="s">
        <v>744</v>
      </c>
      <c r="O309" s="1037" t="s">
        <v>1562</v>
      </c>
      <c r="P309" s="1037"/>
      <c r="Q309" s="1017"/>
      <c r="R309" s="1022"/>
      <c r="S309" s="1130"/>
      <c r="T309" s="1156"/>
    </row>
    <row r="310" spans="1:20" s="995" customFormat="1" ht="66" x14ac:dyDescent="0.3">
      <c r="A310" s="1013">
        <v>2022305</v>
      </c>
      <c r="B310" s="1013">
        <v>7658</v>
      </c>
      <c r="C310" s="1013" t="s">
        <v>679</v>
      </c>
      <c r="D310" s="1045" t="s">
        <v>689</v>
      </c>
      <c r="E310" s="1046" t="s">
        <v>1594</v>
      </c>
      <c r="F310" s="1084" t="s">
        <v>1595</v>
      </c>
      <c r="G310" s="1047">
        <v>44606</v>
      </c>
      <c r="H310" s="1141">
        <v>44606</v>
      </c>
      <c r="I310" s="1048" t="s">
        <v>1538</v>
      </c>
      <c r="J310" s="1049" t="s">
        <v>1503</v>
      </c>
      <c r="K310" s="1017" t="s">
        <v>770</v>
      </c>
      <c r="L310" s="1019" t="s">
        <v>955</v>
      </c>
      <c r="M310" s="1020">
        <v>205000000</v>
      </c>
      <c r="N310" s="1037" t="s">
        <v>722</v>
      </c>
      <c r="O310" s="1037" t="s">
        <v>1578</v>
      </c>
      <c r="P310" s="1037"/>
      <c r="Q310" s="1017"/>
      <c r="R310" s="1022"/>
      <c r="S310" s="1130"/>
      <c r="T310" s="1156"/>
    </row>
    <row r="311" spans="1:20" s="995" customFormat="1" ht="105.6" x14ac:dyDescent="0.3">
      <c r="A311" s="1013">
        <v>2022306</v>
      </c>
      <c r="B311" s="1013">
        <v>7658</v>
      </c>
      <c r="C311" s="1013" t="s">
        <v>679</v>
      </c>
      <c r="D311" s="1045" t="s">
        <v>689</v>
      </c>
      <c r="E311" s="1051" t="s">
        <v>956</v>
      </c>
      <c r="F311" s="1084" t="s">
        <v>1596</v>
      </c>
      <c r="G311" s="1047">
        <v>44606</v>
      </c>
      <c r="H311" s="1141">
        <v>44606</v>
      </c>
      <c r="I311" s="1048" t="s">
        <v>1549</v>
      </c>
      <c r="J311" s="1049" t="s">
        <v>1577</v>
      </c>
      <c r="K311" s="1017" t="s">
        <v>770</v>
      </c>
      <c r="L311" s="1019" t="s">
        <v>955</v>
      </c>
      <c r="M311" s="1020">
        <v>21000000</v>
      </c>
      <c r="N311" s="1037" t="s">
        <v>722</v>
      </c>
      <c r="O311" s="1037" t="s">
        <v>1578</v>
      </c>
      <c r="P311" s="1037"/>
      <c r="Q311" s="1017"/>
      <c r="R311" s="1022"/>
      <c r="S311" s="1130"/>
      <c r="T311" s="1156"/>
    </row>
    <row r="312" spans="1:20" s="995" customFormat="1" ht="66" x14ac:dyDescent="0.3">
      <c r="A312" s="1013">
        <v>2022307</v>
      </c>
      <c r="B312" s="1013">
        <v>7658</v>
      </c>
      <c r="C312" s="1013" t="s">
        <v>679</v>
      </c>
      <c r="D312" s="1045" t="s">
        <v>689</v>
      </c>
      <c r="E312" s="1051" t="s">
        <v>958</v>
      </c>
      <c r="F312" s="1084" t="s">
        <v>1597</v>
      </c>
      <c r="G312" s="1047">
        <v>44634</v>
      </c>
      <c r="H312" s="1141">
        <v>44634</v>
      </c>
      <c r="I312" s="1048" t="s">
        <v>1550</v>
      </c>
      <c r="J312" s="1049" t="s">
        <v>1586</v>
      </c>
      <c r="K312" s="1017" t="s">
        <v>770</v>
      </c>
      <c r="L312" s="1019" t="s">
        <v>955</v>
      </c>
      <c r="M312" s="1020">
        <v>1000000000</v>
      </c>
      <c r="N312" s="1037" t="s">
        <v>722</v>
      </c>
      <c r="O312" s="1037" t="s">
        <v>1578</v>
      </c>
      <c r="P312" s="1037"/>
      <c r="Q312" s="1017"/>
      <c r="R312" s="1022"/>
      <c r="S312" s="1130"/>
      <c r="T312" s="1156"/>
    </row>
    <row r="313" spans="1:20" s="995" customFormat="1" ht="92.4" x14ac:dyDescent="0.3">
      <c r="A313" s="1013">
        <v>2022308</v>
      </c>
      <c r="B313" s="1013">
        <v>7658</v>
      </c>
      <c r="C313" s="1013" t="s">
        <v>679</v>
      </c>
      <c r="D313" s="1045" t="s">
        <v>689</v>
      </c>
      <c r="E313" s="1051" t="s">
        <v>956</v>
      </c>
      <c r="F313" s="1084" t="s">
        <v>1598</v>
      </c>
      <c r="G313" s="1047">
        <v>44634</v>
      </c>
      <c r="H313" s="1141">
        <v>44634</v>
      </c>
      <c r="I313" s="1048" t="s">
        <v>1599</v>
      </c>
      <c r="J313" s="1049" t="s">
        <v>1577</v>
      </c>
      <c r="K313" s="1017" t="s">
        <v>770</v>
      </c>
      <c r="L313" s="1019" t="s">
        <v>955</v>
      </c>
      <c r="M313" s="1020">
        <v>345000000</v>
      </c>
      <c r="N313" s="1037" t="s">
        <v>722</v>
      </c>
      <c r="O313" s="1037" t="s">
        <v>1578</v>
      </c>
      <c r="P313" s="1037"/>
      <c r="Q313" s="1017"/>
      <c r="R313" s="1022"/>
      <c r="S313" s="1130"/>
      <c r="T313" s="1156"/>
    </row>
    <row r="314" spans="1:20" s="995" customFormat="1" ht="105.6" x14ac:dyDescent="0.3">
      <c r="A314" s="1013">
        <v>2022309</v>
      </c>
      <c r="B314" s="1013">
        <v>7658</v>
      </c>
      <c r="C314" s="1013" t="s">
        <v>679</v>
      </c>
      <c r="D314" s="1045" t="s">
        <v>689</v>
      </c>
      <c r="E314" s="1051" t="s">
        <v>1600</v>
      </c>
      <c r="F314" s="1084" t="s">
        <v>1601</v>
      </c>
      <c r="G314" s="1047">
        <v>44695</v>
      </c>
      <c r="H314" s="1141">
        <v>44695</v>
      </c>
      <c r="I314" s="1048" t="s">
        <v>1537</v>
      </c>
      <c r="J314" s="1049" t="s">
        <v>1586</v>
      </c>
      <c r="K314" s="1017" t="s">
        <v>770</v>
      </c>
      <c r="L314" s="1019" t="s">
        <v>955</v>
      </c>
      <c r="M314" s="1020">
        <v>175000000</v>
      </c>
      <c r="N314" s="1037" t="s">
        <v>759</v>
      </c>
      <c r="O314" s="1037" t="s">
        <v>1602</v>
      </c>
      <c r="P314" s="1037"/>
      <c r="Q314" s="1017"/>
      <c r="R314" s="1022"/>
      <c r="S314" s="1130"/>
      <c r="T314" s="1156"/>
    </row>
    <row r="315" spans="1:20" s="995" customFormat="1" ht="105.6" x14ac:dyDescent="0.3">
      <c r="A315" s="1013">
        <v>2022310</v>
      </c>
      <c r="B315" s="1013">
        <v>7658</v>
      </c>
      <c r="C315" s="1013" t="s">
        <v>679</v>
      </c>
      <c r="D315" s="1045" t="s">
        <v>695</v>
      </c>
      <c r="E315" s="1046">
        <v>80111600</v>
      </c>
      <c r="F315" s="1016" t="s">
        <v>979</v>
      </c>
      <c r="G315" s="1047" t="s">
        <v>1495</v>
      </c>
      <c r="H315" s="1141" t="s">
        <v>1495</v>
      </c>
      <c r="I315" s="1048" t="s">
        <v>1538</v>
      </c>
      <c r="J315" s="1049" t="s">
        <v>1535</v>
      </c>
      <c r="K315" s="1017" t="s">
        <v>674</v>
      </c>
      <c r="L315" s="1085" t="s">
        <v>675</v>
      </c>
      <c r="M315" s="1020">
        <v>30429000</v>
      </c>
      <c r="N315" s="1037" t="s">
        <v>1603</v>
      </c>
      <c r="O315" s="1037" t="s">
        <v>1604</v>
      </c>
      <c r="P315" s="1037"/>
      <c r="Q315" s="1017"/>
      <c r="R315" s="1022"/>
      <c r="S315" s="1130"/>
      <c r="T315" s="1156"/>
    </row>
    <row r="316" spans="1:20" s="995" customFormat="1" ht="105.6" x14ac:dyDescent="0.3">
      <c r="A316" s="1023">
        <v>2022311</v>
      </c>
      <c r="B316" s="1023">
        <v>7658</v>
      </c>
      <c r="C316" s="1023" t="s">
        <v>679</v>
      </c>
      <c r="D316" s="1039" t="s">
        <v>695</v>
      </c>
      <c r="E316" s="1040">
        <v>80111600</v>
      </c>
      <c r="F316" s="1026" t="s">
        <v>980</v>
      </c>
      <c r="G316" s="1041" t="s">
        <v>1495</v>
      </c>
      <c r="H316" s="1141" t="s">
        <v>1495</v>
      </c>
      <c r="I316" s="1042" t="s">
        <v>1498</v>
      </c>
      <c r="J316" s="1043" t="s">
        <v>1535</v>
      </c>
      <c r="K316" s="1027" t="s">
        <v>674</v>
      </c>
      <c r="L316" s="1088" t="s">
        <v>675</v>
      </c>
      <c r="M316" s="1030">
        <v>26950000</v>
      </c>
      <c r="N316" s="1083" t="s">
        <v>1603</v>
      </c>
      <c r="O316" s="1083" t="s">
        <v>1604</v>
      </c>
      <c r="P316" s="1083"/>
      <c r="Q316" s="1027"/>
      <c r="R316" s="1022"/>
      <c r="S316" s="1130">
        <v>117</v>
      </c>
      <c r="T316" s="1156">
        <v>17150000</v>
      </c>
    </row>
    <row r="317" spans="1:20" s="995" customFormat="1" ht="105.6" x14ac:dyDescent="0.3">
      <c r="A317" s="1023">
        <v>2022312</v>
      </c>
      <c r="B317" s="1023">
        <v>7658</v>
      </c>
      <c r="C317" s="1023" t="s">
        <v>679</v>
      </c>
      <c r="D317" s="1039" t="s">
        <v>695</v>
      </c>
      <c r="E317" s="1040">
        <v>80111600</v>
      </c>
      <c r="F317" s="1026" t="s">
        <v>980</v>
      </c>
      <c r="G317" s="1041" t="s">
        <v>1495</v>
      </c>
      <c r="H317" s="1141" t="s">
        <v>1495</v>
      </c>
      <c r="I317" s="1042" t="s">
        <v>1498</v>
      </c>
      <c r="J317" s="1043" t="s">
        <v>1535</v>
      </c>
      <c r="K317" s="1027" t="s">
        <v>674</v>
      </c>
      <c r="L317" s="1088" t="s">
        <v>675</v>
      </c>
      <c r="M317" s="1030">
        <v>26950000</v>
      </c>
      <c r="N317" s="1083" t="s">
        <v>1603</v>
      </c>
      <c r="O317" s="1083" t="s">
        <v>1604</v>
      </c>
      <c r="P317" s="1083"/>
      <c r="Q317" s="1027"/>
      <c r="R317" s="1022"/>
      <c r="S317" s="1130">
        <v>192</v>
      </c>
      <c r="T317" s="1156">
        <v>17150000</v>
      </c>
    </row>
    <row r="318" spans="1:20" s="995" customFormat="1" ht="105.6" x14ac:dyDescent="0.3">
      <c r="A318" s="1023">
        <v>2022313</v>
      </c>
      <c r="B318" s="1023">
        <v>7658</v>
      </c>
      <c r="C318" s="1023" t="s">
        <v>679</v>
      </c>
      <c r="D318" s="1039" t="s">
        <v>695</v>
      </c>
      <c r="E318" s="1040">
        <v>80111600</v>
      </c>
      <c r="F318" s="1026" t="s">
        <v>981</v>
      </c>
      <c r="G318" s="1041" t="s">
        <v>1495</v>
      </c>
      <c r="H318" s="1141" t="s">
        <v>1495</v>
      </c>
      <c r="I318" s="1042" t="s">
        <v>1498</v>
      </c>
      <c r="J318" s="1043" t="s">
        <v>1535</v>
      </c>
      <c r="K318" s="1027" t="s">
        <v>674</v>
      </c>
      <c r="L318" s="1088" t="s">
        <v>675</v>
      </c>
      <c r="M318" s="1030">
        <v>59202000</v>
      </c>
      <c r="N318" s="1083" t="s">
        <v>1603</v>
      </c>
      <c r="O318" s="1083" t="s">
        <v>1604</v>
      </c>
      <c r="P318" s="1083"/>
      <c r="Q318" s="1027"/>
      <c r="R318" s="1022"/>
      <c r="S318" s="1130">
        <v>60</v>
      </c>
      <c r="T318" s="1156">
        <v>48438000</v>
      </c>
    </row>
    <row r="319" spans="1:20" s="995" customFormat="1" ht="105.6" x14ac:dyDescent="0.3">
      <c r="A319" s="1023">
        <v>2022314</v>
      </c>
      <c r="B319" s="1023">
        <v>7658</v>
      </c>
      <c r="C319" s="1023" t="s">
        <v>679</v>
      </c>
      <c r="D319" s="1039" t="s">
        <v>695</v>
      </c>
      <c r="E319" s="1040">
        <v>80111600</v>
      </c>
      <c r="F319" s="1026" t="s">
        <v>982</v>
      </c>
      <c r="G319" s="1041" t="s">
        <v>1495</v>
      </c>
      <c r="H319" s="1141" t="s">
        <v>1495</v>
      </c>
      <c r="I319" s="1042" t="s">
        <v>1498</v>
      </c>
      <c r="J319" s="1043" t="s">
        <v>1535</v>
      </c>
      <c r="K319" s="1027" t="s">
        <v>674</v>
      </c>
      <c r="L319" s="1088" t="s">
        <v>675</v>
      </c>
      <c r="M319" s="1030">
        <v>36850000</v>
      </c>
      <c r="N319" s="1083" t="s">
        <v>1603</v>
      </c>
      <c r="O319" s="1083" t="s">
        <v>1604</v>
      </c>
      <c r="P319" s="1083"/>
      <c r="Q319" s="1027"/>
      <c r="R319" s="1022"/>
      <c r="S319" s="1130">
        <v>180</v>
      </c>
      <c r="T319" s="1156">
        <v>36850000</v>
      </c>
    </row>
    <row r="320" spans="1:20" s="995" customFormat="1" ht="105.6" x14ac:dyDescent="0.3">
      <c r="A320" s="1023">
        <v>2022315</v>
      </c>
      <c r="B320" s="1023">
        <v>7658</v>
      </c>
      <c r="C320" s="1023" t="s">
        <v>679</v>
      </c>
      <c r="D320" s="1039" t="s">
        <v>695</v>
      </c>
      <c r="E320" s="1040">
        <v>80111600</v>
      </c>
      <c r="F320" s="1026" t="s">
        <v>983</v>
      </c>
      <c r="G320" s="1041" t="s">
        <v>1495</v>
      </c>
      <c r="H320" s="1141" t="s">
        <v>1495</v>
      </c>
      <c r="I320" s="1042" t="s">
        <v>1498</v>
      </c>
      <c r="J320" s="1043" t="s">
        <v>1535</v>
      </c>
      <c r="K320" s="1027" t="s">
        <v>674</v>
      </c>
      <c r="L320" s="1088" t="s">
        <v>675</v>
      </c>
      <c r="M320" s="1030">
        <v>47817000</v>
      </c>
      <c r="N320" s="1083" t="s">
        <v>1603</v>
      </c>
      <c r="O320" s="1083" t="s">
        <v>1604</v>
      </c>
      <c r="P320" s="1083"/>
      <c r="Q320" s="1027"/>
      <c r="R320" s="1022"/>
      <c r="S320" s="1130">
        <v>118</v>
      </c>
      <c r="T320" s="1156">
        <v>30429000</v>
      </c>
    </row>
    <row r="321" spans="1:103" s="995" customFormat="1" ht="105.6" x14ac:dyDescent="0.3">
      <c r="A321" s="1023">
        <v>2022316</v>
      </c>
      <c r="B321" s="1023">
        <v>7658</v>
      </c>
      <c r="C321" s="1023" t="s">
        <v>679</v>
      </c>
      <c r="D321" s="1039" t="s">
        <v>695</v>
      </c>
      <c r="E321" s="1040">
        <v>80111600</v>
      </c>
      <c r="F321" s="1026" t="s">
        <v>984</v>
      </c>
      <c r="G321" s="1041" t="s">
        <v>1495</v>
      </c>
      <c r="H321" s="1141" t="s">
        <v>1495</v>
      </c>
      <c r="I321" s="1042" t="s">
        <v>1498</v>
      </c>
      <c r="J321" s="1043" t="s">
        <v>1535</v>
      </c>
      <c r="K321" s="1027" t="s">
        <v>674</v>
      </c>
      <c r="L321" s="1088" t="s">
        <v>675</v>
      </c>
      <c r="M321" s="1030">
        <v>59202000</v>
      </c>
      <c r="N321" s="1083" t="s">
        <v>1603</v>
      </c>
      <c r="O321" s="1083" t="s">
        <v>1604</v>
      </c>
      <c r="P321" s="1083"/>
      <c r="Q321" s="1027"/>
      <c r="R321" s="1022"/>
      <c r="S321" s="1130">
        <v>178</v>
      </c>
      <c r="T321" s="1156">
        <v>59202000</v>
      </c>
    </row>
    <row r="322" spans="1:103" s="995" customFormat="1" ht="105.6" x14ac:dyDescent="0.3">
      <c r="A322" s="1023">
        <v>2022317</v>
      </c>
      <c r="B322" s="1023">
        <v>7658</v>
      </c>
      <c r="C322" s="1023" t="s">
        <v>679</v>
      </c>
      <c r="D322" s="1039" t="s">
        <v>695</v>
      </c>
      <c r="E322" s="1040">
        <v>80111600</v>
      </c>
      <c r="F322" s="1026" t="s">
        <v>985</v>
      </c>
      <c r="G322" s="1041" t="s">
        <v>1495</v>
      </c>
      <c r="H322" s="1141" t="s">
        <v>1495</v>
      </c>
      <c r="I322" s="1042" t="s">
        <v>1498</v>
      </c>
      <c r="J322" s="1043" t="s">
        <v>1535</v>
      </c>
      <c r="K322" s="1027" t="s">
        <v>674</v>
      </c>
      <c r="L322" s="1088" t="s">
        <v>675</v>
      </c>
      <c r="M322" s="1030">
        <v>31880000</v>
      </c>
      <c r="N322" s="1083" t="s">
        <v>1603</v>
      </c>
      <c r="O322" s="1083" t="s">
        <v>1604</v>
      </c>
      <c r="P322" s="1083"/>
      <c r="Q322" s="1027"/>
      <c r="R322" s="1022"/>
      <c r="S322" s="1130">
        <v>186</v>
      </c>
      <c r="T322" s="1156">
        <v>27895000</v>
      </c>
    </row>
    <row r="323" spans="1:103" s="995" customFormat="1" ht="105.6" x14ac:dyDescent="0.3">
      <c r="A323" s="1023">
        <v>2022318</v>
      </c>
      <c r="B323" s="1023">
        <v>7658</v>
      </c>
      <c r="C323" s="1023" t="s">
        <v>679</v>
      </c>
      <c r="D323" s="1039" t="s">
        <v>695</v>
      </c>
      <c r="E323" s="1040">
        <v>80111600</v>
      </c>
      <c r="F323" s="1026" t="s">
        <v>986</v>
      </c>
      <c r="G323" s="1041" t="s">
        <v>1495</v>
      </c>
      <c r="H323" s="1141" t="s">
        <v>1495</v>
      </c>
      <c r="I323" s="1042" t="s">
        <v>1498</v>
      </c>
      <c r="J323" s="1043" t="s">
        <v>1535</v>
      </c>
      <c r="K323" s="1027" t="s">
        <v>674</v>
      </c>
      <c r="L323" s="1088" t="s">
        <v>675</v>
      </c>
      <c r="M323" s="1030">
        <v>16146000</v>
      </c>
      <c r="N323" s="1083" t="s">
        <v>1603</v>
      </c>
      <c r="O323" s="1083" t="s">
        <v>1604</v>
      </c>
      <c r="P323" s="1083"/>
      <c r="Q323" s="1027"/>
      <c r="R323" s="1022"/>
      <c r="S323" s="1130">
        <v>191</v>
      </c>
      <c r="T323" s="1156">
        <v>16146000</v>
      </c>
    </row>
    <row r="324" spans="1:103" s="995" customFormat="1" ht="105.6" x14ac:dyDescent="0.3">
      <c r="A324" s="1023">
        <v>2022319</v>
      </c>
      <c r="B324" s="1023">
        <v>7658</v>
      </c>
      <c r="C324" s="1023" t="s">
        <v>679</v>
      </c>
      <c r="D324" s="1039" t="s">
        <v>695</v>
      </c>
      <c r="E324" s="1040">
        <v>80111600</v>
      </c>
      <c r="F324" s="1026" t="s">
        <v>987</v>
      </c>
      <c r="G324" s="1041" t="s">
        <v>1495</v>
      </c>
      <c r="H324" s="1141" t="s">
        <v>1495</v>
      </c>
      <c r="I324" s="1042" t="s">
        <v>1498</v>
      </c>
      <c r="J324" s="1043" t="s">
        <v>1535</v>
      </c>
      <c r="K324" s="1027" t="s">
        <v>674</v>
      </c>
      <c r="L324" s="1088" t="s">
        <v>675</v>
      </c>
      <c r="M324" s="1030">
        <v>80300000</v>
      </c>
      <c r="N324" s="1083" t="s">
        <v>1603</v>
      </c>
      <c r="O324" s="1083" t="s">
        <v>1604</v>
      </c>
      <c r="P324" s="1083"/>
      <c r="Q324" s="1027"/>
      <c r="R324" s="1022"/>
      <c r="S324" s="1130">
        <v>179</v>
      </c>
      <c r="T324" s="1156">
        <v>80300000</v>
      </c>
    </row>
    <row r="325" spans="1:103" s="995" customFormat="1" ht="105.6" x14ac:dyDescent="0.3">
      <c r="A325" s="1023">
        <v>2022320</v>
      </c>
      <c r="B325" s="1023">
        <v>7658</v>
      </c>
      <c r="C325" s="1023" t="s">
        <v>679</v>
      </c>
      <c r="D325" s="1039" t="s">
        <v>695</v>
      </c>
      <c r="E325" s="1040">
        <v>80111600</v>
      </c>
      <c r="F325" s="1026" t="s">
        <v>988</v>
      </c>
      <c r="G325" s="1041" t="s">
        <v>1495</v>
      </c>
      <c r="H325" s="1141" t="s">
        <v>1495</v>
      </c>
      <c r="I325" s="1042" t="s">
        <v>1498</v>
      </c>
      <c r="J325" s="1043" t="s">
        <v>1535</v>
      </c>
      <c r="K325" s="1027" t="s">
        <v>674</v>
      </c>
      <c r="L325" s="1088" t="s">
        <v>675</v>
      </c>
      <c r="M325" s="1030">
        <v>56925000</v>
      </c>
      <c r="N325" s="1083" t="s">
        <v>1603</v>
      </c>
      <c r="O325" s="1083" t="s">
        <v>1604</v>
      </c>
      <c r="P325" s="1083"/>
      <c r="Q325" s="1027"/>
      <c r="R325" s="1022"/>
      <c r="S325" s="1130">
        <v>97</v>
      </c>
      <c r="T325" s="1156">
        <v>36225000</v>
      </c>
    </row>
    <row r="326" spans="1:103" s="995" customFormat="1" ht="105.6" x14ac:dyDescent="0.3">
      <c r="A326" s="1023">
        <v>2022321</v>
      </c>
      <c r="B326" s="1023">
        <v>7658</v>
      </c>
      <c r="C326" s="1023" t="s">
        <v>679</v>
      </c>
      <c r="D326" s="1039" t="s">
        <v>695</v>
      </c>
      <c r="E326" s="1040">
        <v>80111600</v>
      </c>
      <c r="F326" s="1026" t="s">
        <v>989</v>
      </c>
      <c r="G326" s="1041" t="s">
        <v>1495</v>
      </c>
      <c r="H326" s="1141" t="s">
        <v>1495</v>
      </c>
      <c r="I326" s="1042" t="s">
        <v>1541</v>
      </c>
      <c r="J326" s="1043" t="s">
        <v>1535</v>
      </c>
      <c r="K326" s="1027" t="s">
        <v>674</v>
      </c>
      <c r="L326" s="1088" t="s">
        <v>675</v>
      </c>
      <c r="M326" s="1030">
        <v>23100000</v>
      </c>
      <c r="N326" s="1083" t="s">
        <v>1603</v>
      </c>
      <c r="O326" s="1083" t="s">
        <v>1604</v>
      </c>
      <c r="P326" s="1083"/>
      <c r="Q326" s="1027"/>
      <c r="R326" s="1022"/>
      <c r="S326" s="1130">
        <v>235</v>
      </c>
      <c r="T326" s="1156">
        <v>11550000</v>
      </c>
    </row>
    <row r="327" spans="1:103" s="995" customFormat="1" ht="105.6" x14ac:dyDescent="0.3">
      <c r="A327" s="1023">
        <v>2022322</v>
      </c>
      <c r="B327" s="1023">
        <v>7658</v>
      </c>
      <c r="C327" s="1023" t="s">
        <v>679</v>
      </c>
      <c r="D327" s="1039" t="s">
        <v>695</v>
      </c>
      <c r="E327" s="1040">
        <v>80111600</v>
      </c>
      <c r="F327" s="1026" t="s">
        <v>990</v>
      </c>
      <c r="G327" s="1041" t="s">
        <v>1495</v>
      </c>
      <c r="H327" s="1141" t="s">
        <v>1495</v>
      </c>
      <c r="I327" s="1042" t="s">
        <v>1540</v>
      </c>
      <c r="J327" s="1043" t="s">
        <v>1535</v>
      </c>
      <c r="K327" s="1027" t="s">
        <v>674</v>
      </c>
      <c r="L327" s="1088" t="s">
        <v>675</v>
      </c>
      <c r="M327" s="1030">
        <v>26950000</v>
      </c>
      <c r="N327" s="1083" t="s">
        <v>1603</v>
      </c>
      <c r="O327" s="1083" t="s">
        <v>1604</v>
      </c>
      <c r="P327" s="1083"/>
      <c r="Q327" s="1027"/>
      <c r="R327" s="1022"/>
      <c r="S327" s="1130">
        <v>339</v>
      </c>
      <c r="T327" s="1156">
        <v>26950000</v>
      </c>
    </row>
    <row r="328" spans="1:103" s="995" customFormat="1" ht="105.6" x14ac:dyDescent="0.3">
      <c r="A328" s="1023">
        <v>2022323</v>
      </c>
      <c r="B328" s="1023">
        <v>7658</v>
      </c>
      <c r="C328" s="1023" t="s">
        <v>679</v>
      </c>
      <c r="D328" s="1039" t="s">
        <v>695</v>
      </c>
      <c r="E328" s="1040">
        <v>80111600</v>
      </c>
      <c r="F328" s="1026" t="s">
        <v>991</v>
      </c>
      <c r="G328" s="1041" t="s">
        <v>1495</v>
      </c>
      <c r="H328" s="1141" t="s">
        <v>1495</v>
      </c>
      <c r="I328" s="1042" t="s">
        <v>1498</v>
      </c>
      <c r="J328" s="1043" t="s">
        <v>1535</v>
      </c>
      <c r="K328" s="1027" t="s">
        <v>674</v>
      </c>
      <c r="L328" s="1088" t="s">
        <v>675</v>
      </c>
      <c r="M328" s="1030">
        <v>47817000</v>
      </c>
      <c r="N328" s="1083" t="s">
        <v>1603</v>
      </c>
      <c r="O328" s="1083" t="s">
        <v>1604</v>
      </c>
      <c r="P328" s="1083"/>
      <c r="Q328" s="1027"/>
      <c r="R328" s="1022"/>
      <c r="S328" s="1130">
        <v>177</v>
      </c>
      <c r="T328" s="1156">
        <v>34776000</v>
      </c>
    </row>
    <row r="329" spans="1:103" s="995" customFormat="1" ht="118.5" customHeight="1" x14ac:dyDescent="0.3">
      <c r="A329" s="1013">
        <v>2022324</v>
      </c>
      <c r="B329" s="1013">
        <v>7658</v>
      </c>
      <c r="C329" s="1013" t="s">
        <v>679</v>
      </c>
      <c r="D329" s="1045" t="s">
        <v>695</v>
      </c>
      <c r="E329" s="1051" t="s">
        <v>992</v>
      </c>
      <c r="F329" s="1016" t="s">
        <v>993</v>
      </c>
      <c r="G329" s="1047" t="s">
        <v>1501</v>
      </c>
      <c r="H329" s="1141" t="s">
        <v>1509</v>
      </c>
      <c r="I329" s="1048" t="s">
        <v>1537</v>
      </c>
      <c r="J329" s="1049" t="s">
        <v>1605</v>
      </c>
      <c r="K329" s="1017" t="s">
        <v>770</v>
      </c>
      <c r="L329" s="1019" t="s">
        <v>1584</v>
      </c>
      <c r="M329" s="1020">
        <v>200000000</v>
      </c>
      <c r="N329" s="1037" t="s">
        <v>1603</v>
      </c>
      <c r="O329" s="1037" t="s">
        <v>1604</v>
      </c>
      <c r="P329" s="1037"/>
      <c r="Q329" s="1047">
        <v>44600</v>
      </c>
      <c r="R329" s="1022"/>
      <c r="S329" s="1130"/>
      <c r="T329" s="1156"/>
    </row>
    <row r="330" spans="1:103" s="995" customFormat="1" ht="105.6" x14ac:dyDescent="0.3">
      <c r="A330" s="1013">
        <v>2022325</v>
      </c>
      <c r="B330" s="1013">
        <v>7658</v>
      </c>
      <c r="C330" s="1013" t="s">
        <v>679</v>
      </c>
      <c r="D330" s="1045" t="s">
        <v>695</v>
      </c>
      <c r="E330" s="1051" t="s">
        <v>995</v>
      </c>
      <c r="F330" s="1016" t="s">
        <v>1606</v>
      </c>
      <c r="G330" s="1047" t="s">
        <v>1495</v>
      </c>
      <c r="H330" s="1141" t="s">
        <v>1501</v>
      </c>
      <c r="I330" s="1048" t="s">
        <v>1537</v>
      </c>
      <c r="J330" s="1049" t="s">
        <v>1586</v>
      </c>
      <c r="K330" s="1017" t="s">
        <v>674</v>
      </c>
      <c r="L330" s="1085" t="s">
        <v>675</v>
      </c>
      <c r="M330" s="1020">
        <v>770904000</v>
      </c>
      <c r="N330" s="1037" t="s">
        <v>1603</v>
      </c>
      <c r="O330" s="1037" t="s">
        <v>1604</v>
      </c>
      <c r="P330" s="1037"/>
      <c r="Q330" s="1017"/>
      <c r="R330" s="1022"/>
      <c r="S330" s="1130"/>
      <c r="T330" s="1156"/>
    </row>
    <row r="331" spans="1:103" s="995" customFormat="1" ht="105.6" x14ac:dyDescent="0.3">
      <c r="A331" s="1013">
        <v>2022326</v>
      </c>
      <c r="B331" s="1013">
        <v>7658</v>
      </c>
      <c r="C331" s="1013" t="s">
        <v>679</v>
      </c>
      <c r="D331" s="1045" t="s">
        <v>695</v>
      </c>
      <c r="E331" s="1046">
        <v>46201002</v>
      </c>
      <c r="F331" s="1016" t="s">
        <v>1607</v>
      </c>
      <c r="G331" s="1047" t="s">
        <v>1495</v>
      </c>
      <c r="H331" s="1141" t="s">
        <v>1501</v>
      </c>
      <c r="I331" s="1048" t="s">
        <v>1537</v>
      </c>
      <c r="J331" s="1049" t="s">
        <v>1586</v>
      </c>
      <c r="K331" s="1017" t="s">
        <v>770</v>
      </c>
      <c r="L331" s="1019" t="s">
        <v>1584</v>
      </c>
      <c r="M331" s="1020">
        <v>1100000000</v>
      </c>
      <c r="N331" s="1037" t="s">
        <v>1603</v>
      </c>
      <c r="O331" s="1037" t="s">
        <v>1604</v>
      </c>
      <c r="P331" s="1037"/>
      <c r="Q331" s="1047">
        <v>44600</v>
      </c>
      <c r="R331" s="1022"/>
      <c r="S331" s="1130"/>
      <c r="T331" s="1156"/>
    </row>
    <row r="332" spans="1:103" s="995" customFormat="1" ht="105.6" x14ac:dyDescent="0.3">
      <c r="A332" s="1023">
        <v>2022327</v>
      </c>
      <c r="B332" s="1023">
        <v>7658</v>
      </c>
      <c r="C332" s="1023" t="s">
        <v>679</v>
      </c>
      <c r="D332" s="1039" t="s">
        <v>695</v>
      </c>
      <c r="E332" s="1040">
        <v>90121800</v>
      </c>
      <c r="F332" s="1026" t="s">
        <v>999</v>
      </c>
      <c r="G332" s="1041" t="s">
        <v>1495</v>
      </c>
      <c r="H332" s="1141" t="s">
        <v>1495</v>
      </c>
      <c r="I332" s="1042" t="s">
        <v>1543</v>
      </c>
      <c r="J332" s="1043" t="s">
        <v>1546</v>
      </c>
      <c r="K332" s="1027" t="s">
        <v>674</v>
      </c>
      <c r="L332" s="1088" t="s">
        <v>675</v>
      </c>
      <c r="M332" s="1030">
        <f>40000000+10000000</f>
        <v>50000000</v>
      </c>
      <c r="N332" s="1083" t="s">
        <v>1603</v>
      </c>
      <c r="O332" s="1083" t="s">
        <v>1604</v>
      </c>
      <c r="P332" s="1083"/>
      <c r="Q332" s="1041">
        <v>44600</v>
      </c>
      <c r="R332" s="1022"/>
      <c r="S332" s="1130">
        <v>388</v>
      </c>
      <c r="T332" s="1156">
        <v>306300</v>
      </c>
    </row>
    <row r="333" spans="1:103" s="1034" customFormat="1" ht="105.6" x14ac:dyDescent="0.3">
      <c r="A333" s="1131">
        <v>2022328</v>
      </c>
      <c r="B333" s="1131">
        <v>7658</v>
      </c>
      <c r="C333" s="1131" t="s">
        <v>679</v>
      </c>
      <c r="D333" s="1139" t="s">
        <v>695</v>
      </c>
      <c r="E333" s="1145">
        <v>90121800</v>
      </c>
      <c r="F333" s="1134" t="s">
        <v>1000</v>
      </c>
      <c r="G333" s="1141" t="s">
        <v>1495</v>
      </c>
      <c r="H333" s="1141" t="s">
        <v>1495</v>
      </c>
      <c r="I333" s="1142" t="s">
        <v>1543</v>
      </c>
      <c r="J333" s="1143" t="s">
        <v>1546</v>
      </c>
      <c r="K333" s="1135" t="s">
        <v>674</v>
      </c>
      <c r="L333" s="1153" t="s">
        <v>675</v>
      </c>
      <c r="M333" s="1136">
        <v>80000000</v>
      </c>
      <c r="N333" s="1151" t="s">
        <v>1603</v>
      </c>
      <c r="O333" s="1151" t="s">
        <v>1604</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5.6" x14ac:dyDescent="0.3">
      <c r="A334" s="1013">
        <v>2022329</v>
      </c>
      <c r="B334" s="1013">
        <v>7658</v>
      </c>
      <c r="C334" s="1013" t="s">
        <v>679</v>
      </c>
      <c r="D334" s="1045" t="s">
        <v>695</v>
      </c>
      <c r="E334" s="1046">
        <v>80111600</v>
      </c>
      <c r="F334" s="1016" t="s">
        <v>1608</v>
      </c>
      <c r="G334" s="1047" t="s">
        <v>1495</v>
      </c>
      <c r="H334" s="1141" t="s">
        <v>1495</v>
      </c>
      <c r="I334" s="1048" t="s">
        <v>1541</v>
      </c>
      <c r="J334" s="1049" t="s">
        <v>1535</v>
      </c>
      <c r="K334" s="1017" t="s">
        <v>674</v>
      </c>
      <c r="L334" s="1085" t="s">
        <v>675</v>
      </c>
      <c r="M334" s="1020">
        <v>39357000</v>
      </c>
      <c r="N334" s="1037" t="s">
        <v>1603</v>
      </c>
      <c r="O334" s="1037" t="s">
        <v>1604</v>
      </c>
      <c r="P334" s="1037"/>
      <c r="Q334" s="1017"/>
      <c r="R334" s="1022"/>
      <c r="S334" s="1130"/>
      <c r="T334" s="1156"/>
    </row>
    <row r="335" spans="1:103" s="995" customFormat="1" ht="92.4" x14ac:dyDescent="0.3">
      <c r="A335" s="1013">
        <v>2022330</v>
      </c>
      <c r="B335" s="1013">
        <v>7658</v>
      </c>
      <c r="C335" s="1013" t="s">
        <v>679</v>
      </c>
      <c r="D335" s="1045" t="s">
        <v>701</v>
      </c>
      <c r="E335" s="1051" t="s">
        <v>1002</v>
      </c>
      <c r="F335" s="1016" t="s">
        <v>1003</v>
      </c>
      <c r="G335" s="1047" t="s">
        <v>1495</v>
      </c>
      <c r="H335" s="1141" t="s">
        <v>1501</v>
      </c>
      <c r="I335" s="1048" t="s">
        <v>1543</v>
      </c>
      <c r="J335" s="1049" t="s">
        <v>1586</v>
      </c>
      <c r="K335" s="1017" t="s">
        <v>770</v>
      </c>
      <c r="L335" s="1019" t="s">
        <v>994</v>
      </c>
      <c r="M335" s="1020">
        <v>5600000000</v>
      </c>
      <c r="N335" s="1037" t="s">
        <v>752</v>
      </c>
      <c r="O335" s="1037" t="s">
        <v>1562</v>
      </c>
      <c r="P335" s="1037"/>
      <c r="Q335" s="1017"/>
      <c r="R335" s="1022"/>
      <c r="S335" s="1130"/>
      <c r="T335" s="1156"/>
    </row>
    <row r="336" spans="1:103" s="995" customFormat="1" ht="92.4" x14ac:dyDescent="0.3">
      <c r="A336" s="1013">
        <v>2022331</v>
      </c>
      <c r="B336" s="1013">
        <v>7658</v>
      </c>
      <c r="C336" s="1013" t="s">
        <v>679</v>
      </c>
      <c r="D336" s="1045" t="s">
        <v>701</v>
      </c>
      <c r="E336" s="1051" t="s">
        <v>1004</v>
      </c>
      <c r="F336" s="1016" t="s">
        <v>1005</v>
      </c>
      <c r="G336" s="1047" t="s">
        <v>1495</v>
      </c>
      <c r="H336" s="1141" t="s">
        <v>1501</v>
      </c>
      <c r="I336" s="1048" t="s">
        <v>1609</v>
      </c>
      <c r="J336" s="1049" t="s">
        <v>1586</v>
      </c>
      <c r="K336" s="1017" t="s">
        <v>770</v>
      </c>
      <c r="L336" s="1019" t="s">
        <v>994</v>
      </c>
      <c r="M336" s="1020">
        <v>1325000000</v>
      </c>
      <c r="N336" s="1037" t="s">
        <v>749</v>
      </c>
      <c r="O336" s="1037" t="s">
        <v>1562</v>
      </c>
      <c r="P336" s="1037"/>
      <c r="Q336" s="1017"/>
      <c r="R336" s="1022"/>
      <c r="S336" s="1130"/>
      <c r="T336" s="1156"/>
    </row>
    <row r="337" spans="1:20" s="995" customFormat="1" ht="92.4" x14ac:dyDescent="0.3">
      <c r="A337" s="1013">
        <v>2022332</v>
      </c>
      <c r="B337" s="1013">
        <v>7658</v>
      </c>
      <c r="C337" s="1013" t="s">
        <v>679</v>
      </c>
      <c r="D337" s="1045" t="s">
        <v>701</v>
      </c>
      <c r="E337" s="1051" t="s">
        <v>1004</v>
      </c>
      <c r="F337" s="1016" t="s">
        <v>1005</v>
      </c>
      <c r="G337" s="1047" t="s">
        <v>1495</v>
      </c>
      <c r="H337" s="1141" t="s">
        <v>1501</v>
      </c>
      <c r="I337" s="1048" t="s">
        <v>1609</v>
      </c>
      <c r="J337" s="1049" t="s">
        <v>1586</v>
      </c>
      <c r="K337" s="1017" t="s">
        <v>674</v>
      </c>
      <c r="L337" s="1019" t="s">
        <v>994</v>
      </c>
      <c r="M337" s="1020">
        <v>548720000</v>
      </c>
      <c r="N337" s="1037" t="s">
        <v>749</v>
      </c>
      <c r="O337" s="1037" t="s">
        <v>1562</v>
      </c>
      <c r="P337" s="1037"/>
      <c r="Q337" s="1017"/>
      <c r="R337" s="1022"/>
      <c r="S337" s="1130"/>
      <c r="T337" s="1156"/>
    </row>
    <row r="338" spans="1:20" s="995" customFormat="1" ht="92.4" x14ac:dyDescent="0.3">
      <c r="A338" s="1013">
        <v>2022333</v>
      </c>
      <c r="B338" s="1013">
        <v>7658</v>
      </c>
      <c r="C338" s="1013" t="s">
        <v>679</v>
      </c>
      <c r="D338" s="1045" t="s">
        <v>701</v>
      </c>
      <c r="E338" s="1051" t="s">
        <v>1610</v>
      </c>
      <c r="F338" s="1016" t="s">
        <v>1008</v>
      </c>
      <c r="G338" s="1047" t="s">
        <v>1495</v>
      </c>
      <c r="H338" s="1141" t="s">
        <v>1611</v>
      </c>
      <c r="I338" s="1048" t="s">
        <v>1609</v>
      </c>
      <c r="J338" s="1049" t="s">
        <v>1586</v>
      </c>
      <c r="K338" s="1017" t="s">
        <v>770</v>
      </c>
      <c r="L338" s="1019" t="s">
        <v>994</v>
      </c>
      <c r="M338" s="1020">
        <v>1078000000</v>
      </c>
      <c r="N338" s="1037" t="s">
        <v>749</v>
      </c>
      <c r="O338" s="1037" t="s">
        <v>1562</v>
      </c>
      <c r="P338" s="1037"/>
      <c r="Q338" s="1017"/>
      <c r="R338" s="1022"/>
      <c r="S338" s="1130"/>
      <c r="T338" s="1156"/>
    </row>
    <row r="339" spans="1:20" s="995" customFormat="1" ht="92.4" x14ac:dyDescent="0.3">
      <c r="A339" s="1013">
        <v>2022334</v>
      </c>
      <c r="B339" s="1013">
        <v>7658</v>
      </c>
      <c r="C339" s="1013" t="s">
        <v>679</v>
      </c>
      <c r="D339" s="1045" t="s">
        <v>701</v>
      </c>
      <c r="E339" s="1051" t="s">
        <v>1610</v>
      </c>
      <c r="F339" s="1016" t="s">
        <v>1008</v>
      </c>
      <c r="G339" s="1047" t="s">
        <v>1495</v>
      </c>
      <c r="H339" s="1141" t="s">
        <v>1611</v>
      </c>
      <c r="I339" s="1048" t="s">
        <v>1609</v>
      </c>
      <c r="J339" s="1049" t="s">
        <v>1586</v>
      </c>
      <c r="K339" s="1017" t="s">
        <v>674</v>
      </c>
      <c r="L339" s="1019" t="s">
        <v>994</v>
      </c>
      <c r="M339" s="1020">
        <v>204051000</v>
      </c>
      <c r="N339" s="1037" t="s">
        <v>749</v>
      </c>
      <c r="O339" s="1037" t="s">
        <v>1562</v>
      </c>
      <c r="P339" s="1037"/>
      <c r="Q339" s="1017"/>
      <c r="R339" s="1022"/>
      <c r="S339" s="1130"/>
      <c r="T339" s="1156"/>
    </row>
    <row r="340" spans="1:20" s="995" customFormat="1" ht="92.4" x14ac:dyDescent="0.3">
      <c r="A340" s="1013">
        <v>2022335</v>
      </c>
      <c r="B340" s="1013">
        <v>7658</v>
      </c>
      <c r="C340" s="1013" t="s">
        <v>679</v>
      </c>
      <c r="D340" s="1045" t="s">
        <v>701</v>
      </c>
      <c r="E340" s="1051" t="s">
        <v>1612</v>
      </c>
      <c r="F340" s="1016" t="s">
        <v>1613</v>
      </c>
      <c r="G340" s="1047" t="s">
        <v>1495</v>
      </c>
      <c r="H340" s="1141" t="s">
        <v>1611</v>
      </c>
      <c r="I340" s="1048" t="s">
        <v>1614</v>
      </c>
      <c r="J340" s="1049" t="s">
        <v>1503</v>
      </c>
      <c r="K340" s="1017" t="s">
        <v>674</v>
      </c>
      <c r="L340" s="1019" t="s">
        <v>994</v>
      </c>
      <c r="M340" s="1020">
        <v>40000000</v>
      </c>
      <c r="N340" s="1037" t="s">
        <v>749</v>
      </c>
      <c r="O340" s="1037" t="s">
        <v>1562</v>
      </c>
      <c r="P340" s="1037"/>
      <c r="Q340" s="1017"/>
      <c r="R340" s="1022"/>
      <c r="S340" s="1130"/>
      <c r="T340" s="1156"/>
    </row>
    <row r="341" spans="1:20" s="995" customFormat="1" ht="92.4" x14ac:dyDescent="0.3">
      <c r="A341" s="1013">
        <v>2022336</v>
      </c>
      <c r="B341" s="1013">
        <v>7658</v>
      </c>
      <c r="C341" s="1013" t="s">
        <v>679</v>
      </c>
      <c r="D341" s="1045" t="s">
        <v>701</v>
      </c>
      <c r="E341" s="1051" t="s">
        <v>1009</v>
      </c>
      <c r="F341" s="1016" t="s">
        <v>1010</v>
      </c>
      <c r="G341" s="1047" t="s">
        <v>1495</v>
      </c>
      <c r="H341" s="1141" t="s">
        <v>1505</v>
      </c>
      <c r="I341" s="1048" t="s">
        <v>1614</v>
      </c>
      <c r="J341" s="1049" t="s">
        <v>1503</v>
      </c>
      <c r="K341" s="1017" t="s">
        <v>674</v>
      </c>
      <c r="L341" s="1019" t="s">
        <v>994</v>
      </c>
      <c r="M341" s="1020">
        <v>125000000</v>
      </c>
      <c r="N341" s="1037" t="s">
        <v>749</v>
      </c>
      <c r="O341" s="1037" t="s">
        <v>1562</v>
      </c>
      <c r="P341" s="1037"/>
      <c r="Q341" s="1017"/>
      <c r="R341" s="1022"/>
      <c r="S341" s="1130"/>
      <c r="T341" s="1156"/>
    </row>
    <row r="342" spans="1:20" s="995" customFormat="1" ht="92.4" x14ac:dyDescent="0.3">
      <c r="A342" s="1023">
        <v>2022337</v>
      </c>
      <c r="B342" s="1023">
        <v>7658</v>
      </c>
      <c r="C342" s="1023" t="s">
        <v>679</v>
      </c>
      <c r="D342" s="1039" t="s">
        <v>701</v>
      </c>
      <c r="E342" s="1040">
        <v>80111600</v>
      </c>
      <c r="F342" s="1026" t="s">
        <v>1011</v>
      </c>
      <c r="G342" s="1041" t="s">
        <v>1495</v>
      </c>
      <c r="H342" s="1141" t="s">
        <v>1495</v>
      </c>
      <c r="I342" s="1042" t="s">
        <v>1543</v>
      </c>
      <c r="J342" s="1043" t="s">
        <v>1535</v>
      </c>
      <c r="K342" s="1027" t="s">
        <v>674</v>
      </c>
      <c r="L342" s="1088" t="s">
        <v>675</v>
      </c>
      <c r="M342" s="1030">
        <v>25980000</v>
      </c>
      <c r="N342" s="1083" t="s">
        <v>749</v>
      </c>
      <c r="O342" s="1083" t="s">
        <v>1562</v>
      </c>
      <c r="P342" s="1083"/>
      <c r="Q342" s="1027"/>
      <c r="R342" s="1022"/>
      <c r="S342" s="1130">
        <v>242</v>
      </c>
      <c r="T342" s="1156">
        <v>25200000</v>
      </c>
    </row>
    <row r="343" spans="1:20" s="995" customFormat="1" ht="92.4" x14ac:dyDescent="0.3">
      <c r="A343" s="1023">
        <v>2022338</v>
      </c>
      <c r="B343" s="1023">
        <v>7658</v>
      </c>
      <c r="C343" s="1023" t="s">
        <v>679</v>
      </c>
      <c r="D343" s="1039" t="s">
        <v>701</v>
      </c>
      <c r="E343" s="1040">
        <v>80111600</v>
      </c>
      <c r="F343" s="1026" t="s">
        <v>1011</v>
      </c>
      <c r="G343" s="1041" t="s">
        <v>1495</v>
      </c>
      <c r="H343" s="1141" t="s">
        <v>1495</v>
      </c>
      <c r="I343" s="1042" t="s">
        <v>1543</v>
      </c>
      <c r="J343" s="1043" t="s">
        <v>1535</v>
      </c>
      <c r="K343" s="1027" t="s">
        <v>674</v>
      </c>
      <c r="L343" s="1088" t="s">
        <v>675</v>
      </c>
      <c r="M343" s="1030">
        <v>25980000</v>
      </c>
      <c r="N343" s="1083" t="s">
        <v>749</v>
      </c>
      <c r="O343" s="1083" t="s">
        <v>1562</v>
      </c>
      <c r="P343" s="1083"/>
      <c r="Q343" s="1027"/>
      <c r="R343" s="1022"/>
      <c r="S343" s="1130">
        <v>251</v>
      </c>
      <c r="T343" s="1156">
        <v>25200000</v>
      </c>
    </row>
    <row r="344" spans="1:20" s="995" customFormat="1" ht="92.4" x14ac:dyDescent="0.3">
      <c r="A344" s="1023">
        <v>2022339</v>
      </c>
      <c r="B344" s="1023">
        <v>7658</v>
      </c>
      <c r="C344" s="1023" t="s">
        <v>679</v>
      </c>
      <c r="D344" s="1039" t="s">
        <v>701</v>
      </c>
      <c r="E344" s="1040">
        <v>80111600</v>
      </c>
      <c r="F344" s="1026" t="s">
        <v>1011</v>
      </c>
      <c r="G344" s="1041" t="s">
        <v>1495</v>
      </c>
      <c r="H344" s="1141" t="s">
        <v>1495</v>
      </c>
      <c r="I344" s="1042" t="s">
        <v>1543</v>
      </c>
      <c r="J344" s="1043" t="s">
        <v>1535</v>
      </c>
      <c r="K344" s="1027" t="s">
        <v>674</v>
      </c>
      <c r="L344" s="1088" t="s">
        <v>675</v>
      </c>
      <c r="M344" s="1030">
        <v>25980000</v>
      </c>
      <c r="N344" s="1083" t="s">
        <v>749</v>
      </c>
      <c r="O344" s="1083" t="s">
        <v>1562</v>
      </c>
      <c r="P344" s="1083"/>
      <c r="Q344" s="1027"/>
      <c r="R344" s="1022"/>
      <c r="S344" s="1130">
        <v>349</v>
      </c>
      <c r="T344" s="1156">
        <v>25200000</v>
      </c>
    </row>
    <row r="345" spans="1:20" s="995" customFormat="1" ht="92.4" x14ac:dyDescent="0.3">
      <c r="A345" s="1023">
        <v>2022340</v>
      </c>
      <c r="B345" s="1023">
        <v>7658</v>
      </c>
      <c r="C345" s="1023" t="s">
        <v>679</v>
      </c>
      <c r="D345" s="1039" t="s">
        <v>701</v>
      </c>
      <c r="E345" s="1040">
        <v>80111600</v>
      </c>
      <c r="F345" s="1026" t="s">
        <v>1011</v>
      </c>
      <c r="G345" s="1041" t="s">
        <v>1495</v>
      </c>
      <c r="H345" s="1141" t="s">
        <v>1495</v>
      </c>
      <c r="I345" s="1042" t="s">
        <v>1543</v>
      </c>
      <c r="J345" s="1043" t="s">
        <v>1535</v>
      </c>
      <c r="K345" s="1027" t="s">
        <v>674</v>
      </c>
      <c r="L345" s="1088" t="s">
        <v>675</v>
      </c>
      <c r="M345" s="1030">
        <v>25980000</v>
      </c>
      <c r="N345" s="1083" t="s">
        <v>749</v>
      </c>
      <c r="O345" s="1083" t="s">
        <v>1562</v>
      </c>
      <c r="P345" s="1083"/>
      <c r="Q345" s="1027"/>
      <c r="R345" s="1022"/>
      <c r="S345" s="1130">
        <v>252</v>
      </c>
      <c r="T345" s="1156">
        <v>25200000</v>
      </c>
    </row>
    <row r="346" spans="1:20" s="995" customFormat="1" ht="92.4" x14ac:dyDescent="0.3">
      <c r="A346" s="1023">
        <v>2022341</v>
      </c>
      <c r="B346" s="1023">
        <v>7658</v>
      </c>
      <c r="C346" s="1023" t="s">
        <v>679</v>
      </c>
      <c r="D346" s="1039" t="s">
        <v>701</v>
      </c>
      <c r="E346" s="1040">
        <v>80111600</v>
      </c>
      <c r="F346" s="1026" t="s">
        <v>1011</v>
      </c>
      <c r="G346" s="1041" t="s">
        <v>1495</v>
      </c>
      <c r="H346" s="1141" t="s">
        <v>1495</v>
      </c>
      <c r="I346" s="1042" t="s">
        <v>1543</v>
      </c>
      <c r="J346" s="1043" t="s">
        <v>1535</v>
      </c>
      <c r="K346" s="1027" t="s">
        <v>674</v>
      </c>
      <c r="L346" s="1088" t="s">
        <v>675</v>
      </c>
      <c r="M346" s="1030">
        <v>25980000</v>
      </c>
      <c r="N346" s="1083" t="s">
        <v>749</v>
      </c>
      <c r="O346" s="1083" t="s">
        <v>1562</v>
      </c>
      <c r="P346" s="1083"/>
      <c r="Q346" s="1027"/>
      <c r="R346" s="1022"/>
      <c r="S346" s="1130">
        <v>321</v>
      </c>
      <c r="T346" s="1156">
        <v>25200000</v>
      </c>
    </row>
    <row r="347" spans="1:20" s="995" customFormat="1" ht="92.4" x14ac:dyDescent="0.3">
      <c r="A347" s="1023">
        <v>2022342</v>
      </c>
      <c r="B347" s="1023">
        <v>7658</v>
      </c>
      <c r="C347" s="1023" t="s">
        <v>679</v>
      </c>
      <c r="D347" s="1039" t="s">
        <v>701</v>
      </c>
      <c r="E347" s="1040">
        <v>80111600</v>
      </c>
      <c r="F347" s="1026" t="s">
        <v>1011</v>
      </c>
      <c r="G347" s="1041" t="s">
        <v>1495</v>
      </c>
      <c r="H347" s="1141" t="s">
        <v>1495</v>
      </c>
      <c r="I347" s="1042" t="s">
        <v>1543</v>
      </c>
      <c r="J347" s="1043" t="s">
        <v>1535</v>
      </c>
      <c r="K347" s="1027" t="s">
        <v>674</v>
      </c>
      <c r="L347" s="1088" t="s">
        <v>675</v>
      </c>
      <c r="M347" s="1030">
        <v>25980000</v>
      </c>
      <c r="N347" s="1083" t="s">
        <v>749</v>
      </c>
      <c r="O347" s="1083" t="s">
        <v>1562</v>
      </c>
      <c r="P347" s="1083"/>
      <c r="Q347" s="1027"/>
      <c r="R347" s="1022"/>
      <c r="S347" s="1130">
        <v>241</v>
      </c>
      <c r="T347" s="1156">
        <v>25200000</v>
      </c>
    </row>
    <row r="348" spans="1:20" s="995" customFormat="1" ht="92.4" x14ac:dyDescent="0.3">
      <c r="A348" s="1023">
        <v>2022343</v>
      </c>
      <c r="B348" s="1023">
        <v>7658</v>
      </c>
      <c r="C348" s="1023" t="s">
        <v>679</v>
      </c>
      <c r="D348" s="1039" t="s">
        <v>701</v>
      </c>
      <c r="E348" s="1040">
        <v>80111600</v>
      </c>
      <c r="F348" s="1026" t="s">
        <v>1011</v>
      </c>
      <c r="G348" s="1041" t="s">
        <v>1495</v>
      </c>
      <c r="H348" s="1141" t="s">
        <v>1495</v>
      </c>
      <c r="I348" s="1042" t="s">
        <v>1543</v>
      </c>
      <c r="J348" s="1043" t="s">
        <v>1535</v>
      </c>
      <c r="K348" s="1027" t="s">
        <v>674</v>
      </c>
      <c r="L348" s="1088" t="s">
        <v>675</v>
      </c>
      <c r="M348" s="1030">
        <v>25980000</v>
      </c>
      <c r="N348" s="1083" t="s">
        <v>749</v>
      </c>
      <c r="O348" s="1083" t="s">
        <v>1562</v>
      </c>
      <c r="P348" s="1083"/>
      <c r="Q348" s="1027"/>
      <c r="R348" s="1022"/>
      <c r="S348" s="1130">
        <v>254</v>
      </c>
      <c r="T348" s="1156">
        <v>25200000</v>
      </c>
    </row>
    <row r="349" spans="1:20" s="995" customFormat="1" ht="92.4" x14ac:dyDescent="0.3">
      <c r="A349" s="1023">
        <v>2022344</v>
      </c>
      <c r="B349" s="1023">
        <v>7658</v>
      </c>
      <c r="C349" s="1023" t="s">
        <v>679</v>
      </c>
      <c r="D349" s="1039" t="s">
        <v>701</v>
      </c>
      <c r="E349" s="1040">
        <v>80111600</v>
      </c>
      <c r="F349" s="1026" t="s">
        <v>1011</v>
      </c>
      <c r="G349" s="1041" t="s">
        <v>1495</v>
      </c>
      <c r="H349" s="1141" t="s">
        <v>1495</v>
      </c>
      <c r="I349" s="1042" t="s">
        <v>1543</v>
      </c>
      <c r="J349" s="1043" t="s">
        <v>1535</v>
      </c>
      <c r="K349" s="1027" t="s">
        <v>674</v>
      </c>
      <c r="L349" s="1088" t="s">
        <v>675</v>
      </c>
      <c r="M349" s="1030">
        <v>25980000</v>
      </c>
      <c r="N349" s="1083" t="s">
        <v>749</v>
      </c>
      <c r="O349" s="1083" t="s">
        <v>1562</v>
      </c>
      <c r="P349" s="1083"/>
      <c r="Q349" s="1027"/>
      <c r="R349" s="1022"/>
      <c r="S349" s="1130">
        <v>271</v>
      </c>
      <c r="T349" s="1156">
        <v>25200000</v>
      </c>
    </row>
    <row r="350" spans="1:20" s="995" customFormat="1" ht="92.4" x14ac:dyDescent="0.3">
      <c r="A350" s="1023">
        <v>2022345</v>
      </c>
      <c r="B350" s="1023">
        <v>7658</v>
      </c>
      <c r="C350" s="1023" t="s">
        <v>679</v>
      </c>
      <c r="D350" s="1039" t="s">
        <v>701</v>
      </c>
      <c r="E350" s="1040">
        <v>80111600</v>
      </c>
      <c r="F350" s="1026" t="s">
        <v>1011</v>
      </c>
      <c r="G350" s="1041" t="s">
        <v>1495</v>
      </c>
      <c r="H350" s="1141" t="s">
        <v>1495</v>
      </c>
      <c r="I350" s="1042" t="s">
        <v>1543</v>
      </c>
      <c r="J350" s="1043" t="s">
        <v>1535</v>
      </c>
      <c r="K350" s="1027" t="s">
        <v>674</v>
      </c>
      <c r="L350" s="1088" t="s">
        <v>675</v>
      </c>
      <c r="M350" s="1030">
        <v>25980000</v>
      </c>
      <c r="N350" s="1083" t="s">
        <v>749</v>
      </c>
      <c r="O350" s="1083" t="s">
        <v>1562</v>
      </c>
      <c r="P350" s="1083"/>
      <c r="Q350" s="1027"/>
      <c r="R350" s="1022"/>
      <c r="S350" s="1130">
        <v>245</v>
      </c>
      <c r="T350" s="1156">
        <v>25200000</v>
      </c>
    </row>
    <row r="351" spans="1:20" s="995" customFormat="1" ht="92.4" x14ac:dyDescent="0.3">
      <c r="A351" s="1023">
        <v>2022346</v>
      </c>
      <c r="B351" s="1023">
        <v>7658</v>
      </c>
      <c r="C351" s="1023" t="s">
        <v>679</v>
      </c>
      <c r="D351" s="1039" t="s">
        <v>701</v>
      </c>
      <c r="E351" s="1040">
        <v>80111600</v>
      </c>
      <c r="F351" s="1026" t="s">
        <v>1011</v>
      </c>
      <c r="G351" s="1041" t="s">
        <v>1495</v>
      </c>
      <c r="H351" s="1141" t="s">
        <v>1495</v>
      </c>
      <c r="I351" s="1042" t="s">
        <v>1543</v>
      </c>
      <c r="J351" s="1043" t="s">
        <v>1535</v>
      </c>
      <c r="K351" s="1027" t="s">
        <v>674</v>
      </c>
      <c r="L351" s="1088" t="s">
        <v>675</v>
      </c>
      <c r="M351" s="1030">
        <v>25980000</v>
      </c>
      <c r="N351" s="1083" t="s">
        <v>749</v>
      </c>
      <c r="O351" s="1083" t="s">
        <v>1562</v>
      </c>
      <c r="P351" s="1083"/>
      <c r="Q351" s="1027"/>
      <c r="R351" s="1022"/>
      <c r="S351" s="1130">
        <v>246</v>
      </c>
      <c r="T351" s="1156">
        <v>25200000</v>
      </c>
    </row>
    <row r="352" spans="1:20" s="1022" customFormat="1" ht="92.4" x14ac:dyDescent="0.3">
      <c r="A352" s="1013">
        <v>2022347</v>
      </c>
      <c r="B352" s="1013">
        <v>7658</v>
      </c>
      <c r="C352" s="1013" t="s">
        <v>679</v>
      </c>
      <c r="D352" s="1045" t="s">
        <v>701</v>
      </c>
      <c r="E352" s="1046">
        <v>80111600</v>
      </c>
      <c r="F352" s="1016" t="s">
        <v>1011</v>
      </c>
      <c r="G352" s="1047" t="s">
        <v>1495</v>
      </c>
      <c r="H352" s="1141" t="s">
        <v>1495</v>
      </c>
      <c r="I352" s="1048" t="s">
        <v>1543</v>
      </c>
      <c r="J352" s="1049" t="s">
        <v>1535</v>
      </c>
      <c r="K352" s="1017" t="s">
        <v>674</v>
      </c>
      <c r="L352" s="1085" t="s">
        <v>675</v>
      </c>
      <c r="M352" s="1020">
        <f>25980000-25980000</f>
        <v>0</v>
      </c>
      <c r="N352" s="1037" t="s">
        <v>749</v>
      </c>
      <c r="O352" s="1037" t="s">
        <v>1562</v>
      </c>
      <c r="P352" s="1037"/>
      <c r="Q352" s="1017"/>
      <c r="S352" s="1130"/>
      <c r="T352" s="1156"/>
    </row>
    <row r="353" spans="1:20" s="995" customFormat="1" ht="92.4" x14ac:dyDescent="0.3">
      <c r="A353" s="1023">
        <v>2022348</v>
      </c>
      <c r="B353" s="1023">
        <v>7658</v>
      </c>
      <c r="C353" s="1023" t="s">
        <v>679</v>
      </c>
      <c r="D353" s="1039" t="s">
        <v>701</v>
      </c>
      <c r="E353" s="1040">
        <v>80111600</v>
      </c>
      <c r="F353" s="1026" t="s">
        <v>1011</v>
      </c>
      <c r="G353" s="1041" t="s">
        <v>1495</v>
      </c>
      <c r="H353" s="1141" t="s">
        <v>1495</v>
      </c>
      <c r="I353" s="1042" t="s">
        <v>1543</v>
      </c>
      <c r="J353" s="1043" t="s">
        <v>1535</v>
      </c>
      <c r="K353" s="1027" t="s">
        <v>674</v>
      </c>
      <c r="L353" s="1088" t="s">
        <v>675</v>
      </c>
      <c r="M353" s="1030">
        <v>25980000</v>
      </c>
      <c r="N353" s="1083" t="s">
        <v>749</v>
      </c>
      <c r="O353" s="1083" t="s">
        <v>1562</v>
      </c>
      <c r="P353" s="1083"/>
      <c r="Q353" s="1027"/>
      <c r="R353" s="1022"/>
      <c r="S353" s="1130">
        <v>253</v>
      </c>
      <c r="T353" s="1156">
        <v>25200000</v>
      </c>
    </row>
    <row r="354" spans="1:20" s="995" customFormat="1" ht="92.4" x14ac:dyDescent="0.3">
      <c r="A354" s="1023">
        <v>2022349</v>
      </c>
      <c r="B354" s="1023">
        <v>7658</v>
      </c>
      <c r="C354" s="1023" t="s">
        <v>679</v>
      </c>
      <c r="D354" s="1039" t="s">
        <v>701</v>
      </c>
      <c r="E354" s="1040">
        <v>80111600</v>
      </c>
      <c r="F354" s="1026" t="s">
        <v>1011</v>
      </c>
      <c r="G354" s="1041" t="s">
        <v>1495</v>
      </c>
      <c r="H354" s="1141" t="s">
        <v>1495</v>
      </c>
      <c r="I354" s="1042" t="s">
        <v>1543</v>
      </c>
      <c r="J354" s="1043" t="s">
        <v>1535</v>
      </c>
      <c r="K354" s="1027" t="s">
        <v>674</v>
      </c>
      <c r="L354" s="1088" t="s">
        <v>675</v>
      </c>
      <c r="M354" s="1030">
        <v>25980000</v>
      </c>
      <c r="N354" s="1083" t="s">
        <v>749</v>
      </c>
      <c r="O354" s="1083" t="s">
        <v>1562</v>
      </c>
      <c r="P354" s="1083"/>
      <c r="Q354" s="1027"/>
      <c r="R354" s="1022"/>
      <c r="S354" s="1130">
        <v>247</v>
      </c>
      <c r="T354" s="1156">
        <v>25200000</v>
      </c>
    </row>
    <row r="355" spans="1:20" s="995" customFormat="1" ht="92.4" x14ac:dyDescent="0.3">
      <c r="A355" s="1023">
        <v>2022350</v>
      </c>
      <c r="B355" s="1023">
        <v>7658</v>
      </c>
      <c r="C355" s="1023" t="s">
        <v>679</v>
      </c>
      <c r="D355" s="1039" t="s">
        <v>701</v>
      </c>
      <c r="E355" s="1040">
        <v>80111600</v>
      </c>
      <c r="F355" s="1026" t="s">
        <v>1011</v>
      </c>
      <c r="G355" s="1041" t="s">
        <v>1495</v>
      </c>
      <c r="H355" s="1141" t="s">
        <v>1495</v>
      </c>
      <c r="I355" s="1042" t="s">
        <v>1543</v>
      </c>
      <c r="J355" s="1043" t="s">
        <v>1535</v>
      </c>
      <c r="K355" s="1027" t="s">
        <v>674</v>
      </c>
      <c r="L355" s="1088" t="s">
        <v>675</v>
      </c>
      <c r="M355" s="1030">
        <v>25980000</v>
      </c>
      <c r="N355" s="1083" t="s">
        <v>749</v>
      </c>
      <c r="O355" s="1083" t="s">
        <v>1562</v>
      </c>
      <c r="P355" s="1083"/>
      <c r="Q355" s="1027"/>
      <c r="R355" s="1022"/>
      <c r="S355" s="1130">
        <v>322</v>
      </c>
      <c r="T355" s="1156">
        <v>25200000</v>
      </c>
    </row>
    <row r="356" spans="1:20" s="995" customFormat="1" ht="92.4" x14ac:dyDescent="0.3">
      <c r="A356" s="1023">
        <v>2022351</v>
      </c>
      <c r="B356" s="1023">
        <v>7658</v>
      </c>
      <c r="C356" s="1023" t="s">
        <v>679</v>
      </c>
      <c r="D356" s="1039" t="s">
        <v>701</v>
      </c>
      <c r="E356" s="1040">
        <v>80111600</v>
      </c>
      <c r="F356" s="1026" t="s">
        <v>1011</v>
      </c>
      <c r="G356" s="1041" t="s">
        <v>1495</v>
      </c>
      <c r="H356" s="1141" t="s">
        <v>1495</v>
      </c>
      <c r="I356" s="1042" t="s">
        <v>1543</v>
      </c>
      <c r="J356" s="1043" t="s">
        <v>1535</v>
      </c>
      <c r="K356" s="1027" t="s">
        <v>674</v>
      </c>
      <c r="L356" s="1088" t="s">
        <v>675</v>
      </c>
      <c r="M356" s="1030">
        <v>25980000</v>
      </c>
      <c r="N356" s="1083" t="s">
        <v>749</v>
      </c>
      <c r="O356" s="1083" t="s">
        <v>1562</v>
      </c>
      <c r="P356" s="1083"/>
      <c r="Q356" s="1027"/>
      <c r="R356" s="1022"/>
      <c r="S356" s="1130">
        <v>272</v>
      </c>
      <c r="T356" s="1156">
        <v>25200000</v>
      </c>
    </row>
    <row r="357" spans="1:20" s="995" customFormat="1" ht="92.4" x14ac:dyDescent="0.3">
      <c r="A357" s="1023">
        <v>2022352</v>
      </c>
      <c r="B357" s="1023">
        <v>7658</v>
      </c>
      <c r="C357" s="1023" t="s">
        <v>679</v>
      </c>
      <c r="D357" s="1039" t="s">
        <v>701</v>
      </c>
      <c r="E357" s="1040">
        <v>80111600</v>
      </c>
      <c r="F357" s="1026" t="s">
        <v>1011</v>
      </c>
      <c r="G357" s="1041" t="s">
        <v>1495</v>
      </c>
      <c r="H357" s="1141" t="s">
        <v>1495</v>
      </c>
      <c r="I357" s="1042" t="s">
        <v>1543</v>
      </c>
      <c r="J357" s="1043" t="s">
        <v>1535</v>
      </c>
      <c r="K357" s="1027" t="s">
        <v>674</v>
      </c>
      <c r="L357" s="1088" t="s">
        <v>675</v>
      </c>
      <c r="M357" s="1030">
        <v>25980000</v>
      </c>
      <c r="N357" s="1083" t="s">
        <v>749</v>
      </c>
      <c r="O357" s="1083" t="s">
        <v>1562</v>
      </c>
      <c r="P357" s="1083"/>
      <c r="Q357" s="1027"/>
      <c r="R357" s="1022"/>
      <c r="S357" s="1130">
        <v>288</v>
      </c>
      <c r="T357" s="1156">
        <v>25200000</v>
      </c>
    </row>
    <row r="358" spans="1:20" s="995" customFormat="1" ht="92.4" x14ac:dyDescent="0.3">
      <c r="A358" s="1023">
        <v>2022353</v>
      </c>
      <c r="B358" s="1023">
        <v>7658</v>
      </c>
      <c r="C358" s="1023" t="s">
        <v>679</v>
      </c>
      <c r="D358" s="1039" t="s">
        <v>701</v>
      </c>
      <c r="E358" s="1040">
        <v>80111600</v>
      </c>
      <c r="F358" s="1026" t="s">
        <v>1011</v>
      </c>
      <c r="G358" s="1041" t="s">
        <v>1495</v>
      </c>
      <c r="H358" s="1141" t="s">
        <v>1495</v>
      </c>
      <c r="I358" s="1042" t="s">
        <v>1543</v>
      </c>
      <c r="J358" s="1043" t="s">
        <v>1535</v>
      </c>
      <c r="K358" s="1027" t="s">
        <v>674</v>
      </c>
      <c r="L358" s="1088" t="s">
        <v>675</v>
      </c>
      <c r="M358" s="1030">
        <f>25980000+25980000</f>
        <v>51960000</v>
      </c>
      <c r="N358" s="1083" t="s">
        <v>749</v>
      </c>
      <c r="O358" s="1083" t="s">
        <v>1562</v>
      </c>
      <c r="P358" s="1083"/>
      <c r="Q358" s="1027"/>
      <c r="R358" s="1022"/>
      <c r="S358" s="1130">
        <v>328</v>
      </c>
      <c r="T358" s="1156">
        <v>25200000</v>
      </c>
    </row>
    <row r="359" spans="1:20" s="995" customFormat="1" ht="92.4" x14ac:dyDescent="0.3">
      <c r="A359" s="1023">
        <v>2022354</v>
      </c>
      <c r="B359" s="1023">
        <v>7658</v>
      </c>
      <c r="C359" s="1023" t="s">
        <v>679</v>
      </c>
      <c r="D359" s="1039" t="s">
        <v>701</v>
      </c>
      <c r="E359" s="1040">
        <v>80111600</v>
      </c>
      <c r="F359" s="1026" t="s">
        <v>1012</v>
      </c>
      <c r="G359" s="1041" t="s">
        <v>1495</v>
      </c>
      <c r="H359" s="1141" t="s">
        <v>1495</v>
      </c>
      <c r="I359" s="1042" t="s">
        <v>1543</v>
      </c>
      <c r="J359" s="1043" t="s">
        <v>1535</v>
      </c>
      <c r="K359" s="1027" t="s">
        <v>674</v>
      </c>
      <c r="L359" s="1088" t="s">
        <v>675</v>
      </c>
      <c r="M359" s="1030">
        <v>30300000</v>
      </c>
      <c r="N359" s="1083" t="s">
        <v>749</v>
      </c>
      <c r="O359" s="1083" t="s">
        <v>1562</v>
      </c>
      <c r="P359" s="1083"/>
      <c r="Q359" s="1027"/>
      <c r="R359" s="1022"/>
      <c r="S359" s="1130">
        <v>345</v>
      </c>
      <c r="T359" s="1156">
        <v>29400000</v>
      </c>
    </row>
    <row r="360" spans="1:20" s="995" customFormat="1" ht="92.4" x14ac:dyDescent="0.3">
      <c r="A360" s="1023">
        <v>2022355</v>
      </c>
      <c r="B360" s="1023">
        <v>7658</v>
      </c>
      <c r="C360" s="1023" t="s">
        <v>679</v>
      </c>
      <c r="D360" s="1039" t="s">
        <v>701</v>
      </c>
      <c r="E360" s="1040">
        <v>80111600</v>
      </c>
      <c r="F360" s="1026" t="s">
        <v>1012</v>
      </c>
      <c r="G360" s="1041" t="s">
        <v>1495</v>
      </c>
      <c r="H360" s="1141" t="s">
        <v>1495</v>
      </c>
      <c r="I360" s="1042" t="s">
        <v>1543</v>
      </c>
      <c r="J360" s="1043" t="s">
        <v>1535</v>
      </c>
      <c r="K360" s="1027" t="s">
        <v>674</v>
      </c>
      <c r="L360" s="1088" t="s">
        <v>675</v>
      </c>
      <c r="M360" s="1030">
        <v>30300000</v>
      </c>
      <c r="N360" s="1083" t="s">
        <v>749</v>
      </c>
      <c r="O360" s="1083" t="s">
        <v>1562</v>
      </c>
      <c r="P360" s="1083"/>
      <c r="Q360" s="1027"/>
      <c r="R360" s="1022"/>
      <c r="S360" s="1130">
        <v>353</v>
      </c>
      <c r="T360" s="1156">
        <v>29400000</v>
      </c>
    </row>
    <row r="361" spans="1:20" s="995" customFormat="1" ht="92.4" x14ac:dyDescent="0.3">
      <c r="A361" s="1023">
        <v>2022356</v>
      </c>
      <c r="B361" s="1023">
        <v>7658</v>
      </c>
      <c r="C361" s="1023" t="s">
        <v>679</v>
      </c>
      <c r="D361" s="1039" t="s">
        <v>701</v>
      </c>
      <c r="E361" s="1040">
        <v>80111600</v>
      </c>
      <c r="F361" s="1026" t="s">
        <v>1012</v>
      </c>
      <c r="G361" s="1041" t="s">
        <v>1495</v>
      </c>
      <c r="H361" s="1141" t="s">
        <v>1495</v>
      </c>
      <c r="I361" s="1042" t="s">
        <v>1543</v>
      </c>
      <c r="J361" s="1043" t="s">
        <v>1535</v>
      </c>
      <c r="K361" s="1027" t="s">
        <v>674</v>
      </c>
      <c r="L361" s="1088" t="s">
        <v>675</v>
      </c>
      <c r="M361" s="1030">
        <v>30300000</v>
      </c>
      <c r="N361" s="1083" t="s">
        <v>749</v>
      </c>
      <c r="O361" s="1083" t="s">
        <v>1562</v>
      </c>
      <c r="P361" s="1083"/>
      <c r="Q361" s="1027"/>
      <c r="R361" s="1022"/>
      <c r="S361" s="1130">
        <v>421</v>
      </c>
      <c r="T361" s="1156">
        <v>29400000</v>
      </c>
    </row>
    <row r="362" spans="1:20" s="995" customFormat="1" ht="92.4" x14ac:dyDescent="0.3">
      <c r="A362" s="1023">
        <v>2022357</v>
      </c>
      <c r="B362" s="1023">
        <v>7658</v>
      </c>
      <c r="C362" s="1023" t="s">
        <v>679</v>
      </c>
      <c r="D362" s="1039" t="s">
        <v>701</v>
      </c>
      <c r="E362" s="1040">
        <v>80111600</v>
      </c>
      <c r="F362" s="1026" t="s">
        <v>1012</v>
      </c>
      <c r="G362" s="1041" t="s">
        <v>1495</v>
      </c>
      <c r="H362" s="1141" t="s">
        <v>1495</v>
      </c>
      <c r="I362" s="1042" t="s">
        <v>1543</v>
      </c>
      <c r="J362" s="1043" t="s">
        <v>1535</v>
      </c>
      <c r="K362" s="1027" t="s">
        <v>674</v>
      </c>
      <c r="L362" s="1088" t="s">
        <v>675</v>
      </c>
      <c r="M362" s="1030">
        <v>30300000</v>
      </c>
      <c r="N362" s="1083" t="s">
        <v>749</v>
      </c>
      <c r="O362" s="1083" t="s">
        <v>1562</v>
      </c>
      <c r="P362" s="1083"/>
      <c r="Q362" s="1027"/>
      <c r="R362" s="1022"/>
      <c r="S362" s="1130">
        <v>420</v>
      </c>
      <c r="T362" s="1156">
        <v>29400000</v>
      </c>
    </row>
    <row r="363" spans="1:20" s="995" customFormat="1" ht="92.4" x14ac:dyDescent="0.3">
      <c r="A363" s="1023">
        <v>2022358</v>
      </c>
      <c r="B363" s="1023">
        <v>7658</v>
      </c>
      <c r="C363" s="1023" t="s">
        <v>679</v>
      </c>
      <c r="D363" s="1039" t="s">
        <v>701</v>
      </c>
      <c r="E363" s="1040">
        <v>80111600</v>
      </c>
      <c r="F363" s="1026" t="s">
        <v>1012</v>
      </c>
      <c r="G363" s="1041" t="s">
        <v>1495</v>
      </c>
      <c r="H363" s="1141" t="s">
        <v>1495</v>
      </c>
      <c r="I363" s="1042" t="s">
        <v>1498</v>
      </c>
      <c r="J363" s="1043" t="s">
        <v>1535</v>
      </c>
      <c r="K363" s="1027" t="s">
        <v>674</v>
      </c>
      <c r="L363" s="1088" t="s">
        <v>675</v>
      </c>
      <c r="M363" s="1030">
        <v>27775000</v>
      </c>
      <c r="N363" s="1083" t="s">
        <v>749</v>
      </c>
      <c r="O363" s="1083" t="s">
        <v>1562</v>
      </c>
      <c r="P363" s="1083"/>
      <c r="Q363" s="1027"/>
      <c r="R363" s="1022"/>
      <c r="S363" s="1130">
        <v>411</v>
      </c>
      <c r="T363" s="1156">
        <v>26950000</v>
      </c>
    </row>
    <row r="364" spans="1:20" s="995" customFormat="1" ht="92.4" x14ac:dyDescent="0.3">
      <c r="A364" s="1023">
        <v>2022359</v>
      </c>
      <c r="B364" s="1023">
        <v>7658</v>
      </c>
      <c r="C364" s="1023" t="s">
        <v>679</v>
      </c>
      <c r="D364" s="1039" t="s">
        <v>701</v>
      </c>
      <c r="E364" s="1040">
        <v>80111600</v>
      </c>
      <c r="F364" s="1026" t="s">
        <v>1012</v>
      </c>
      <c r="G364" s="1041" t="s">
        <v>1495</v>
      </c>
      <c r="H364" s="1141" t="s">
        <v>1495</v>
      </c>
      <c r="I364" s="1042" t="s">
        <v>1498</v>
      </c>
      <c r="J364" s="1043" t="s">
        <v>1535</v>
      </c>
      <c r="K364" s="1027" t="s">
        <v>674</v>
      </c>
      <c r="L364" s="1088" t="s">
        <v>675</v>
      </c>
      <c r="M364" s="1030">
        <v>27775000</v>
      </c>
      <c r="N364" s="1083" t="s">
        <v>749</v>
      </c>
      <c r="O364" s="1083" t="s">
        <v>1562</v>
      </c>
      <c r="P364" s="1083"/>
      <c r="Q364" s="1027"/>
      <c r="R364" s="1022"/>
      <c r="S364" s="1130">
        <v>403</v>
      </c>
      <c r="T364" s="1156">
        <v>26950000</v>
      </c>
    </row>
    <row r="365" spans="1:20" s="995" customFormat="1" ht="92.4" x14ac:dyDescent="0.3">
      <c r="A365" s="1023">
        <v>2022360</v>
      </c>
      <c r="B365" s="1023">
        <v>7658</v>
      </c>
      <c r="C365" s="1023" t="s">
        <v>679</v>
      </c>
      <c r="D365" s="1039" t="s">
        <v>701</v>
      </c>
      <c r="E365" s="1040">
        <v>80111600</v>
      </c>
      <c r="F365" s="1026" t="s">
        <v>1012</v>
      </c>
      <c r="G365" s="1041" t="s">
        <v>1495</v>
      </c>
      <c r="H365" s="1141" t="s">
        <v>1495</v>
      </c>
      <c r="I365" s="1042" t="s">
        <v>1498</v>
      </c>
      <c r="J365" s="1043" t="s">
        <v>1535</v>
      </c>
      <c r="K365" s="1027" t="s">
        <v>674</v>
      </c>
      <c r="L365" s="1088" t="s">
        <v>675</v>
      </c>
      <c r="M365" s="1030">
        <v>27775000</v>
      </c>
      <c r="N365" s="1083" t="s">
        <v>749</v>
      </c>
      <c r="O365" s="1083" t="s">
        <v>1562</v>
      </c>
      <c r="P365" s="1083"/>
      <c r="Q365" s="1027"/>
      <c r="R365" s="1022"/>
      <c r="S365" s="1130">
        <v>368</v>
      </c>
      <c r="T365" s="1156">
        <v>26950000</v>
      </c>
    </row>
    <row r="366" spans="1:20" s="995" customFormat="1" ht="92.4" x14ac:dyDescent="0.3">
      <c r="A366" s="1023">
        <v>2022361</v>
      </c>
      <c r="B366" s="1023">
        <v>7658</v>
      </c>
      <c r="C366" s="1023" t="s">
        <v>679</v>
      </c>
      <c r="D366" s="1039" t="s">
        <v>701</v>
      </c>
      <c r="E366" s="1040">
        <v>80111600</v>
      </c>
      <c r="F366" s="1026" t="s">
        <v>1012</v>
      </c>
      <c r="G366" s="1041" t="s">
        <v>1495</v>
      </c>
      <c r="H366" s="1141" t="s">
        <v>1495</v>
      </c>
      <c r="I366" s="1042" t="s">
        <v>1498</v>
      </c>
      <c r="J366" s="1043" t="s">
        <v>1535</v>
      </c>
      <c r="K366" s="1027" t="s">
        <v>674</v>
      </c>
      <c r="L366" s="1088" t="s">
        <v>675</v>
      </c>
      <c r="M366" s="1030">
        <v>27775000</v>
      </c>
      <c r="N366" s="1083" t="s">
        <v>749</v>
      </c>
      <c r="O366" s="1083" t="s">
        <v>1562</v>
      </c>
      <c r="P366" s="1083"/>
      <c r="Q366" s="1027"/>
      <c r="R366" s="1022"/>
      <c r="S366" s="1130">
        <v>378</v>
      </c>
      <c r="T366" s="1156">
        <v>26950000</v>
      </c>
    </row>
    <row r="367" spans="1:20" s="995" customFormat="1" ht="92.4" x14ac:dyDescent="0.3">
      <c r="A367" s="1023">
        <v>2022362</v>
      </c>
      <c r="B367" s="1023">
        <v>7658</v>
      </c>
      <c r="C367" s="1023" t="s">
        <v>679</v>
      </c>
      <c r="D367" s="1039" t="s">
        <v>701</v>
      </c>
      <c r="E367" s="1040">
        <v>80111600</v>
      </c>
      <c r="F367" s="1026" t="s">
        <v>1012</v>
      </c>
      <c r="G367" s="1041" t="s">
        <v>1495</v>
      </c>
      <c r="H367" s="1141" t="s">
        <v>1495</v>
      </c>
      <c r="I367" s="1042" t="s">
        <v>1498</v>
      </c>
      <c r="J367" s="1043" t="s">
        <v>1535</v>
      </c>
      <c r="K367" s="1027" t="s">
        <v>674</v>
      </c>
      <c r="L367" s="1088" t="s">
        <v>675</v>
      </c>
      <c r="M367" s="1030">
        <v>27775000</v>
      </c>
      <c r="N367" s="1083" t="s">
        <v>749</v>
      </c>
      <c r="O367" s="1083" t="s">
        <v>1562</v>
      </c>
      <c r="P367" s="1083"/>
      <c r="Q367" s="1027"/>
      <c r="R367" s="1022"/>
      <c r="S367" s="1130">
        <v>344</v>
      </c>
      <c r="T367" s="1156">
        <v>26950000</v>
      </c>
    </row>
    <row r="368" spans="1:20" s="995" customFormat="1" ht="92.4" x14ac:dyDescent="0.3">
      <c r="A368" s="1023">
        <v>2022363</v>
      </c>
      <c r="B368" s="1023">
        <v>7658</v>
      </c>
      <c r="C368" s="1023" t="s">
        <v>679</v>
      </c>
      <c r="D368" s="1039" t="s">
        <v>701</v>
      </c>
      <c r="E368" s="1040">
        <v>80111600</v>
      </c>
      <c r="F368" s="1026" t="s">
        <v>1012</v>
      </c>
      <c r="G368" s="1041" t="s">
        <v>1495</v>
      </c>
      <c r="H368" s="1141" t="s">
        <v>1495</v>
      </c>
      <c r="I368" s="1042" t="s">
        <v>1498</v>
      </c>
      <c r="J368" s="1043" t="s">
        <v>1535</v>
      </c>
      <c r="K368" s="1027" t="s">
        <v>674</v>
      </c>
      <c r="L368" s="1088" t="s">
        <v>675</v>
      </c>
      <c r="M368" s="1030">
        <v>27775000</v>
      </c>
      <c r="N368" s="1083" t="s">
        <v>749</v>
      </c>
      <c r="O368" s="1083" t="s">
        <v>1562</v>
      </c>
      <c r="P368" s="1083"/>
      <c r="Q368" s="1027"/>
      <c r="R368" s="1022"/>
      <c r="S368" s="1130">
        <v>381</v>
      </c>
      <c r="T368" s="1156">
        <v>26950000</v>
      </c>
    </row>
    <row r="369" spans="1:103" s="995" customFormat="1" ht="92.4" x14ac:dyDescent="0.3">
      <c r="A369" s="1023">
        <v>2022364</v>
      </c>
      <c r="B369" s="1023">
        <v>7658</v>
      </c>
      <c r="C369" s="1023" t="s">
        <v>679</v>
      </c>
      <c r="D369" s="1039" t="s">
        <v>701</v>
      </c>
      <c r="E369" s="1040">
        <v>80111600</v>
      </c>
      <c r="F369" s="1026" t="s">
        <v>1012</v>
      </c>
      <c r="G369" s="1041" t="s">
        <v>1495</v>
      </c>
      <c r="H369" s="1141" t="s">
        <v>1495</v>
      </c>
      <c r="I369" s="1042" t="s">
        <v>1541</v>
      </c>
      <c r="J369" s="1043" t="s">
        <v>1535</v>
      </c>
      <c r="K369" s="1027" t="s">
        <v>674</v>
      </c>
      <c r="L369" s="1088" t="s">
        <v>675</v>
      </c>
      <c r="M369" s="1030">
        <v>25250000</v>
      </c>
      <c r="N369" s="1083" t="s">
        <v>749</v>
      </c>
      <c r="O369" s="1083" t="s">
        <v>1562</v>
      </c>
      <c r="P369" s="1083"/>
      <c r="Q369" s="1027"/>
      <c r="R369" s="1022"/>
      <c r="S369" s="1130">
        <v>385</v>
      </c>
      <c r="T369" s="1156">
        <v>24500000</v>
      </c>
    </row>
    <row r="370" spans="1:103" s="995" customFormat="1" ht="92.4" x14ac:dyDescent="0.3">
      <c r="A370" s="1023">
        <v>2022365</v>
      </c>
      <c r="B370" s="1023">
        <v>7658</v>
      </c>
      <c r="C370" s="1023" t="s">
        <v>679</v>
      </c>
      <c r="D370" s="1039" t="s">
        <v>701</v>
      </c>
      <c r="E370" s="1040">
        <v>80111600</v>
      </c>
      <c r="F370" s="1026" t="s">
        <v>1012</v>
      </c>
      <c r="G370" s="1041" t="s">
        <v>1495</v>
      </c>
      <c r="H370" s="1141" t="s">
        <v>1495</v>
      </c>
      <c r="I370" s="1042" t="s">
        <v>1541</v>
      </c>
      <c r="J370" s="1043" t="s">
        <v>1535</v>
      </c>
      <c r="K370" s="1027" t="s">
        <v>674</v>
      </c>
      <c r="L370" s="1088" t="s">
        <v>675</v>
      </c>
      <c r="M370" s="1030">
        <v>25250000</v>
      </c>
      <c r="N370" s="1083" t="s">
        <v>749</v>
      </c>
      <c r="O370" s="1083" t="s">
        <v>1562</v>
      </c>
      <c r="P370" s="1083"/>
      <c r="Q370" s="1027"/>
      <c r="R370" s="1022"/>
      <c r="S370" s="1130">
        <v>402</v>
      </c>
      <c r="T370" s="1156">
        <v>24500000</v>
      </c>
    </row>
    <row r="371" spans="1:103" s="995" customFormat="1" ht="92.4" x14ac:dyDescent="0.3">
      <c r="A371" s="1023">
        <v>2022366</v>
      </c>
      <c r="B371" s="1023">
        <v>7658</v>
      </c>
      <c r="C371" s="1023" t="s">
        <v>679</v>
      </c>
      <c r="D371" s="1039" t="s">
        <v>701</v>
      </c>
      <c r="E371" s="1040">
        <v>80111600</v>
      </c>
      <c r="F371" s="1026" t="s">
        <v>1013</v>
      </c>
      <c r="G371" s="1041" t="s">
        <v>1495</v>
      </c>
      <c r="H371" s="1141" t="s">
        <v>1495</v>
      </c>
      <c r="I371" s="1042" t="s">
        <v>1543</v>
      </c>
      <c r="J371" s="1043" t="s">
        <v>1535</v>
      </c>
      <c r="K371" s="1027" t="s">
        <v>674</v>
      </c>
      <c r="L371" s="1088" t="s">
        <v>675</v>
      </c>
      <c r="M371" s="1030">
        <v>25956000</v>
      </c>
      <c r="N371" s="1083" t="s">
        <v>749</v>
      </c>
      <c r="O371" s="1083" t="s">
        <v>1562</v>
      </c>
      <c r="P371" s="1083"/>
      <c r="Q371" s="1027"/>
      <c r="R371" s="1022"/>
      <c r="S371" s="1130">
        <v>360</v>
      </c>
      <c r="T371" s="1156">
        <v>25200000</v>
      </c>
    </row>
    <row r="372" spans="1:103" s="995" customFormat="1" ht="92.4" x14ac:dyDescent="0.3">
      <c r="A372" s="1023">
        <v>2022367</v>
      </c>
      <c r="B372" s="1023">
        <v>7658</v>
      </c>
      <c r="C372" s="1023" t="s">
        <v>679</v>
      </c>
      <c r="D372" s="1039" t="s">
        <v>701</v>
      </c>
      <c r="E372" s="1040">
        <v>80111600</v>
      </c>
      <c r="F372" s="1026" t="s">
        <v>1014</v>
      </c>
      <c r="G372" s="1041" t="s">
        <v>1495</v>
      </c>
      <c r="H372" s="1141" t="s">
        <v>1495</v>
      </c>
      <c r="I372" s="1042" t="s">
        <v>1543</v>
      </c>
      <c r="J372" s="1043" t="s">
        <v>1535</v>
      </c>
      <c r="K372" s="1027" t="s">
        <v>674</v>
      </c>
      <c r="L372" s="1088" t="s">
        <v>675</v>
      </c>
      <c r="M372" s="1030">
        <v>41400000</v>
      </c>
      <c r="N372" s="1083" t="s">
        <v>749</v>
      </c>
      <c r="O372" s="1083" t="s">
        <v>1562</v>
      </c>
      <c r="P372" s="1083"/>
      <c r="Q372" s="1027"/>
      <c r="R372" s="1022"/>
      <c r="S372" s="1130">
        <v>290</v>
      </c>
      <c r="T372" s="1156">
        <v>40200000</v>
      </c>
    </row>
    <row r="373" spans="1:103" s="995" customFormat="1" ht="92.4" x14ac:dyDescent="0.3">
      <c r="A373" s="1023">
        <v>2022368</v>
      </c>
      <c r="B373" s="1023">
        <v>7658</v>
      </c>
      <c r="C373" s="1023" t="s">
        <v>679</v>
      </c>
      <c r="D373" s="1039" t="s">
        <v>701</v>
      </c>
      <c r="E373" s="1040">
        <v>80111600</v>
      </c>
      <c r="F373" s="1026" t="s">
        <v>1015</v>
      </c>
      <c r="G373" s="1041" t="s">
        <v>1495</v>
      </c>
      <c r="H373" s="1141" t="s">
        <v>1495</v>
      </c>
      <c r="I373" s="1042" t="s">
        <v>1543</v>
      </c>
      <c r="J373" s="1043" t="s">
        <v>1535</v>
      </c>
      <c r="K373" s="1027" t="s">
        <v>674</v>
      </c>
      <c r="L373" s="1088" t="s">
        <v>675</v>
      </c>
      <c r="M373" s="1030">
        <v>25200000</v>
      </c>
      <c r="N373" s="1083" t="s">
        <v>749</v>
      </c>
      <c r="O373" s="1083" t="s">
        <v>1562</v>
      </c>
      <c r="P373" s="1083"/>
      <c r="Q373" s="1027"/>
      <c r="R373" s="1022"/>
      <c r="S373" s="1130">
        <v>428</v>
      </c>
      <c r="T373" s="1156">
        <v>20100000</v>
      </c>
    </row>
    <row r="374" spans="1:103" s="995" customFormat="1" ht="92.4" x14ac:dyDescent="0.3">
      <c r="A374" s="1023">
        <v>2022369</v>
      </c>
      <c r="B374" s="1023">
        <v>7658</v>
      </c>
      <c r="C374" s="1023" t="s">
        <v>679</v>
      </c>
      <c r="D374" s="1039" t="s">
        <v>701</v>
      </c>
      <c r="E374" s="1040">
        <v>80111600</v>
      </c>
      <c r="F374" s="1026" t="s">
        <v>1016</v>
      </c>
      <c r="G374" s="1041" t="s">
        <v>1495</v>
      </c>
      <c r="H374" s="1141" t="s">
        <v>1495</v>
      </c>
      <c r="I374" s="1042" t="s">
        <v>1498</v>
      </c>
      <c r="J374" s="1043" t="s">
        <v>1535</v>
      </c>
      <c r="K374" s="1027" t="s">
        <v>674</v>
      </c>
      <c r="L374" s="1088" t="s">
        <v>675</v>
      </c>
      <c r="M374" s="1030">
        <v>37950000</v>
      </c>
      <c r="N374" s="1083" t="s">
        <v>749</v>
      </c>
      <c r="O374" s="1083" t="s">
        <v>1562</v>
      </c>
      <c r="P374" s="1083"/>
      <c r="Q374" s="1027"/>
      <c r="R374" s="1022"/>
      <c r="S374" s="1130">
        <v>207</v>
      </c>
      <c r="T374" s="1156">
        <v>36850000</v>
      </c>
    </row>
    <row r="375" spans="1:103" s="995" customFormat="1" ht="92.4" x14ac:dyDescent="0.3">
      <c r="A375" s="1023">
        <v>2022370</v>
      </c>
      <c r="B375" s="1023">
        <v>7658</v>
      </c>
      <c r="C375" s="1023" t="s">
        <v>679</v>
      </c>
      <c r="D375" s="1039" t="s">
        <v>701</v>
      </c>
      <c r="E375" s="1040">
        <v>80111600</v>
      </c>
      <c r="F375" s="1026" t="s">
        <v>1017</v>
      </c>
      <c r="G375" s="1041" t="s">
        <v>1495</v>
      </c>
      <c r="H375" s="1141" t="s">
        <v>1495</v>
      </c>
      <c r="I375" s="1042" t="s">
        <v>1543</v>
      </c>
      <c r="J375" s="1043" t="s">
        <v>1535</v>
      </c>
      <c r="K375" s="1027" t="s">
        <v>674</v>
      </c>
      <c r="L375" s="1088" t="s">
        <v>675</v>
      </c>
      <c r="M375" s="1030">
        <v>47586000</v>
      </c>
      <c r="N375" s="1083" t="s">
        <v>749</v>
      </c>
      <c r="O375" s="1083" t="s">
        <v>1562</v>
      </c>
      <c r="P375" s="1083"/>
      <c r="Q375" s="1027"/>
      <c r="R375" s="1022"/>
      <c r="S375" s="1130">
        <v>208</v>
      </c>
      <c r="T375" s="1156">
        <v>46200000</v>
      </c>
    </row>
    <row r="376" spans="1:103" s="1034" customFormat="1" ht="92.4" x14ac:dyDescent="0.3">
      <c r="A376" s="1131">
        <v>2022371</v>
      </c>
      <c r="B376" s="1131">
        <v>7658</v>
      </c>
      <c r="C376" s="1131" t="s">
        <v>679</v>
      </c>
      <c r="D376" s="1139" t="s">
        <v>701</v>
      </c>
      <c r="E376" s="1145">
        <v>80111600</v>
      </c>
      <c r="F376" s="1134" t="s">
        <v>1018</v>
      </c>
      <c r="G376" s="1141" t="s">
        <v>1495</v>
      </c>
      <c r="H376" s="1141" t="s">
        <v>1495</v>
      </c>
      <c r="I376" s="1142" t="s">
        <v>1498</v>
      </c>
      <c r="J376" s="1143" t="s">
        <v>1535</v>
      </c>
      <c r="K376" s="1135" t="s">
        <v>674</v>
      </c>
      <c r="L376" s="1153" t="s">
        <v>675</v>
      </c>
      <c r="M376" s="1136">
        <v>37956000</v>
      </c>
      <c r="N376" s="1151" t="s">
        <v>749</v>
      </c>
      <c r="O376" s="1151" t="s">
        <v>1562</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92.4" x14ac:dyDescent="0.3">
      <c r="A377" s="1023">
        <v>2022372</v>
      </c>
      <c r="B377" s="1023">
        <v>7658</v>
      </c>
      <c r="C377" s="1023" t="s">
        <v>679</v>
      </c>
      <c r="D377" s="1039" t="s">
        <v>701</v>
      </c>
      <c r="E377" s="1040">
        <v>80111600</v>
      </c>
      <c r="F377" s="1026" t="s">
        <v>1019</v>
      </c>
      <c r="G377" s="1041" t="s">
        <v>1495</v>
      </c>
      <c r="H377" s="1141" t="s">
        <v>1495</v>
      </c>
      <c r="I377" s="1042" t="s">
        <v>1543</v>
      </c>
      <c r="J377" s="1043" t="s">
        <v>1535</v>
      </c>
      <c r="K377" s="1027" t="s">
        <v>674</v>
      </c>
      <c r="L377" s="1088" t="s">
        <v>675</v>
      </c>
      <c r="M377" s="1030">
        <v>63036000</v>
      </c>
      <c r="N377" s="1083" t="s">
        <v>749</v>
      </c>
      <c r="O377" s="1083" t="s">
        <v>1562</v>
      </c>
      <c r="P377" s="1083"/>
      <c r="Q377" s="1027"/>
      <c r="R377" s="1022"/>
      <c r="S377" s="1130">
        <v>367</v>
      </c>
      <c r="T377" s="1156">
        <v>61200000</v>
      </c>
    </row>
    <row r="378" spans="1:103" s="995" customFormat="1" ht="92.4" x14ac:dyDescent="0.3">
      <c r="A378" s="1023">
        <v>2022373</v>
      </c>
      <c r="B378" s="1023">
        <v>7658</v>
      </c>
      <c r="C378" s="1023" t="s">
        <v>679</v>
      </c>
      <c r="D378" s="1039" t="s">
        <v>701</v>
      </c>
      <c r="E378" s="1040">
        <v>80111600</v>
      </c>
      <c r="F378" s="1026" t="s">
        <v>1019</v>
      </c>
      <c r="G378" s="1041" t="s">
        <v>1495</v>
      </c>
      <c r="H378" s="1141" t="s">
        <v>1495</v>
      </c>
      <c r="I378" s="1042" t="s">
        <v>1541</v>
      </c>
      <c r="J378" s="1043" t="s">
        <v>1535</v>
      </c>
      <c r="K378" s="1027" t="s">
        <v>674</v>
      </c>
      <c r="L378" s="1088" t="s">
        <v>675</v>
      </c>
      <c r="M378" s="1030">
        <v>39700000</v>
      </c>
      <c r="N378" s="1083" t="s">
        <v>749</v>
      </c>
      <c r="O378" s="1083" t="s">
        <v>1562</v>
      </c>
      <c r="P378" s="1083"/>
      <c r="Q378" s="1027"/>
      <c r="R378" s="1022"/>
      <c r="S378" s="1130">
        <v>291</v>
      </c>
      <c r="T378" s="1156">
        <v>38500000</v>
      </c>
    </row>
    <row r="379" spans="1:103" s="995" customFormat="1" ht="92.4" x14ac:dyDescent="0.3">
      <c r="A379" s="1023">
        <v>2022374</v>
      </c>
      <c r="B379" s="1023">
        <v>7658</v>
      </c>
      <c r="C379" s="1023" t="s">
        <v>679</v>
      </c>
      <c r="D379" s="1039" t="s">
        <v>701</v>
      </c>
      <c r="E379" s="1040">
        <v>80111600</v>
      </c>
      <c r="F379" s="1026" t="s">
        <v>1019</v>
      </c>
      <c r="G379" s="1041" t="s">
        <v>1495</v>
      </c>
      <c r="H379" s="1141" t="s">
        <v>1495</v>
      </c>
      <c r="I379" s="1042" t="s">
        <v>1498</v>
      </c>
      <c r="J379" s="1043" t="s">
        <v>1535</v>
      </c>
      <c r="K379" s="1027" t="s">
        <v>674</v>
      </c>
      <c r="L379" s="1088" t="s">
        <v>675</v>
      </c>
      <c r="M379" s="1030">
        <v>50985000</v>
      </c>
      <c r="N379" s="1083" t="s">
        <v>749</v>
      </c>
      <c r="O379" s="1083" t="s">
        <v>1562</v>
      </c>
      <c r="P379" s="1083"/>
      <c r="Q379" s="1027"/>
      <c r="R379" s="1022"/>
      <c r="S379" s="1130">
        <v>330</v>
      </c>
      <c r="T379" s="1156">
        <v>49500000</v>
      </c>
    </row>
    <row r="380" spans="1:103" s="995" customFormat="1" ht="92.4" x14ac:dyDescent="0.3">
      <c r="A380" s="1023">
        <v>2022375</v>
      </c>
      <c r="B380" s="1023">
        <v>7658</v>
      </c>
      <c r="C380" s="1023" t="s">
        <v>679</v>
      </c>
      <c r="D380" s="1039" t="s">
        <v>701</v>
      </c>
      <c r="E380" s="1040">
        <v>80111600</v>
      </c>
      <c r="F380" s="1026" t="s">
        <v>1020</v>
      </c>
      <c r="G380" s="1041" t="s">
        <v>1495</v>
      </c>
      <c r="H380" s="1141" t="s">
        <v>1495</v>
      </c>
      <c r="I380" s="1042" t="s">
        <v>1543</v>
      </c>
      <c r="J380" s="1043" t="s">
        <v>1535</v>
      </c>
      <c r="K380" s="1027" t="s">
        <v>674</v>
      </c>
      <c r="L380" s="1088" t="s">
        <v>675</v>
      </c>
      <c r="M380" s="1030">
        <v>55620000</v>
      </c>
      <c r="N380" s="1083" t="s">
        <v>749</v>
      </c>
      <c r="O380" s="1083" t="s">
        <v>1562</v>
      </c>
      <c r="P380" s="1083"/>
      <c r="Q380" s="1027"/>
      <c r="R380" s="1022"/>
      <c r="S380" s="1130">
        <v>211</v>
      </c>
      <c r="T380" s="1156">
        <v>54000000</v>
      </c>
    </row>
    <row r="381" spans="1:103" s="995" customFormat="1" ht="92.4" x14ac:dyDescent="0.3">
      <c r="A381" s="1023">
        <v>2022376</v>
      </c>
      <c r="B381" s="1023">
        <v>7658</v>
      </c>
      <c r="C381" s="1023" t="s">
        <v>679</v>
      </c>
      <c r="D381" s="1039" t="s">
        <v>701</v>
      </c>
      <c r="E381" s="1040">
        <v>80111600</v>
      </c>
      <c r="F381" s="1026" t="s">
        <v>1021</v>
      </c>
      <c r="G381" s="1041" t="s">
        <v>1495</v>
      </c>
      <c r="H381" s="1141" t="s">
        <v>1495</v>
      </c>
      <c r="I381" s="1042" t="s">
        <v>1543</v>
      </c>
      <c r="J381" s="1043" t="s">
        <v>1535</v>
      </c>
      <c r="K381" s="1027" t="s">
        <v>674</v>
      </c>
      <c r="L381" s="1088" t="s">
        <v>675</v>
      </c>
      <c r="M381" s="1030">
        <v>55620000</v>
      </c>
      <c r="N381" s="1083" t="s">
        <v>749</v>
      </c>
      <c r="O381" s="1083" t="s">
        <v>1562</v>
      </c>
      <c r="P381" s="1083"/>
      <c r="Q381" s="1027"/>
      <c r="R381" s="1022"/>
      <c r="S381" s="1130">
        <v>269</v>
      </c>
      <c r="T381" s="1156">
        <v>54000000</v>
      </c>
    </row>
    <row r="382" spans="1:103" s="995" customFormat="1" ht="92.4" x14ac:dyDescent="0.3">
      <c r="A382" s="1023">
        <v>2022377</v>
      </c>
      <c r="B382" s="1023">
        <v>7658</v>
      </c>
      <c r="C382" s="1023" t="s">
        <v>679</v>
      </c>
      <c r="D382" s="1039" t="s">
        <v>701</v>
      </c>
      <c r="E382" s="1040">
        <v>80111600</v>
      </c>
      <c r="F382" s="1026" t="s">
        <v>1022</v>
      </c>
      <c r="G382" s="1041" t="s">
        <v>1495</v>
      </c>
      <c r="H382" s="1141" t="s">
        <v>1495</v>
      </c>
      <c r="I382" s="1042" t="s">
        <v>1543</v>
      </c>
      <c r="J382" s="1043" t="s">
        <v>1535</v>
      </c>
      <c r="K382" s="1027" t="s">
        <v>674</v>
      </c>
      <c r="L382" s="1088" t="s">
        <v>675</v>
      </c>
      <c r="M382" s="1030">
        <v>55620000</v>
      </c>
      <c r="N382" s="1083" t="s">
        <v>749</v>
      </c>
      <c r="O382" s="1083" t="s">
        <v>1562</v>
      </c>
      <c r="P382" s="1083"/>
      <c r="Q382" s="1027"/>
      <c r="R382" s="1022"/>
      <c r="S382" s="1130">
        <v>270</v>
      </c>
      <c r="T382" s="1156">
        <v>54000000</v>
      </c>
    </row>
    <row r="383" spans="1:103" s="995" customFormat="1" ht="92.4" x14ac:dyDescent="0.3">
      <c r="A383" s="1023">
        <v>2022378</v>
      </c>
      <c r="B383" s="1023">
        <v>7658</v>
      </c>
      <c r="C383" s="1023" t="s">
        <v>679</v>
      </c>
      <c r="D383" s="1039" t="s">
        <v>701</v>
      </c>
      <c r="E383" s="1040">
        <v>80111600</v>
      </c>
      <c r="F383" s="1026" t="s">
        <v>1023</v>
      </c>
      <c r="G383" s="1041" t="s">
        <v>1495</v>
      </c>
      <c r="H383" s="1141" t="s">
        <v>1495</v>
      </c>
      <c r="I383" s="1042" t="s">
        <v>1543</v>
      </c>
      <c r="J383" s="1043" t="s">
        <v>1535</v>
      </c>
      <c r="K383" s="1027" t="s">
        <v>674</v>
      </c>
      <c r="L383" s="1088" t="s">
        <v>675</v>
      </c>
      <c r="M383" s="1030">
        <v>55620000</v>
      </c>
      <c r="N383" s="1083" t="s">
        <v>749</v>
      </c>
      <c r="O383" s="1083" t="s">
        <v>1562</v>
      </c>
      <c r="P383" s="1083"/>
      <c r="Q383" s="1027"/>
      <c r="R383" s="1022"/>
      <c r="S383" s="1130">
        <v>201</v>
      </c>
      <c r="T383" s="1156">
        <v>54000000</v>
      </c>
    </row>
    <row r="384" spans="1:103" s="995" customFormat="1" ht="92.4" x14ac:dyDescent="0.3">
      <c r="A384" s="1023">
        <v>2022379</v>
      </c>
      <c r="B384" s="1023">
        <v>7658</v>
      </c>
      <c r="C384" s="1023" t="s">
        <v>679</v>
      </c>
      <c r="D384" s="1039" t="s">
        <v>701</v>
      </c>
      <c r="E384" s="1040">
        <v>80111600</v>
      </c>
      <c r="F384" s="1026" t="s">
        <v>1024</v>
      </c>
      <c r="G384" s="1041" t="s">
        <v>1495</v>
      </c>
      <c r="H384" s="1141" t="s">
        <v>1495</v>
      </c>
      <c r="I384" s="1042" t="s">
        <v>1498</v>
      </c>
      <c r="J384" s="1043" t="s">
        <v>1535</v>
      </c>
      <c r="K384" s="1027" t="s">
        <v>674</v>
      </c>
      <c r="L384" s="1088" t="s">
        <v>675</v>
      </c>
      <c r="M384" s="1030">
        <v>50985000</v>
      </c>
      <c r="N384" s="1083" t="s">
        <v>749</v>
      </c>
      <c r="O384" s="1083" t="s">
        <v>1562</v>
      </c>
      <c r="P384" s="1083"/>
      <c r="Q384" s="1027"/>
      <c r="R384" s="1022"/>
      <c r="S384" s="1130">
        <v>296</v>
      </c>
      <c r="T384" s="1156">
        <v>49500000</v>
      </c>
    </row>
    <row r="385" spans="1:20" s="995" customFormat="1" ht="92.4" x14ac:dyDescent="0.3">
      <c r="A385" s="1023">
        <v>2022380</v>
      </c>
      <c r="B385" s="1023">
        <v>7658</v>
      </c>
      <c r="C385" s="1023" t="s">
        <v>679</v>
      </c>
      <c r="D385" s="1039" t="s">
        <v>701</v>
      </c>
      <c r="E385" s="1040">
        <v>80111600</v>
      </c>
      <c r="F385" s="1026" t="s">
        <v>1025</v>
      </c>
      <c r="G385" s="1041" t="s">
        <v>1495</v>
      </c>
      <c r="H385" s="1141" t="s">
        <v>1495</v>
      </c>
      <c r="I385" s="1042" t="s">
        <v>1498</v>
      </c>
      <c r="J385" s="1043" t="s">
        <v>1535</v>
      </c>
      <c r="K385" s="1027" t="s">
        <v>674</v>
      </c>
      <c r="L385" s="1088" t="s">
        <v>675</v>
      </c>
      <c r="M385" s="1030">
        <v>50985000</v>
      </c>
      <c r="N385" s="1083" t="s">
        <v>749</v>
      </c>
      <c r="O385" s="1083" t="s">
        <v>1562</v>
      </c>
      <c r="P385" s="1083"/>
      <c r="Q385" s="1027"/>
      <c r="R385" s="1022"/>
      <c r="S385" s="1130">
        <v>356</v>
      </c>
      <c r="T385" s="1156">
        <v>49500000</v>
      </c>
    </row>
    <row r="386" spans="1:20" s="995" customFormat="1" ht="92.4" x14ac:dyDescent="0.3">
      <c r="A386" s="1023">
        <v>2022381</v>
      </c>
      <c r="B386" s="1023">
        <v>7658</v>
      </c>
      <c r="C386" s="1023" t="s">
        <v>679</v>
      </c>
      <c r="D386" s="1039" t="s">
        <v>701</v>
      </c>
      <c r="E386" s="1040">
        <v>80111600</v>
      </c>
      <c r="F386" s="1026" t="s">
        <v>1026</v>
      </c>
      <c r="G386" s="1041" t="s">
        <v>1495</v>
      </c>
      <c r="H386" s="1141" t="s">
        <v>1495</v>
      </c>
      <c r="I386" s="1042" t="s">
        <v>1543</v>
      </c>
      <c r="J386" s="1043" t="s">
        <v>1535</v>
      </c>
      <c r="K386" s="1027" t="s">
        <v>674</v>
      </c>
      <c r="L386" s="1088" t="s">
        <v>675</v>
      </c>
      <c r="M386" s="1030">
        <v>84000000</v>
      </c>
      <c r="N386" s="1083" t="s">
        <v>749</v>
      </c>
      <c r="O386" s="1083" t="s">
        <v>1562</v>
      </c>
      <c r="P386" s="1083"/>
      <c r="Q386" s="1027"/>
      <c r="R386" s="1022"/>
      <c r="S386" s="1130">
        <v>202</v>
      </c>
      <c r="T386" s="1156">
        <v>81600000</v>
      </c>
    </row>
    <row r="387" spans="1:20" s="995" customFormat="1" ht="92.4" x14ac:dyDescent="0.3">
      <c r="A387" s="1023">
        <v>2022382</v>
      </c>
      <c r="B387" s="1023">
        <v>7658</v>
      </c>
      <c r="C387" s="1023" t="s">
        <v>679</v>
      </c>
      <c r="D387" s="1039" t="s">
        <v>701</v>
      </c>
      <c r="E387" s="1040">
        <v>80111600</v>
      </c>
      <c r="F387" s="1026" t="s">
        <v>1027</v>
      </c>
      <c r="G387" s="1041" t="s">
        <v>1495</v>
      </c>
      <c r="H387" s="1141" t="s">
        <v>1495</v>
      </c>
      <c r="I387" s="1042" t="s">
        <v>1543</v>
      </c>
      <c r="J387" s="1043" t="s">
        <v>1535</v>
      </c>
      <c r="K387" s="1027" t="s">
        <v>674</v>
      </c>
      <c r="L387" s="1088" t="s">
        <v>675</v>
      </c>
      <c r="M387" s="1030">
        <v>84000000</v>
      </c>
      <c r="N387" s="1083" t="s">
        <v>749</v>
      </c>
      <c r="O387" s="1083" t="s">
        <v>1562</v>
      </c>
      <c r="P387" s="1083"/>
      <c r="Q387" s="1027"/>
      <c r="R387" s="1022"/>
      <c r="S387" s="1130">
        <v>343</v>
      </c>
      <c r="T387" s="1156">
        <v>81600000</v>
      </c>
    </row>
    <row r="388" spans="1:20" s="995" customFormat="1" ht="92.4" x14ac:dyDescent="0.3">
      <c r="A388" s="1023">
        <v>2022383</v>
      </c>
      <c r="B388" s="1023">
        <v>7658</v>
      </c>
      <c r="C388" s="1023" t="s">
        <v>679</v>
      </c>
      <c r="D388" s="1039" t="s">
        <v>701</v>
      </c>
      <c r="E388" s="1040">
        <v>80111600</v>
      </c>
      <c r="F388" s="1026" t="s">
        <v>1028</v>
      </c>
      <c r="G388" s="1041" t="s">
        <v>1495</v>
      </c>
      <c r="H388" s="1141" t="s">
        <v>1495</v>
      </c>
      <c r="I388" s="1042" t="s">
        <v>1543</v>
      </c>
      <c r="J388" s="1043" t="s">
        <v>1535</v>
      </c>
      <c r="K388" s="1027" t="s">
        <v>674</v>
      </c>
      <c r="L388" s="1088" t="s">
        <v>675</v>
      </c>
      <c r="M388" s="1030">
        <v>84000000</v>
      </c>
      <c r="N388" s="1083" t="s">
        <v>749</v>
      </c>
      <c r="O388" s="1083" t="s">
        <v>1562</v>
      </c>
      <c r="P388" s="1083"/>
      <c r="Q388" s="1027"/>
      <c r="R388" s="1022"/>
      <c r="S388" s="1130">
        <v>323</v>
      </c>
      <c r="T388" s="1156">
        <v>81600000</v>
      </c>
    </row>
    <row r="389" spans="1:20" s="995" customFormat="1" ht="92.4" x14ac:dyDescent="0.3">
      <c r="A389" s="1023">
        <v>2022384</v>
      </c>
      <c r="B389" s="1023">
        <v>7658</v>
      </c>
      <c r="C389" s="1023" t="s">
        <v>679</v>
      </c>
      <c r="D389" s="1039" t="s">
        <v>701</v>
      </c>
      <c r="E389" s="1040">
        <v>80111600</v>
      </c>
      <c r="F389" s="1026" t="s">
        <v>1029</v>
      </c>
      <c r="G389" s="1041" t="s">
        <v>1495</v>
      </c>
      <c r="H389" s="1141" t="s">
        <v>1495</v>
      </c>
      <c r="I389" s="1042" t="s">
        <v>1543</v>
      </c>
      <c r="J389" s="1043" t="s">
        <v>1535</v>
      </c>
      <c r="K389" s="1027" t="s">
        <v>674</v>
      </c>
      <c r="L389" s="1088" t="s">
        <v>675</v>
      </c>
      <c r="M389" s="1030">
        <v>84000000</v>
      </c>
      <c r="N389" s="1083" t="s">
        <v>749</v>
      </c>
      <c r="O389" s="1083" t="s">
        <v>1562</v>
      </c>
      <c r="P389" s="1083"/>
      <c r="Q389" s="1027"/>
      <c r="R389" s="1022"/>
      <c r="S389" s="1130">
        <v>475</v>
      </c>
      <c r="T389" s="1156">
        <v>27000000</v>
      </c>
    </row>
    <row r="390" spans="1:20" s="995" customFormat="1" ht="92.4" x14ac:dyDescent="0.3">
      <c r="A390" s="1023">
        <v>2022385</v>
      </c>
      <c r="B390" s="1023">
        <v>7658</v>
      </c>
      <c r="C390" s="1023" t="s">
        <v>679</v>
      </c>
      <c r="D390" s="1039" t="s">
        <v>701</v>
      </c>
      <c r="E390" s="1040">
        <v>80111600</v>
      </c>
      <c r="F390" s="1026" t="s">
        <v>1030</v>
      </c>
      <c r="G390" s="1041" t="s">
        <v>1495</v>
      </c>
      <c r="H390" s="1141" t="s">
        <v>1495</v>
      </c>
      <c r="I390" s="1042" t="s">
        <v>1543</v>
      </c>
      <c r="J390" s="1043" t="s">
        <v>1535</v>
      </c>
      <c r="K390" s="1027" t="s">
        <v>674</v>
      </c>
      <c r="L390" s="1088" t="s">
        <v>675</v>
      </c>
      <c r="M390" s="1030">
        <v>84000000</v>
      </c>
      <c r="N390" s="1083" t="s">
        <v>749</v>
      </c>
      <c r="O390" s="1083" t="s">
        <v>1562</v>
      </c>
      <c r="P390" s="1083"/>
      <c r="Q390" s="1027"/>
      <c r="R390" s="1022"/>
      <c r="S390" s="1130">
        <v>342</v>
      </c>
      <c r="T390" s="1156">
        <v>81600000</v>
      </c>
    </row>
    <row r="391" spans="1:20" s="995" customFormat="1" ht="92.4" x14ac:dyDescent="0.3">
      <c r="A391" s="1023">
        <v>2022386</v>
      </c>
      <c r="B391" s="1023">
        <v>7658</v>
      </c>
      <c r="C391" s="1023" t="s">
        <v>679</v>
      </c>
      <c r="D391" s="1039" t="s">
        <v>701</v>
      </c>
      <c r="E391" s="1040">
        <v>80111600</v>
      </c>
      <c r="F391" s="1026" t="s">
        <v>1031</v>
      </c>
      <c r="G391" s="1041" t="s">
        <v>1495</v>
      </c>
      <c r="H391" s="1141" t="s">
        <v>1495</v>
      </c>
      <c r="I391" s="1042" t="s">
        <v>1543</v>
      </c>
      <c r="J391" s="1043" t="s">
        <v>1535</v>
      </c>
      <c r="K391" s="1027" t="s">
        <v>674</v>
      </c>
      <c r="L391" s="1088" t="s">
        <v>675</v>
      </c>
      <c r="M391" s="1030">
        <v>84000000</v>
      </c>
      <c r="N391" s="1083" t="s">
        <v>749</v>
      </c>
      <c r="O391" s="1083" t="s">
        <v>1562</v>
      </c>
      <c r="P391" s="1083"/>
      <c r="Q391" s="1027"/>
      <c r="R391" s="1022"/>
      <c r="S391" s="1130">
        <v>327</v>
      </c>
      <c r="T391" s="1156">
        <v>81600000</v>
      </c>
    </row>
    <row r="392" spans="1:20" s="995" customFormat="1" ht="92.4" x14ac:dyDescent="0.3">
      <c r="A392" s="1023">
        <v>2022387</v>
      </c>
      <c r="B392" s="1023">
        <v>7658</v>
      </c>
      <c r="C392" s="1023" t="s">
        <v>679</v>
      </c>
      <c r="D392" s="1039" t="s">
        <v>701</v>
      </c>
      <c r="E392" s="1040">
        <v>80111600</v>
      </c>
      <c r="F392" s="1026" t="s">
        <v>1032</v>
      </c>
      <c r="G392" s="1041" t="s">
        <v>1495</v>
      </c>
      <c r="H392" s="1141" t="s">
        <v>1495</v>
      </c>
      <c r="I392" s="1042" t="s">
        <v>1543</v>
      </c>
      <c r="J392" s="1043" t="s">
        <v>1535</v>
      </c>
      <c r="K392" s="1027" t="s">
        <v>674</v>
      </c>
      <c r="L392" s="1088" t="s">
        <v>675</v>
      </c>
      <c r="M392" s="1030">
        <v>90000000</v>
      </c>
      <c r="N392" s="1083" t="s">
        <v>749</v>
      </c>
      <c r="O392" s="1083" t="s">
        <v>1562</v>
      </c>
      <c r="P392" s="1083"/>
      <c r="Q392" s="1027"/>
      <c r="R392" s="1022"/>
      <c r="S392" s="1130">
        <v>329</v>
      </c>
      <c r="T392" s="1156">
        <v>87600000</v>
      </c>
    </row>
    <row r="393" spans="1:20" s="995" customFormat="1" ht="105.6" x14ac:dyDescent="0.3">
      <c r="A393" s="1013">
        <v>2022388</v>
      </c>
      <c r="B393" s="1013">
        <v>7658</v>
      </c>
      <c r="C393" s="1013" t="s">
        <v>679</v>
      </c>
      <c r="D393" s="1045" t="s">
        <v>692</v>
      </c>
      <c r="E393" s="1051" t="s">
        <v>1615</v>
      </c>
      <c r="F393" s="1016" t="s">
        <v>1616</v>
      </c>
      <c r="G393" s="1018" t="s">
        <v>1617</v>
      </c>
      <c r="H393" s="1141" t="s">
        <v>1618</v>
      </c>
      <c r="I393" s="1018">
        <v>10</v>
      </c>
      <c r="J393" s="1049" t="s">
        <v>1619</v>
      </c>
      <c r="K393" s="1017" t="s">
        <v>674</v>
      </c>
      <c r="L393" s="1019" t="s">
        <v>675</v>
      </c>
      <c r="M393" s="1020">
        <v>650000000</v>
      </c>
      <c r="N393" s="1037" t="s">
        <v>741</v>
      </c>
      <c r="O393" s="1037" t="s">
        <v>1620</v>
      </c>
      <c r="P393" s="1037"/>
      <c r="Q393" s="1017"/>
      <c r="R393" s="1022"/>
      <c r="S393" s="1130"/>
      <c r="T393" s="1156"/>
    </row>
    <row r="394" spans="1:20" s="995" customFormat="1" ht="105.6" x14ac:dyDescent="0.3">
      <c r="A394" s="1013">
        <v>2022389</v>
      </c>
      <c r="B394" s="1013">
        <v>7658</v>
      </c>
      <c r="C394" s="1013" t="s">
        <v>679</v>
      </c>
      <c r="D394" s="1045" t="s">
        <v>692</v>
      </c>
      <c r="E394" s="1051" t="s">
        <v>1033</v>
      </c>
      <c r="F394" s="1016" t="s">
        <v>1621</v>
      </c>
      <c r="G394" s="1018" t="s">
        <v>1617</v>
      </c>
      <c r="H394" s="1141" t="s">
        <v>1618</v>
      </c>
      <c r="I394" s="1018">
        <v>8</v>
      </c>
      <c r="J394" s="1049" t="s">
        <v>1619</v>
      </c>
      <c r="K394" s="1017" t="s">
        <v>674</v>
      </c>
      <c r="L394" s="1019" t="s">
        <v>675</v>
      </c>
      <c r="M394" s="1020">
        <v>816036232</v>
      </c>
      <c r="N394" s="1037" t="s">
        <v>741</v>
      </c>
      <c r="O394" s="1037" t="s">
        <v>1620</v>
      </c>
      <c r="P394" s="1037"/>
      <c r="Q394" s="1017"/>
      <c r="R394" s="1022"/>
      <c r="S394" s="1130"/>
      <c r="T394" s="1156"/>
    </row>
    <row r="395" spans="1:20" s="995" customFormat="1" ht="118.8" x14ac:dyDescent="0.3">
      <c r="A395" s="1023">
        <v>2022390</v>
      </c>
      <c r="B395" s="1023">
        <v>7658</v>
      </c>
      <c r="C395" s="1023" t="s">
        <v>679</v>
      </c>
      <c r="D395" s="1039" t="s">
        <v>692</v>
      </c>
      <c r="E395" s="1086" t="s">
        <v>1033</v>
      </c>
      <c r="F395" s="1026" t="s">
        <v>1037</v>
      </c>
      <c r="G395" s="1041" t="s">
        <v>1495</v>
      </c>
      <c r="H395" s="1141" t="s">
        <v>1501</v>
      </c>
      <c r="I395" s="1028">
        <v>2</v>
      </c>
      <c r="J395" s="1043" t="s">
        <v>1619</v>
      </c>
      <c r="K395" s="1027" t="s">
        <v>674</v>
      </c>
      <c r="L395" s="1029" t="s">
        <v>675</v>
      </c>
      <c r="M395" s="1030">
        <v>183963768</v>
      </c>
      <c r="N395" s="1083" t="s">
        <v>741</v>
      </c>
      <c r="O395" s="1083" t="s">
        <v>1620</v>
      </c>
      <c r="P395" s="1083"/>
      <c r="Q395" s="1027"/>
      <c r="R395" s="1022"/>
      <c r="S395" s="1130">
        <v>519</v>
      </c>
      <c r="T395" s="1156">
        <v>183963768</v>
      </c>
    </row>
    <row r="396" spans="1:20" s="995" customFormat="1" ht="105.6" x14ac:dyDescent="0.3">
      <c r="A396" s="1013">
        <v>2022391</v>
      </c>
      <c r="B396" s="1013">
        <v>7658</v>
      </c>
      <c r="C396" s="1013" t="s">
        <v>679</v>
      </c>
      <c r="D396" s="1045" t="s">
        <v>692</v>
      </c>
      <c r="E396" s="1051" t="s">
        <v>1622</v>
      </c>
      <c r="F396" s="1016" t="s">
        <v>1623</v>
      </c>
      <c r="G396" s="1018" t="s">
        <v>1624</v>
      </c>
      <c r="H396" s="1141" t="s">
        <v>1625</v>
      </c>
      <c r="I396" s="1018">
        <v>8</v>
      </c>
      <c r="J396" s="1049" t="s">
        <v>1619</v>
      </c>
      <c r="K396" s="1017" t="s">
        <v>770</v>
      </c>
      <c r="L396" s="1019" t="s">
        <v>994</v>
      </c>
      <c r="M396" s="1020">
        <v>617440000</v>
      </c>
      <c r="N396" s="1037" t="s">
        <v>741</v>
      </c>
      <c r="O396" s="1037" t="s">
        <v>1620</v>
      </c>
      <c r="P396" s="1037"/>
      <c r="Q396" s="1017"/>
      <c r="R396" s="1022"/>
      <c r="S396" s="1130"/>
      <c r="T396" s="1156"/>
    </row>
    <row r="397" spans="1:20" s="995" customFormat="1" ht="105.6" x14ac:dyDescent="0.3">
      <c r="A397" s="1013">
        <v>2022392</v>
      </c>
      <c r="B397" s="1013">
        <v>7658</v>
      </c>
      <c r="C397" s="1013" t="s">
        <v>679</v>
      </c>
      <c r="D397" s="1045" t="s">
        <v>692</v>
      </c>
      <c r="E397" s="1089" t="s">
        <v>1626</v>
      </c>
      <c r="F397" s="1016" t="s">
        <v>1627</v>
      </c>
      <c r="G397" s="1018" t="s">
        <v>1624</v>
      </c>
      <c r="H397" s="1141" t="s">
        <v>1625</v>
      </c>
      <c r="I397" s="1018">
        <v>8</v>
      </c>
      <c r="J397" s="1049" t="s">
        <v>1605</v>
      </c>
      <c r="K397" s="1017" t="s">
        <v>674</v>
      </c>
      <c r="L397" s="1019" t="s">
        <v>675</v>
      </c>
      <c r="M397" s="1020">
        <v>300000000</v>
      </c>
      <c r="N397" s="1037" t="s">
        <v>741</v>
      </c>
      <c r="O397" s="1037" t="s">
        <v>1620</v>
      </c>
      <c r="P397" s="1037"/>
      <c r="Q397" s="1017"/>
      <c r="R397" s="1022"/>
      <c r="S397" s="1130"/>
      <c r="T397" s="1156"/>
    </row>
    <row r="398" spans="1:20" s="995" customFormat="1" ht="105.6" x14ac:dyDescent="0.3">
      <c r="A398" s="1013">
        <v>2022393</v>
      </c>
      <c r="B398" s="1013">
        <v>7658</v>
      </c>
      <c r="C398" s="1013" t="s">
        <v>679</v>
      </c>
      <c r="D398" s="1045" t="s">
        <v>692</v>
      </c>
      <c r="E398" s="1089" t="s">
        <v>1628</v>
      </c>
      <c r="F398" s="1016" t="s">
        <v>1042</v>
      </c>
      <c r="G398" s="1018" t="s">
        <v>1624</v>
      </c>
      <c r="H398" s="1141" t="s">
        <v>1625</v>
      </c>
      <c r="I398" s="1018">
        <v>8</v>
      </c>
      <c r="J398" s="1049" t="s">
        <v>1629</v>
      </c>
      <c r="K398" s="1017" t="s">
        <v>674</v>
      </c>
      <c r="L398" s="1019" t="s">
        <v>675</v>
      </c>
      <c r="M398" s="1020">
        <v>200000000</v>
      </c>
      <c r="N398" s="1037" t="s">
        <v>741</v>
      </c>
      <c r="O398" s="1037" t="s">
        <v>1620</v>
      </c>
      <c r="P398" s="1037"/>
      <c r="Q398" s="1017"/>
      <c r="R398" s="1022"/>
      <c r="S398" s="1130"/>
      <c r="T398" s="1156"/>
    </row>
    <row r="399" spans="1:20" s="995" customFormat="1" ht="105.6" x14ac:dyDescent="0.3">
      <c r="A399" s="1013">
        <v>2022394</v>
      </c>
      <c r="B399" s="1013">
        <v>7658</v>
      </c>
      <c r="C399" s="1013" t="s">
        <v>679</v>
      </c>
      <c r="D399" s="1045" t="s">
        <v>692</v>
      </c>
      <c r="E399" s="1090" t="s">
        <v>1630</v>
      </c>
      <c r="F399" s="1016" t="s">
        <v>1631</v>
      </c>
      <c r="G399" s="1017" t="s">
        <v>1625</v>
      </c>
      <c r="H399" s="1141" t="s">
        <v>1632</v>
      </c>
      <c r="I399" s="1017">
        <v>6</v>
      </c>
      <c r="J399" s="1049" t="s">
        <v>1629</v>
      </c>
      <c r="K399" s="1017" t="s">
        <v>674</v>
      </c>
      <c r="L399" s="1019" t="s">
        <v>675</v>
      </c>
      <c r="M399" s="1020">
        <f>150000000-76286376</f>
        <v>73713624</v>
      </c>
      <c r="N399" s="1037" t="s">
        <v>741</v>
      </c>
      <c r="O399" s="1037" t="s">
        <v>1620</v>
      </c>
      <c r="P399" s="1037"/>
      <c r="Q399" s="1047">
        <v>44600</v>
      </c>
      <c r="R399" s="1022"/>
      <c r="S399" s="1130"/>
      <c r="T399" s="1156"/>
    </row>
    <row r="400" spans="1:20" s="995" customFormat="1" ht="105.6" x14ac:dyDescent="0.3">
      <c r="A400" s="1013">
        <v>2022395</v>
      </c>
      <c r="B400" s="1013">
        <v>7658</v>
      </c>
      <c r="C400" s="1013" t="s">
        <v>679</v>
      </c>
      <c r="D400" s="1045" t="s">
        <v>692</v>
      </c>
      <c r="E400" s="1090" t="s">
        <v>1633</v>
      </c>
      <c r="F400" s="1016" t="s">
        <v>1634</v>
      </c>
      <c r="G400" s="1017" t="s">
        <v>1632</v>
      </c>
      <c r="H400" s="1141" t="s">
        <v>1635</v>
      </c>
      <c r="I400" s="1017">
        <v>3</v>
      </c>
      <c r="J400" s="1049" t="s">
        <v>1619</v>
      </c>
      <c r="K400" s="1017" t="s">
        <v>770</v>
      </c>
      <c r="L400" s="1019" t="s">
        <v>994</v>
      </c>
      <c r="M400" s="1020">
        <v>400000000</v>
      </c>
      <c r="N400" s="1037" t="s">
        <v>741</v>
      </c>
      <c r="O400" s="1037" t="s">
        <v>1620</v>
      </c>
      <c r="P400" s="1037"/>
      <c r="Q400" s="1017"/>
      <c r="R400" s="1022"/>
      <c r="S400" s="1130"/>
      <c r="T400" s="1156"/>
    </row>
    <row r="401" spans="1:20" s="995" customFormat="1" ht="105.6" x14ac:dyDescent="0.3">
      <c r="A401" s="1013">
        <v>2022396</v>
      </c>
      <c r="B401" s="1013">
        <v>7658</v>
      </c>
      <c r="C401" s="1013" t="s">
        <v>679</v>
      </c>
      <c r="D401" s="1045" t="s">
        <v>692</v>
      </c>
      <c r="E401" s="1090" t="s">
        <v>1628</v>
      </c>
      <c r="F401" s="1016" t="s">
        <v>1636</v>
      </c>
      <c r="G401" s="1017" t="s">
        <v>1637</v>
      </c>
      <c r="H401" s="1141" t="s">
        <v>1638</v>
      </c>
      <c r="I401" s="1017">
        <v>3</v>
      </c>
      <c r="J401" s="1049" t="s">
        <v>1619</v>
      </c>
      <c r="K401" s="1017" t="s">
        <v>674</v>
      </c>
      <c r="L401" s="1019" t="s">
        <v>675</v>
      </c>
      <c r="M401" s="1020">
        <v>300000000</v>
      </c>
      <c r="N401" s="1037" t="s">
        <v>741</v>
      </c>
      <c r="O401" s="1037" t="s">
        <v>1620</v>
      </c>
      <c r="P401" s="1037"/>
      <c r="Q401" s="1017"/>
      <c r="R401" s="1022"/>
      <c r="S401" s="1130"/>
      <c r="T401" s="1156"/>
    </row>
    <row r="402" spans="1:20" s="995" customFormat="1" ht="105.6" x14ac:dyDescent="0.3">
      <c r="A402" s="1013">
        <v>2022397</v>
      </c>
      <c r="B402" s="1013">
        <v>7658</v>
      </c>
      <c r="C402" s="1013" t="s">
        <v>679</v>
      </c>
      <c r="D402" s="1045" t="s">
        <v>692</v>
      </c>
      <c r="E402" s="1090" t="s">
        <v>1639</v>
      </c>
      <c r="F402" s="1016" t="s">
        <v>1640</v>
      </c>
      <c r="G402" s="1017" t="s">
        <v>1618</v>
      </c>
      <c r="H402" s="1141" t="s">
        <v>1637</v>
      </c>
      <c r="I402" s="1017">
        <v>2</v>
      </c>
      <c r="J402" s="1049" t="s">
        <v>1629</v>
      </c>
      <c r="K402" s="1017" t="s">
        <v>674</v>
      </c>
      <c r="L402" s="1019" t="s">
        <v>675</v>
      </c>
      <c r="M402" s="1020">
        <v>30000000</v>
      </c>
      <c r="N402" s="1037" t="s">
        <v>741</v>
      </c>
      <c r="O402" s="1037" t="s">
        <v>1620</v>
      </c>
      <c r="P402" s="1037"/>
      <c r="Q402" s="1017"/>
      <c r="R402" s="1022"/>
      <c r="S402" s="1130"/>
      <c r="T402" s="1156"/>
    </row>
    <row r="403" spans="1:20" s="995" customFormat="1" ht="105.6" x14ac:dyDescent="0.3">
      <c r="A403" s="1013">
        <v>2022398</v>
      </c>
      <c r="B403" s="1013">
        <v>7658</v>
      </c>
      <c r="C403" s="1013" t="s">
        <v>679</v>
      </c>
      <c r="D403" s="1045" t="s">
        <v>692</v>
      </c>
      <c r="E403" s="1090" t="s">
        <v>1641</v>
      </c>
      <c r="F403" s="1016" t="s">
        <v>1642</v>
      </c>
      <c r="G403" s="1017" t="s">
        <v>1625</v>
      </c>
      <c r="H403" s="1141" t="s">
        <v>1638</v>
      </c>
      <c r="I403" s="1017">
        <v>8</v>
      </c>
      <c r="J403" s="1049" t="s">
        <v>1629</v>
      </c>
      <c r="K403" s="1017" t="s">
        <v>674</v>
      </c>
      <c r="L403" s="1019" t="s">
        <v>675</v>
      </c>
      <c r="M403" s="1020">
        <v>10000000</v>
      </c>
      <c r="N403" s="1037" t="s">
        <v>741</v>
      </c>
      <c r="O403" s="1037" t="s">
        <v>1620</v>
      </c>
      <c r="P403" s="1037"/>
      <c r="Q403" s="1017"/>
      <c r="R403" s="1022"/>
      <c r="S403" s="1130"/>
      <c r="T403" s="1156"/>
    </row>
    <row r="404" spans="1:20" s="995" customFormat="1" ht="105.6" x14ac:dyDescent="0.3">
      <c r="A404" s="1013">
        <v>2022399</v>
      </c>
      <c r="B404" s="1013">
        <v>7658</v>
      </c>
      <c r="C404" s="1013" t="s">
        <v>679</v>
      </c>
      <c r="D404" s="1045" t="s">
        <v>692</v>
      </c>
      <c r="E404" s="1090" t="s">
        <v>1643</v>
      </c>
      <c r="F404" s="1016" t="s">
        <v>1644</v>
      </c>
      <c r="G404" s="1017" t="s">
        <v>1625</v>
      </c>
      <c r="H404" s="1141" t="s">
        <v>1638</v>
      </c>
      <c r="I404" s="1017">
        <v>8</v>
      </c>
      <c r="J404" s="1049" t="s">
        <v>1629</v>
      </c>
      <c r="K404" s="1017" t="s">
        <v>674</v>
      </c>
      <c r="L404" s="1019" t="s">
        <v>675</v>
      </c>
      <c r="M404" s="1020">
        <v>20000000</v>
      </c>
      <c r="N404" s="1037" t="s">
        <v>741</v>
      </c>
      <c r="O404" s="1037" t="s">
        <v>1620</v>
      </c>
      <c r="P404" s="1037"/>
      <c r="Q404" s="1017"/>
      <c r="R404" s="1022"/>
      <c r="S404" s="1130"/>
      <c r="T404" s="1156"/>
    </row>
    <row r="405" spans="1:20" s="995" customFormat="1" ht="105.6" x14ac:dyDescent="0.3">
      <c r="A405" s="1013">
        <v>2022400</v>
      </c>
      <c r="B405" s="1013">
        <v>7658</v>
      </c>
      <c r="C405" s="1013" t="s">
        <v>679</v>
      </c>
      <c r="D405" s="1045" t="s">
        <v>692</v>
      </c>
      <c r="E405" s="1090" t="s">
        <v>1047</v>
      </c>
      <c r="F405" s="1016" t="s">
        <v>1048</v>
      </c>
      <c r="G405" s="1017" t="s">
        <v>1625</v>
      </c>
      <c r="H405" s="1141" t="s">
        <v>1638</v>
      </c>
      <c r="I405" s="1017">
        <v>2</v>
      </c>
      <c r="J405" s="1049" t="s">
        <v>1629</v>
      </c>
      <c r="K405" s="1017" t="s">
        <v>674</v>
      </c>
      <c r="L405" s="1019" t="s">
        <v>675</v>
      </c>
      <c r="M405" s="1020">
        <v>50000000</v>
      </c>
      <c r="N405" s="1037" t="s">
        <v>741</v>
      </c>
      <c r="O405" s="1037" t="s">
        <v>1620</v>
      </c>
      <c r="P405" s="1037"/>
      <c r="Q405" s="1017"/>
      <c r="R405" s="1022"/>
      <c r="S405" s="1130"/>
      <c r="T405" s="1156"/>
    </row>
    <row r="406" spans="1:20" s="995" customFormat="1" ht="105.6" x14ac:dyDescent="0.3">
      <c r="A406" s="1013">
        <v>2022401</v>
      </c>
      <c r="B406" s="1013">
        <v>7658</v>
      </c>
      <c r="C406" s="1013" t="s">
        <v>679</v>
      </c>
      <c r="D406" s="1045" t="s">
        <v>692</v>
      </c>
      <c r="E406" s="1090" t="s">
        <v>1645</v>
      </c>
      <c r="F406" s="1016" t="s">
        <v>1646</v>
      </c>
      <c r="G406" s="1017" t="s">
        <v>1637</v>
      </c>
      <c r="H406" s="1141" t="s">
        <v>1635</v>
      </c>
      <c r="I406" s="1017">
        <v>6</v>
      </c>
      <c r="J406" s="1049" t="s">
        <v>1629</v>
      </c>
      <c r="K406" s="1017" t="s">
        <v>674</v>
      </c>
      <c r="L406" s="1019" t="s">
        <v>675</v>
      </c>
      <c r="M406" s="1020">
        <v>30000000</v>
      </c>
      <c r="N406" s="1037" t="s">
        <v>741</v>
      </c>
      <c r="O406" s="1037" t="s">
        <v>1620</v>
      </c>
      <c r="P406" s="1037"/>
      <c r="Q406" s="1017"/>
      <c r="R406" s="1022"/>
      <c r="S406" s="1130"/>
      <c r="T406" s="1156"/>
    </row>
    <row r="407" spans="1:20" s="995" customFormat="1" ht="105.6" x14ac:dyDescent="0.3">
      <c r="A407" s="1013">
        <v>2022402</v>
      </c>
      <c r="B407" s="1013">
        <v>7658</v>
      </c>
      <c r="C407" s="1013" t="s">
        <v>679</v>
      </c>
      <c r="D407" s="1045" t="s">
        <v>692</v>
      </c>
      <c r="E407" s="1091">
        <v>43232500</v>
      </c>
      <c r="F407" s="1016" t="s">
        <v>1647</v>
      </c>
      <c r="G407" s="1017" t="s">
        <v>1625</v>
      </c>
      <c r="H407" s="1141" t="s">
        <v>1638</v>
      </c>
      <c r="I407" s="1017">
        <v>6</v>
      </c>
      <c r="J407" s="1049" t="s">
        <v>1629</v>
      </c>
      <c r="K407" s="1017" t="s">
        <v>674</v>
      </c>
      <c r="L407" s="1019" t="s">
        <v>675</v>
      </c>
      <c r="M407" s="1020">
        <v>24560000</v>
      </c>
      <c r="N407" s="1037" t="s">
        <v>741</v>
      </c>
      <c r="O407" s="1037" t="s">
        <v>1620</v>
      </c>
      <c r="P407" s="1037"/>
      <c r="Q407" s="1017"/>
      <c r="R407" s="1022"/>
      <c r="S407" s="1130"/>
      <c r="T407" s="1156"/>
    </row>
    <row r="408" spans="1:20" s="995" customFormat="1" ht="105.6" x14ac:dyDescent="0.3">
      <c r="A408" s="1013">
        <v>2022403</v>
      </c>
      <c r="B408" s="1013">
        <v>7658</v>
      </c>
      <c r="C408" s="1013" t="s">
        <v>679</v>
      </c>
      <c r="D408" s="1045" t="s">
        <v>692</v>
      </c>
      <c r="E408" s="1090" t="s">
        <v>1645</v>
      </c>
      <c r="F408" s="1016" t="s">
        <v>1648</v>
      </c>
      <c r="G408" s="1017" t="s">
        <v>1625</v>
      </c>
      <c r="H408" s="1141" t="s">
        <v>1638</v>
      </c>
      <c r="I408" s="1017">
        <v>6</v>
      </c>
      <c r="J408" s="1049" t="s">
        <v>1629</v>
      </c>
      <c r="K408" s="1017" t="s">
        <v>674</v>
      </c>
      <c r="L408" s="1019" t="s">
        <v>675</v>
      </c>
      <c r="M408" s="1020">
        <v>20000000</v>
      </c>
      <c r="N408" s="1037" t="s">
        <v>741</v>
      </c>
      <c r="O408" s="1037" t="s">
        <v>1620</v>
      </c>
      <c r="P408" s="1037"/>
      <c r="Q408" s="1017"/>
      <c r="R408" s="1022"/>
      <c r="S408" s="1130"/>
      <c r="T408" s="1156"/>
    </row>
    <row r="409" spans="1:20" s="995" customFormat="1" ht="105.6" x14ac:dyDescent="0.3">
      <c r="A409" s="1023">
        <v>2022404</v>
      </c>
      <c r="B409" s="1023">
        <v>7658</v>
      </c>
      <c r="C409" s="1023" t="s">
        <v>679</v>
      </c>
      <c r="D409" s="1039" t="s">
        <v>692</v>
      </c>
      <c r="E409" s="1040">
        <v>80111600</v>
      </c>
      <c r="F409" s="1026" t="s">
        <v>1049</v>
      </c>
      <c r="G409" s="1027" t="s">
        <v>1617</v>
      </c>
      <c r="H409" s="1141" t="s">
        <v>1617</v>
      </c>
      <c r="I409" s="1027">
        <v>7</v>
      </c>
      <c r="J409" s="1027" t="s">
        <v>1649</v>
      </c>
      <c r="K409" s="1027" t="s">
        <v>674</v>
      </c>
      <c r="L409" s="1029" t="s">
        <v>675</v>
      </c>
      <c r="M409" s="1092">
        <v>26950000</v>
      </c>
      <c r="N409" s="1083" t="s">
        <v>741</v>
      </c>
      <c r="O409" s="1083" t="s">
        <v>1620</v>
      </c>
      <c r="P409" s="1083"/>
      <c r="Q409" s="1027"/>
      <c r="R409" s="1022"/>
      <c r="S409" s="1130">
        <v>99</v>
      </c>
      <c r="T409" s="1156">
        <v>26950000</v>
      </c>
    </row>
    <row r="410" spans="1:20" s="995" customFormat="1" ht="105.6" x14ac:dyDescent="0.3">
      <c r="A410" s="1013">
        <v>2022405</v>
      </c>
      <c r="B410" s="1013">
        <v>7658</v>
      </c>
      <c r="C410" s="1013" t="s">
        <v>679</v>
      </c>
      <c r="D410" s="1045" t="s">
        <v>692</v>
      </c>
      <c r="E410" s="1046">
        <v>80111600</v>
      </c>
      <c r="F410" s="1016" t="s">
        <v>1049</v>
      </c>
      <c r="G410" s="1017" t="s">
        <v>1617</v>
      </c>
      <c r="H410" s="1141" t="s">
        <v>1617</v>
      </c>
      <c r="I410" s="1017">
        <v>3</v>
      </c>
      <c r="J410" s="1017" t="s">
        <v>1649</v>
      </c>
      <c r="K410" s="1017" t="s">
        <v>674</v>
      </c>
      <c r="L410" s="1019" t="s">
        <v>675</v>
      </c>
      <c r="M410" s="1093">
        <v>13500000</v>
      </c>
      <c r="N410" s="1037" t="s">
        <v>741</v>
      </c>
      <c r="O410" s="1037" t="s">
        <v>1620</v>
      </c>
      <c r="P410" s="1037"/>
      <c r="Q410" s="1017"/>
      <c r="R410" s="1022"/>
      <c r="S410" s="1130"/>
      <c r="T410" s="1156"/>
    </row>
    <row r="411" spans="1:20" s="995" customFormat="1" ht="105.6" x14ac:dyDescent="0.3">
      <c r="A411" s="1023">
        <v>2022406</v>
      </c>
      <c r="B411" s="1023">
        <v>7658</v>
      </c>
      <c r="C411" s="1023" t="s">
        <v>679</v>
      </c>
      <c r="D411" s="1039" t="s">
        <v>692</v>
      </c>
      <c r="E411" s="1040">
        <v>80111600</v>
      </c>
      <c r="F411" s="1026" t="s">
        <v>1050</v>
      </c>
      <c r="G411" s="1027" t="s">
        <v>1617</v>
      </c>
      <c r="H411" s="1141" t="s">
        <v>1617</v>
      </c>
      <c r="I411" s="1027">
        <v>10</v>
      </c>
      <c r="J411" s="1027" t="s">
        <v>1649</v>
      </c>
      <c r="K411" s="1027" t="s">
        <v>674</v>
      </c>
      <c r="L411" s="1029" t="s">
        <v>675</v>
      </c>
      <c r="M411" s="1092">
        <v>82400000</v>
      </c>
      <c r="N411" s="1083" t="s">
        <v>741</v>
      </c>
      <c r="O411" s="1083" t="s">
        <v>1620</v>
      </c>
      <c r="P411" s="1083"/>
      <c r="Q411" s="1027"/>
      <c r="R411" s="1022"/>
      <c r="S411" s="1130">
        <v>100</v>
      </c>
      <c r="T411" s="1156">
        <v>82400000</v>
      </c>
    </row>
    <row r="412" spans="1:20" s="995" customFormat="1" ht="105.6" x14ac:dyDescent="0.3">
      <c r="A412" s="1023">
        <v>2022407</v>
      </c>
      <c r="B412" s="1023">
        <v>7658</v>
      </c>
      <c r="C412" s="1023" t="s">
        <v>679</v>
      </c>
      <c r="D412" s="1039" t="s">
        <v>692</v>
      </c>
      <c r="E412" s="1040">
        <v>80111600</v>
      </c>
      <c r="F412" s="1026" t="s">
        <v>1051</v>
      </c>
      <c r="G412" s="1027" t="s">
        <v>1617</v>
      </c>
      <c r="H412" s="1141" t="s">
        <v>1617</v>
      </c>
      <c r="I412" s="1027">
        <v>6</v>
      </c>
      <c r="J412" s="1027" t="s">
        <v>1649</v>
      </c>
      <c r="K412" s="1027" t="s">
        <v>674</v>
      </c>
      <c r="L412" s="1029" t="s">
        <v>675</v>
      </c>
      <c r="M412" s="1092">
        <v>49440000</v>
      </c>
      <c r="N412" s="1083" t="s">
        <v>741</v>
      </c>
      <c r="O412" s="1083" t="s">
        <v>1620</v>
      </c>
      <c r="P412" s="1083"/>
      <c r="Q412" s="1027"/>
      <c r="R412" s="1022"/>
      <c r="S412" s="1130">
        <v>101</v>
      </c>
      <c r="T412" s="1156">
        <v>49440000</v>
      </c>
    </row>
    <row r="413" spans="1:20" s="995" customFormat="1" ht="105.6" x14ac:dyDescent="0.3">
      <c r="A413" s="1023">
        <v>2022408</v>
      </c>
      <c r="B413" s="1023">
        <v>7658</v>
      </c>
      <c r="C413" s="1023" t="s">
        <v>679</v>
      </c>
      <c r="D413" s="1039" t="s">
        <v>692</v>
      </c>
      <c r="E413" s="1040">
        <v>80111600</v>
      </c>
      <c r="F413" s="1026" t="s">
        <v>1051</v>
      </c>
      <c r="G413" s="1027" t="s">
        <v>1617</v>
      </c>
      <c r="H413" s="1141" t="s">
        <v>1617</v>
      </c>
      <c r="I413" s="1027">
        <v>4</v>
      </c>
      <c r="J413" s="1027" t="s">
        <v>1649</v>
      </c>
      <c r="K413" s="1027" t="s">
        <v>674</v>
      </c>
      <c r="L413" s="1029" t="s">
        <v>675</v>
      </c>
      <c r="M413" s="1092">
        <v>32960000</v>
      </c>
      <c r="N413" s="1083" t="s">
        <v>741</v>
      </c>
      <c r="O413" s="1083" t="s">
        <v>1620</v>
      </c>
      <c r="P413" s="1083"/>
      <c r="Q413" s="1027"/>
      <c r="R413" s="1022"/>
      <c r="S413" s="1130">
        <v>102</v>
      </c>
      <c r="T413" s="1156">
        <v>42000000</v>
      </c>
    </row>
    <row r="414" spans="1:20" s="995" customFormat="1" ht="105.6" x14ac:dyDescent="0.3">
      <c r="A414" s="1013">
        <v>2022409</v>
      </c>
      <c r="B414" s="1013">
        <v>7658</v>
      </c>
      <c r="C414" s="1013" t="s">
        <v>679</v>
      </c>
      <c r="D414" s="1045" t="s">
        <v>692</v>
      </c>
      <c r="E414" s="1046">
        <v>80111601</v>
      </c>
      <c r="F414" s="1016" t="s">
        <v>1052</v>
      </c>
      <c r="G414" s="1017" t="s">
        <v>1617</v>
      </c>
      <c r="H414" s="1141" t="s">
        <v>1617</v>
      </c>
      <c r="I414" s="1017">
        <v>6</v>
      </c>
      <c r="J414" s="1017" t="s">
        <v>1649</v>
      </c>
      <c r="K414" s="1017" t="s">
        <v>674</v>
      </c>
      <c r="L414" s="1019" t="s">
        <v>675</v>
      </c>
      <c r="M414" s="1093">
        <v>42000000</v>
      </c>
      <c r="N414" s="1037" t="s">
        <v>741</v>
      </c>
      <c r="O414" s="1037" t="s">
        <v>1620</v>
      </c>
      <c r="P414" s="1037"/>
      <c r="Q414" s="1017"/>
      <c r="R414" s="1022"/>
      <c r="S414" s="1130"/>
      <c r="T414" s="1156"/>
    </row>
    <row r="415" spans="1:20" s="995" customFormat="1" ht="105.6" x14ac:dyDescent="0.3">
      <c r="A415" s="1013">
        <v>2022410</v>
      </c>
      <c r="B415" s="1013">
        <v>7658</v>
      </c>
      <c r="C415" s="1013" t="s">
        <v>679</v>
      </c>
      <c r="D415" s="1045" t="s">
        <v>692</v>
      </c>
      <c r="E415" s="1046">
        <v>80111601</v>
      </c>
      <c r="F415" s="1016" t="s">
        <v>1052</v>
      </c>
      <c r="G415" s="1017" t="s">
        <v>1617</v>
      </c>
      <c r="H415" s="1141" t="s">
        <v>1617</v>
      </c>
      <c r="I415" s="1017">
        <v>4</v>
      </c>
      <c r="J415" s="1017" t="s">
        <v>1649</v>
      </c>
      <c r="K415" s="1017" t="s">
        <v>674</v>
      </c>
      <c r="L415" s="1019" t="s">
        <v>675</v>
      </c>
      <c r="M415" s="1093">
        <v>28000000</v>
      </c>
      <c r="N415" s="1037" t="s">
        <v>741</v>
      </c>
      <c r="O415" s="1037" t="s">
        <v>1620</v>
      </c>
      <c r="P415" s="1037"/>
      <c r="Q415" s="1017"/>
      <c r="R415" s="1022"/>
      <c r="S415" s="1130"/>
      <c r="T415" s="1156"/>
    </row>
    <row r="416" spans="1:20" s="995" customFormat="1" ht="105.6" x14ac:dyDescent="0.3">
      <c r="A416" s="1023">
        <v>2022411</v>
      </c>
      <c r="B416" s="1023">
        <v>7658</v>
      </c>
      <c r="C416" s="1023" t="s">
        <v>679</v>
      </c>
      <c r="D416" s="1039" t="s">
        <v>692</v>
      </c>
      <c r="E416" s="1040">
        <v>80111601</v>
      </c>
      <c r="F416" s="1026" t="s">
        <v>1054</v>
      </c>
      <c r="G416" s="1027" t="s">
        <v>1617</v>
      </c>
      <c r="H416" s="1141" t="s">
        <v>1617</v>
      </c>
      <c r="I416" s="1027">
        <v>10</v>
      </c>
      <c r="J416" s="1027" t="s">
        <v>1649</v>
      </c>
      <c r="K416" s="1027" t="s">
        <v>674</v>
      </c>
      <c r="L416" s="1029" t="s">
        <v>675</v>
      </c>
      <c r="M416" s="1092">
        <v>60000000</v>
      </c>
      <c r="N416" s="1083" t="s">
        <v>741</v>
      </c>
      <c r="O416" s="1083" t="s">
        <v>1620</v>
      </c>
      <c r="P416" s="1083"/>
      <c r="Q416" s="1027"/>
      <c r="R416" s="1022"/>
      <c r="S416" s="1130">
        <v>264</v>
      </c>
      <c r="T416" s="1156">
        <v>60000000</v>
      </c>
    </row>
    <row r="417" spans="1:20" s="995" customFormat="1" ht="105.6" x14ac:dyDescent="0.3">
      <c r="A417" s="1023">
        <v>2022412</v>
      </c>
      <c r="B417" s="1023">
        <v>7658</v>
      </c>
      <c r="C417" s="1023" t="s">
        <v>679</v>
      </c>
      <c r="D417" s="1039" t="s">
        <v>692</v>
      </c>
      <c r="E417" s="1040">
        <v>80111600</v>
      </c>
      <c r="F417" s="1026" t="s">
        <v>1055</v>
      </c>
      <c r="G417" s="1027" t="s">
        <v>1617</v>
      </c>
      <c r="H417" s="1141" t="s">
        <v>1617</v>
      </c>
      <c r="I417" s="1027">
        <v>10</v>
      </c>
      <c r="J417" s="1027" t="s">
        <v>1649</v>
      </c>
      <c r="K417" s="1027" t="s">
        <v>674</v>
      </c>
      <c r="L417" s="1029" t="s">
        <v>675</v>
      </c>
      <c r="M417" s="1092">
        <v>42000000</v>
      </c>
      <c r="N417" s="1083" t="s">
        <v>741</v>
      </c>
      <c r="O417" s="1083" t="s">
        <v>1620</v>
      </c>
      <c r="P417" s="1083"/>
      <c r="Q417" s="1027"/>
      <c r="R417" s="1022"/>
      <c r="S417" s="1130">
        <v>133</v>
      </c>
      <c r="T417" s="1156">
        <v>42000000</v>
      </c>
    </row>
    <row r="418" spans="1:20" s="995" customFormat="1" ht="105.6" x14ac:dyDescent="0.3">
      <c r="A418" s="1023">
        <v>2022413</v>
      </c>
      <c r="B418" s="1023">
        <v>7658</v>
      </c>
      <c r="C418" s="1023" t="s">
        <v>679</v>
      </c>
      <c r="D418" s="1039" t="s">
        <v>692</v>
      </c>
      <c r="E418" s="1040">
        <v>80111600</v>
      </c>
      <c r="F418" s="1026" t="s">
        <v>1056</v>
      </c>
      <c r="G418" s="1027" t="s">
        <v>1617</v>
      </c>
      <c r="H418" s="1141" t="s">
        <v>1617</v>
      </c>
      <c r="I418" s="1027">
        <v>10</v>
      </c>
      <c r="J418" s="1027" t="s">
        <v>1649</v>
      </c>
      <c r="K418" s="1027" t="s">
        <v>674</v>
      </c>
      <c r="L418" s="1029" t="s">
        <v>675</v>
      </c>
      <c r="M418" s="1092">
        <v>82400000</v>
      </c>
      <c r="N418" s="1083" t="s">
        <v>741</v>
      </c>
      <c r="O418" s="1083" t="s">
        <v>1620</v>
      </c>
      <c r="P418" s="1083"/>
      <c r="Q418" s="1027"/>
      <c r="R418" s="1022"/>
      <c r="S418" s="1130">
        <v>76</v>
      </c>
      <c r="T418" s="1156">
        <v>82400000</v>
      </c>
    </row>
    <row r="419" spans="1:20" s="995" customFormat="1" ht="105.6" x14ac:dyDescent="0.3">
      <c r="A419" s="1023">
        <v>2022414</v>
      </c>
      <c r="B419" s="1023">
        <v>7658</v>
      </c>
      <c r="C419" s="1023" t="s">
        <v>679</v>
      </c>
      <c r="D419" s="1039" t="s">
        <v>692</v>
      </c>
      <c r="E419" s="1040">
        <v>80111600</v>
      </c>
      <c r="F419" s="1026" t="s">
        <v>1057</v>
      </c>
      <c r="G419" s="1027" t="s">
        <v>1617</v>
      </c>
      <c r="H419" s="1141" t="s">
        <v>1617</v>
      </c>
      <c r="I419" s="1027">
        <v>10</v>
      </c>
      <c r="J419" s="1027" t="s">
        <v>1649</v>
      </c>
      <c r="K419" s="1027" t="s">
        <v>674</v>
      </c>
      <c r="L419" s="1029" t="s">
        <v>675</v>
      </c>
      <c r="M419" s="1092">
        <v>42000000</v>
      </c>
      <c r="N419" s="1083" t="s">
        <v>741</v>
      </c>
      <c r="O419" s="1083" t="s">
        <v>1620</v>
      </c>
      <c r="P419" s="1083"/>
      <c r="Q419" s="1027"/>
      <c r="R419" s="1022"/>
      <c r="S419" s="1130">
        <v>108</v>
      </c>
      <c r="T419" s="1156">
        <v>42000000</v>
      </c>
    </row>
    <row r="420" spans="1:20" s="995" customFormat="1" ht="105.6" x14ac:dyDescent="0.3">
      <c r="A420" s="1023">
        <v>2022415</v>
      </c>
      <c r="B420" s="1023">
        <v>7658</v>
      </c>
      <c r="C420" s="1023" t="s">
        <v>679</v>
      </c>
      <c r="D420" s="1039" t="s">
        <v>692</v>
      </c>
      <c r="E420" s="1040">
        <v>80111600</v>
      </c>
      <c r="F420" s="1026" t="s">
        <v>1058</v>
      </c>
      <c r="G420" s="1027" t="s">
        <v>1617</v>
      </c>
      <c r="H420" s="1141" t="s">
        <v>1617</v>
      </c>
      <c r="I420" s="1027">
        <v>10</v>
      </c>
      <c r="J420" s="1027" t="s">
        <v>1649</v>
      </c>
      <c r="K420" s="1027" t="s">
        <v>674</v>
      </c>
      <c r="L420" s="1029" t="s">
        <v>675</v>
      </c>
      <c r="M420" s="1092">
        <v>50000000</v>
      </c>
      <c r="N420" s="1083" t="s">
        <v>741</v>
      </c>
      <c r="O420" s="1083" t="s">
        <v>1620</v>
      </c>
      <c r="P420" s="1083"/>
      <c r="Q420" s="1027"/>
      <c r="R420" s="1022"/>
      <c r="S420" s="1130">
        <v>333</v>
      </c>
      <c r="T420" s="1156">
        <v>50000000</v>
      </c>
    </row>
    <row r="421" spans="1:20" s="995" customFormat="1" ht="105.6" x14ac:dyDescent="0.3">
      <c r="A421" s="1023">
        <v>2022416</v>
      </c>
      <c r="B421" s="1023">
        <v>7658</v>
      </c>
      <c r="C421" s="1023" t="s">
        <v>679</v>
      </c>
      <c r="D421" s="1039" t="s">
        <v>692</v>
      </c>
      <c r="E421" s="1040">
        <v>80111600</v>
      </c>
      <c r="F421" s="1026" t="s">
        <v>1059</v>
      </c>
      <c r="G421" s="1027" t="s">
        <v>1617</v>
      </c>
      <c r="H421" s="1141" t="s">
        <v>1617</v>
      </c>
      <c r="I421" s="1027">
        <v>6</v>
      </c>
      <c r="J421" s="1027" t="s">
        <v>1649</v>
      </c>
      <c r="K421" s="1027" t="s">
        <v>674</v>
      </c>
      <c r="L421" s="1029" t="s">
        <v>675</v>
      </c>
      <c r="M421" s="1092">
        <v>20100000</v>
      </c>
      <c r="N421" s="1083" t="s">
        <v>741</v>
      </c>
      <c r="O421" s="1083" t="s">
        <v>1620</v>
      </c>
      <c r="P421" s="1083"/>
      <c r="Q421" s="1027"/>
      <c r="R421" s="1022"/>
      <c r="S421" s="1130">
        <v>109</v>
      </c>
      <c r="T421" s="1156">
        <v>13400000</v>
      </c>
    </row>
    <row r="422" spans="1:20" s="995" customFormat="1" ht="105.6" x14ac:dyDescent="0.3">
      <c r="A422" s="1023">
        <v>2022417</v>
      </c>
      <c r="B422" s="1023">
        <v>7658</v>
      </c>
      <c r="C422" s="1023" t="s">
        <v>679</v>
      </c>
      <c r="D422" s="1039" t="s">
        <v>692</v>
      </c>
      <c r="E422" s="1040">
        <v>80111600</v>
      </c>
      <c r="F422" s="1026" t="s">
        <v>1060</v>
      </c>
      <c r="G422" s="1027" t="s">
        <v>1617</v>
      </c>
      <c r="H422" s="1141" t="s">
        <v>1617</v>
      </c>
      <c r="I422" s="1027">
        <v>4</v>
      </c>
      <c r="J422" s="1027" t="s">
        <v>1649</v>
      </c>
      <c r="K422" s="1027" t="s">
        <v>674</v>
      </c>
      <c r="L422" s="1029" t="s">
        <v>675</v>
      </c>
      <c r="M422" s="1092">
        <v>20600000</v>
      </c>
      <c r="N422" s="1083" t="s">
        <v>741</v>
      </c>
      <c r="O422" s="1083" t="s">
        <v>1620</v>
      </c>
      <c r="P422" s="1083"/>
      <c r="Q422" s="1027"/>
      <c r="R422" s="1022"/>
      <c r="S422" s="1130">
        <v>106</v>
      </c>
      <c r="T422" s="1156">
        <v>20600000</v>
      </c>
    </row>
    <row r="423" spans="1:20" s="995" customFormat="1" ht="105.6" x14ac:dyDescent="0.3">
      <c r="A423" s="1013">
        <v>2022418</v>
      </c>
      <c r="B423" s="1013">
        <v>7658</v>
      </c>
      <c r="C423" s="1013" t="s">
        <v>679</v>
      </c>
      <c r="D423" s="1045" t="s">
        <v>692</v>
      </c>
      <c r="E423" s="1046">
        <v>80111600</v>
      </c>
      <c r="F423" s="1016" t="s">
        <v>1060</v>
      </c>
      <c r="G423" s="1017" t="s">
        <v>1617</v>
      </c>
      <c r="H423" s="1141" t="s">
        <v>1617</v>
      </c>
      <c r="I423" s="1017">
        <v>6</v>
      </c>
      <c r="J423" s="1017" t="s">
        <v>1649</v>
      </c>
      <c r="K423" s="1017" t="s">
        <v>674</v>
      </c>
      <c r="L423" s="1019" t="s">
        <v>675</v>
      </c>
      <c r="M423" s="1093">
        <v>30900000</v>
      </c>
      <c r="N423" s="1037" t="s">
        <v>741</v>
      </c>
      <c r="O423" s="1037" t="s">
        <v>1620</v>
      </c>
      <c r="P423" s="1037"/>
      <c r="Q423" s="1017"/>
      <c r="R423" s="1022"/>
      <c r="S423" s="1130"/>
      <c r="T423" s="1156"/>
    </row>
    <row r="424" spans="1:20" s="995" customFormat="1" ht="105.6" x14ac:dyDescent="0.3">
      <c r="A424" s="1023">
        <v>2022419</v>
      </c>
      <c r="B424" s="1023">
        <v>7658</v>
      </c>
      <c r="C424" s="1023" t="s">
        <v>679</v>
      </c>
      <c r="D424" s="1039" t="s">
        <v>692</v>
      </c>
      <c r="E424" s="1040">
        <v>80111600</v>
      </c>
      <c r="F424" s="1026" t="s">
        <v>1062</v>
      </c>
      <c r="G424" s="1027" t="s">
        <v>1617</v>
      </c>
      <c r="H424" s="1141" t="s">
        <v>1617</v>
      </c>
      <c r="I424" s="1027">
        <v>10</v>
      </c>
      <c r="J424" s="1027" t="s">
        <v>1649</v>
      </c>
      <c r="K424" s="1027" t="s">
        <v>674</v>
      </c>
      <c r="L424" s="1029" t="s">
        <v>675</v>
      </c>
      <c r="M424" s="1092">
        <v>28000000</v>
      </c>
      <c r="N424" s="1083" t="s">
        <v>741</v>
      </c>
      <c r="O424" s="1083" t="s">
        <v>1620</v>
      </c>
      <c r="P424" s="1083"/>
      <c r="Q424" s="1027"/>
      <c r="R424" s="1022"/>
      <c r="S424" s="1130">
        <v>298</v>
      </c>
      <c r="T424" s="1156">
        <v>28000000</v>
      </c>
    </row>
    <row r="425" spans="1:20" s="995" customFormat="1" ht="105.6" x14ac:dyDescent="0.3">
      <c r="A425" s="1023">
        <v>2022420</v>
      </c>
      <c r="B425" s="1023">
        <v>7658</v>
      </c>
      <c r="C425" s="1023" t="s">
        <v>679</v>
      </c>
      <c r="D425" s="1039" t="s">
        <v>692</v>
      </c>
      <c r="E425" s="1040">
        <v>80111600</v>
      </c>
      <c r="F425" s="1026" t="s">
        <v>1063</v>
      </c>
      <c r="G425" s="1027" t="s">
        <v>1617</v>
      </c>
      <c r="H425" s="1141" t="s">
        <v>1617</v>
      </c>
      <c r="I425" s="1027">
        <v>10</v>
      </c>
      <c r="J425" s="1027" t="s">
        <v>1649</v>
      </c>
      <c r="K425" s="1027" t="s">
        <v>674</v>
      </c>
      <c r="L425" s="1029" t="s">
        <v>675</v>
      </c>
      <c r="M425" s="1092">
        <v>28500000</v>
      </c>
      <c r="N425" s="1083" t="s">
        <v>741</v>
      </c>
      <c r="O425" s="1083" t="s">
        <v>1620</v>
      </c>
      <c r="P425" s="1083"/>
      <c r="Q425" s="1027"/>
      <c r="R425" s="1022"/>
      <c r="S425" s="1130">
        <v>206</v>
      </c>
      <c r="T425" s="1156">
        <v>28500000</v>
      </c>
    </row>
    <row r="426" spans="1:20" s="995" customFormat="1" ht="105.6" x14ac:dyDescent="0.3">
      <c r="A426" s="1023">
        <v>2022421</v>
      </c>
      <c r="B426" s="1023">
        <v>7658</v>
      </c>
      <c r="C426" s="1023" t="s">
        <v>679</v>
      </c>
      <c r="D426" s="1039" t="s">
        <v>692</v>
      </c>
      <c r="E426" s="1040">
        <v>80111600</v>
      </c>
      <c r="F426" s="1026" t="s">
        <v>1064</v>
      </c>
      <c r="G426" s="1027" t="s">
        <v>1617</v>
      </c>
      <c r="H426" s="1141" t="s">
        <v>1617</v>
      </c>
      <c r="I426" s="1027">
        <v>10</v>
      </c>
      <c r="J426" s="1027" t="s">
        <v>1649</v>
      </c>
      <c r="K426" s="1027" t="s">
        <v>674</v>
      </c>
      <c r="L426" s="1029" t="s">
        <v>675</v>
      </c>
      <c r="M426" s="1092">
        <v>45000000</v>
      </c>
      <c r="N426" s="1083" t="s">
        <v>741</v>
      </c>
      <c r="O426" s="1083" t="s">
        <v>1620</v>
      </c>
      <c r="P426" s="1083"/>
      <c r="Q426" s="1027"/>
      <c r="R426" s="1022"/>
      <c r="S426" s="1130">
        <v>392</v>
      </c>
      <c r="T426" s="1156">
        <v>38500000</v>
      </c>
    </row>
    <row r="427" spans="1:20" s="995" customFormat="1" ht="105.6" x14ac:dyDescent="0.3">
      <c r="A427" s="1023">
        <v>2022422</v>
      </c>
      <c r="B427" s="1023">
        <v>7658</v>
      </c>
      <c r="C427" s="1023" t="s">
        <v>679</v>
      </c>
      <c r="D427" s="1039" t="s">
        <v>692</v>
      </c>
      <c r="E427" s="1040">
        <v>80111600</v>
      </c>
      <c r="F427" s="1026" t="s">
        <v>1065</v>
      </c>
      <c r="G427" s="1027" t="s">
        <v>1617</v>
      </c>
      <c r="H427" s="1141" t="s">
        <v>1617</v>
      </c>
      <c r="I427" s="1027">
        <v>10</v>
      </c>
      <c r="J427" s="1027" t="s">
        <v>1649</v>
      </c>
      <c r="K427" s="1027" t="s">
        <v>674</v>
      </c>
      <c r="L427" s="1029" t="s">
        <v>675</v>
      </c>
      <c r="M427" s="1092">
        <v>33000000</v>
      </c>
      <c r="N427" s="1083" t="s">
        <v>741</v>
      </c>
      <c r="O427" s="1083" t="s">
        <v>1620</v>
      </c>
      <c r="P427" s="1083"/>
      <c r="Q427" s="1027"/>
      <c r="R427" s="1022"/>
      <c r="S427" s="1130">
        <v>273</v>
      </c>
      <c r="T427" s="1156">
        <v>33000000</v>
      </c>
    </row>
    <row r="428" spans="1:20" s="995" customFormat="1" ht="105.6" x14ac:dyDescent="0.3">
      <c r="A428" s="1023">
        <v>2022423</v>
      </c>
      <c r="B428" s="1023">
        <v>7658</v>
      </c>
      <c r="C428" s="1023" t="s">
        <v>679</v>
      </c>
      <c r="D428" s="1039" t="s">
        <v>692</v>
      </c>
      <c r="E428" s="1040">
        <v>80111600</v>
      </c>
      <c r="F428" s="1026" t="s">
        <v>1065</v>
      </c>
      <c r="G428" s="1027" t="s">
        <v>1617</v>
      </c>
      <c r="H428" s="1141" t="s">
        <v>1617</v>
      </c>
      <c r="I428" s="1027">
        <v>10</v>
      </c>
      <c r="J428" s="1027" t="s">
        <v>1649</v>
      </c>
      <c r="K428" s="1027" t="s">
        <v>674</v>
      </c>
      <c r="L428" s="1029" t="s">
        <v>675</v>
      </c>
      <c r="M428" s="1092">
        <v>24500000</v>
      </c>
      <c r="N428" s="1083" t="s">
        <v>741</v>
      </c>
      <c r="O428" s="1083" t="s">
        <v>1620</v>
      </c>
      <c r="P428" s="1083"/>
      <c r="Q428" s="1027"/>
      <c r="R428" s="1022"/>
      <c r="S428" s="1130">
        <v>297</v>
      </c>
      <c r="T428" s="1156">
        <v>24500000</v>
      </c>
    </row>
    <row r="429" spans="1:20" s="995" customFormat="1" ht="105.6" x14ac:dyDescent="0.3">
      <c r="A429" s="1023">
        <v>2022424</v>
      </c>
      <c r="B429" s="1023">
        <v>7658</v>
      </c>
      <c r="C429" s="1023" t="s">
        <v>679</v>
      </c>
      <c r="D429" s="1039" t="s">
        <v>692</v>
      </c>
      <c r="E429" s="1040">
        <v>80111600</v>
      </c>
      <c r="F429" s="1026" t="s">
        <v>1065</v>
      </c>
      <c r="G429" s="1027" t="s">
        <v>1617</v>
      </c>
      <c r="H429" s="1141" t="s">
        <v>1617</v>
      </c>
      <c r="I429" s="1027">
        <v>10</v>
      </c>
      <c r="J429" s="1027" t="s">
        <v>1649</v>
      </c>
      <c r="K429" s="1027" t="s">
        <v>674</v>
      </c>
      <c r="L429" s="1029" t="s">
        <v>675</v>
      </c>
      <c r="M429" s="1092">
        <v>33000000</v>
      </c>
      <c r="N429" s="1083" t="s">
        <v>741</v>
      </c>
      <c r="O429" s="1083" t="s">
        <v>1620</v>
      </c>
      <c r="P429" s="1083"/>
      <c r="Q429" s="1027"/>
      <c r="R429" s="1022"/>
      <c r="S429" s="1130">
        <v>471</v>
      </c>
      <c r="T429" s="1156">
        <v>19800000</v>
      </c>
    </row>
    <row r="430" spans="1:20" s="995" customFormat="1" ht="105.6" x14ac:dyDescent="0.3">
      <c r="A430" s="1023">
        <v>2022425</v>
      </c>
      <c r="B430" s="1023">
        <v>7658</v>
      </c>
      <c r="C430" s="1023" t="s">
        <v>679</v>
      </c>
      <c r="D430" s="1039" t="s">
        <v>692</v>
      </c>
      <c r="E430" s="1040">
        <v>80111600</v>
      </c>
      <c r="F430" s="1026" t="s">
        <v>1065</v>
      </c>
      <c r="G430" s="1027" t="s">
        <v>1617</v>
      </c>
      <c r="H430" s="1141" t="s">
        <v>1617</v>
      </c>
      <c r="I430" s="1027">
        <v>10</v>
      </c>
      <c r="J430" s="1027" t="s">
        <v>1649</v>
      </c>
      <c r="K430" s="1027" t="s">
        <v>674</v>
      </c>
      <c r="L430" s="1029" t="s">
        <v>675</v>
      </c>
      <c r="M430" s="1092">
        <v>27500000</v>
      </c>
      <c r="N430" s="1083" t="s">
        <v>741</v>
      </c>
      <c r="O430" s="1083" t="s">
        <v>1620</v>
      </c>
      <c r="P430" s="1083"/>
      <c r="Q430" s="1027"/>
      <c r="R430" s="1022"/>
      <c r="S430" s="1130">
        <v>348</v>
      </c>
      <c r="T430" s="1156">
        <v>26400000</v>
      </c>
    </row>
    <row r="431" spans="1:20" s="995" customFormat="1" ht="105.6" x14ac:dyDescent="0.3">
      <c r="A431" s="1023">
        <v>2022426</v>
      </c>
      <c r="B431" s="1023">
        <v>7658</v>
      </c>
      <c r="C431" s="1023" t="s">
        <v>679</v>
      </c>
      <c r="D431" s="1039" t="s">
        <v>692</v>
      </c>
      <c r="E431" s="1040">
        <v>80111600</v>
      </c>
      <c r="F431" s="1026" t="s">
        <v>1065</v>
      </c>
      <c r="G431" s="1027" t="s">
        <v>1617</v>
      </c>
      <c r="H431" s="1141" t="s">
        <v>1617</v>
      </c>
      <c r="I431" s="1027">
        <v>10</v>
      </c>
      <c r="J431" s="1027" t="s">
        <v>1649</v>
      </c>
      <c r="K431" s="1027" t="s">
        <v>674</v>
      </c>
      <c r="L431" s="1029" t="s">
        <v>675</v>
      </c>
      <c r="M431" s="1092">
        <v>33000000</v>
      </c>
      <c r="N431" s="1083" t="s">
        <v>741</v>
      </c>
      <c r="O431" s="1083" t="s">
        <v>1620</v>
      </c>
      <c r="P431" s="1083"/>
      <c r="Q431" s="1027"/>
      <c r="R431" s="1022"/>
      <c r="S431" s="1130">
        <v>427</v>
      </c>
      <c r="T431" s="1156">
        <v>14700000</v>
      </c>
    </row>
    <row r="432" spans="1:20" s="995" customFormat="1" ht="105.6" x14ac:dyDescent="0.3">
      <c r="A432" s="1023">
        <v>2022427</v>
      </c>
      <c r="B432" s="1023">
        <v>7658</v>
      </c>
      <c r="C432" s="1023" t="s">
        <v>679</v>
      </c>
      <c r="D432" s="1039" t="s">
        <v>692</v>
      </c>
      <c r="E432" s="1040">
        <v>80111600</v>
      </c>
      <c r="F432" s="1026" t="s">
        <v>1065</v>
      </c>
      <c r="G432" s="1027" t="s">
        <v>1617</v>
      </c>
      <c r="H432" s="1141" t="s">
        <v>1617</v>
      </c>
      <c r="I432" s="1027">
        <v>10</v>
      </c>
      <c r="J432" s="1027" t="s">
        <v>1649</v>
      </c>
      <c r="K432" s="1027" t="s">
        <v>674</v>
      </c>
      <c r="L432" s="1029" t="s">
        <v>675</v>
      </c>
      <c r="M432" s="1092">
        <v>33000000</v>
      </c>
      <c r="N432" s="1083" t="s">
        <v>741</v>
      </c>
      <c r="O432" s="1083" t="s">
        <v>1620</v>
      </c>
      <c r="P432" s="1083"/>
      <c r="Q432" s="1027"/>
      <c r="R432" s="1022"/>
      <c r="S432" s="1130">
        <v>334</v>
      </c>
      <c r="T432" s="1156">
        <v>33000000</v>
      </c>
    </row>
    <row r="433" spans="1:20" s="995" customFormat="1" ht="105.6" x14ac:dyDescent="0.3">
      <c r="A433" s="1023">
        <v>2022428</v>
      </c>
      <c r="B433" s="1023">
        <v>7658</v>
      </c>
      <c r="C433" s="1023" t="s">
        <v>679</v>
      </c>
      <c r="D433" s="1039" t="s">
        <v>692</v>
      </c>
      <c r="E433" s="1040">
        <v>80111600</v>
      </c>
      <c r="F433" s="1026" t="s">
        <v>1062</v>
      </c>
      <c r="G433" s="1027" t="s">
        <v>1617</v>
      </c>
      <c r="H433" s="1141" t="s">
        <v>1617</v>
      </c>
      <c r="I433" s="1027">
        <v>10</v>
      </c>
      <c r="J433" s="1027" t="s">
        <v>1649</v>
      </c>
      <c r="K433" s="1027" t="s">
        <v>674</v>
      </c>
      <c r="L433" s="1029" t="s">
        <v>675</v>
      </c>
      <c r="M433" s="1092">
        <v>28000000</v>
      </c>
      <c r="N433" s="1083" t="s">
        <v>741</v>
      </c>
      <c r="O433" s="1083" t="s">
        <v>1620</v>
      </c>
      <c r="P433" s="1083"/>
      <c r="Q433" s="1027"/>
      <c r="R433" s="1022"/>
      <c r="S433" s="1130">
        <v>216</v>
      </c>
      <c r="T433" s="1156">
        <v>28000000</v>
      </c>
    </row>
    <row r="434" spans="1:20" s="995" customFormat="1" ht="105.6" x14ac:dyDescent="0.3">
      <c r="A434" s="1023">
        <v>2022429</v>
      </c>
      <c r="B434" s="1023">
        <v>7658</v>
      </c>
      <c r="C434" s="1023" t="s">
        <v>679</v>
      </c>
      <c r="D434" s="1039" t="s">
        <v>692</v>
      </c>
      <c r="E434" s="1040">
        <v>80111600</v>
      </c>
      <c r="F434" s="1026" t="s">
        <v>1062</v>
      </c>
      <c r="G434" s="1027" t="s">
        <v>1617</v>
      </c>
      <c r="H434" s="1141" t="s">
        <v>1617</v>
      </c>
      <c r="I434" s="1027">
        <v>10</v>
      </c>
      <c r="J434" s="1027" t="s">
        <v>1649</v>
      </c>
      <c r="K434" s="1027" t="s">
        <v>674</v>
      </c>
      <c r="L434" s="1029" t="s">
        <v>675</v>
      </c>
      <c r="M434" s="1092">
        <v>28000000</v>
      </c>
      <c r="N434" s="1083" t="s">
        <v>741</v>
      </c>
      <c r="O434" s="1083" t="s">
        <v>1620</v>
      </c>
      <c r="P434" s="1083"/>
      <c r="Q434" s="1027"/>
      <c r="R434" s="1022"/>
      <c r="S434" s="1130">
        <v>410</v>
      </c>
      <c r="T434" s="1156">
        <v>28000000</v>
      </c>
    </row>
    <row r="435" spans="1:20" s="995" customFormat="1" ht="105.6" x14ac:dyDescent="0.3">
      <c r="A435" s="1023">
        <v>2022430</v>
      </c>
      <c r="B435" s="1023">
        <v>7658</v>
      </c>
      <c r="C435" s="1023" t="s">
        <v>679</v>
      </c>
      <c r="D435" s="1039" t="s">
        <v>692</v>
      </c>
      <c r="E435" s="1040">
        <v>80111600</v>
      </c>
      <c r="F435" s="1026" t="s">
        <v>1066</v>
      </c>
      <c r="G435" s="1027" t="s">
        <v>1617</v>
      </c>
      <c r="H435" s="1141" t="s">
        <v>1617</v>
      </c>
      <c r="I435" s="1027">
        <v>10</v>
      </c>
      <c r="J435" s="1027" t="s">
        <v>1649</v>
      </c>
      <c r="K435" s="1027" t="s">
        <v>674</v>
      </c>
      <c r="L435" s="1029" t="s">
        <v>675</v>
      </c>
      <c r="M435" s="1092">
        <v>45000000</v>
      </c>
      <c r="N435" s="1083" t="s">
        <v>741</v>
      </c>
      <c r="O435" s="1083" t="s">
        <v>1620</v>
      </c>
      <c r="P435" s="1083"/>
      <c r="Q435" s="1027"/>
      <c r="R435" s="1022"/>
      <c r="S435" s="1130">
        <v>277</v>
      </c>
      <c r="T435" s="1156">
        <v>45000000</v>
      </c>
    </row>
    <row r="436" spans="1:20" s="995" customFormat="1" ht="105.6" x14ac:dyDescent="0.3">
      <c r="A436" s="1023">
        <v>2022431</v>
      </c>
      <c r="B436" s="1023">
        <v>7658</v>
      </c>
      <c r="C436" s="1023" t="s">
        <v>679</v>
      </c>
      <c r="D436" s="1039" t="s">
        <v>692</v>
      </c>
      <c r="E436" s="1040">
        <v>80111600</v>
      </c>
      <c r="F436" s="1026" t="s">
        <v>1067</v>
      </c>
      <c r="G436" s="1027" t="s">
        <v>1617</v>
      </c>
      <c r="H436" s="1141" t="s">
        <v>1617</v>
      </c>
      <c r="I436" s="1027">
        <v>10</v>
      </c>
      <c r="J436" s="1027" t="s">
        <v>1649</v>
      </c>
      <c r="K436" s="1027" t="s">
        <v>674</v>
      </c>
      <c r="L436" s="1029" t="s">
        <v>675</v>
      </c>
      <c r="M436" s="1092">
        <v>24500000</v>
      </c>
      <c r="N436" s="1083" t="s">
        <v>741</v>
      </c>
      <c r="O436" s="1083" t="s">
        <v>1620</v>
      </c>
      <c r="P436" s="1083"/>
      <c r="Q436" s="1027"/>
      <c r="R436" s="1022"/>
      <c r="S436" s="1130">
        <v>198</v>
      </c>
      <c r="T436" s="1156">
        <v>24500000</v>
      </c>
    </row>
    <row r="437" spans="1:20" s="995" customFormat="1" ht="105.6" x14ac:dyDescent="0.3">
      <c r="A437" s="1023">
        <v>2022432</v>
      </c>
      <c r="B437" s="1023">
        <v>7658</v>
      </c>
      <c r="C437" s="1023" t="s">
        <v>679</v>
      </c>
      <c r="D437" s="1039" t="s">
        <v>692</v>
      </c>
      <c r="E437" s="1040">
        <v>80111600</v>
      </c>
      <c r="F437" s="1026" t="s">
        <v>1067</v>
      </c>
      <c r="G437" s="1027" t="s">
        <v>1617</v>
      </c>
      <c r="H437" s="1141" t="s">
        <v>1617</v>
      </c>
      <c r="I437" s="1027">
        <v>10</v>
      </c>
      <c r="J437" s="1027" t="s">
        <v>1649</v>
      </c>
      <c r="K437" s="1027" t="s">
        <v>674</v>
      </c>
      <c r="L437" s="1029" t="s">
        <v>675</v>
      </c>
      <c r="M437" s="1092">
        <v>33000000</v>
      </c>
      <c r="N437" s="1083" t="s">
        <v>741</v>
      </c>
      <c r="O437" s="1083" t="s">
        <v>1620</v>
      </c>
      <c r="P437" s="1083"/>
      <c r="Q437" s="1027"/>
      <c r="R437" s="1022"/>
      <c r="S437" s="1130">
        <v>193</v>
      </c>
      <c r="T437" s="1156">
        <v>33000000</v>
      </c>
    </row>
    <row r="438" spans="1:20" s="995" customFormat="1" ht="105.6" x14ac:dyDescent="0.3">
      <c r="A438" s="1023">
        <v>2022433</v>
      </c>
      <c r="B438" s="1023">
        <v>7658</v>
      </c>
      <c r="C438" s="1023" t="s">
        <v>679</v>
      </c>
      <c r="D438" s="1039" t="s">
        <v>692</v>
      </c>
      <c r="E438" s="1040">
        <v>80111600</v>
      </c>
      <c r="F438" s="1026" t="s">
        <v>1067</v>
      </c>
      <c r="G438" s="1027" t="s">
        <v>1617</v>
      </c>
      <c r="H438" s="1141" t="s">
        <v>1617</v>
      </c>
      <c r="I438" s="1027">
        <v>10</v>
      </c>
      <c r="J438" s="1027" t="s">
        <v>1649</v>
      </c>
      <c r="K438" s="1027" t="s">
        <v>674</v>
      </c>
      <c r="L438" s="1029" t="s">
        <v>675</v>
      </c>
      <c r="M438" s="1092">
        <v>32000000</v>
      </c>
      <c r="N438" s="1083" t="s">
        <v>741</v>
      </c>
      <c r="O438" s="1083" t="s">
        <v>1620</v>
      </c>
      <c r="P438" s="1083"/>
      <c r="Q438" s="1027"/>
      <c r="R438" s="1022"/>
      <c r="S438" s="1130">
        <v>217</v>
      </c>
      <c r="T438" s="1156">
        <v>32000000</v>
      </c>
    </row>
    <row r="439" spans="1:20" s="995" customFormat="1" ht="105.6" x14ac:dyDescent="0.3">
      <c r="A439" s="1023">
        <v>2022434</v>
      </c>
      <c r="B439" s="1023">
        <v>7658</v>
      </c>
      <c r="C439" s="1023" t="s">
        <v>679</v>
      </c>
      <c r="D439" s="1039" t="s">
        <v>692</v>
      </c>
      <c r="E439" s="1040">
        <v>80111600</v>
      </c>
      <c r="F439" s="1026" t="s">
        <v>1067</v>
      </c>
      <c r="G439" s="1027" t="s">
        <v>1617</v>
      </c>
      <c r="H439" s="1141" t="s">
        <v>1617</v>
      </c>
      <c r="I439" s="1027">
        <v>10</v>
      </c>
      <c r="J439" s="1027" t="s">
        <v>1649</v>
      </c>
      <c r="K439" s="1027" t="s">
        <v>674</v>
      </c>
      <c r="L439" s="1029" t="s">
        <v>675</v>
      </c>
      <c r="M439" s="1092">
        <v>24500000</v>
      </c>
      <c r="N439" s="1083" t="s">
        <v>741</v>
      </c>
      <c r="O439" s="1083" t="s">
        <v>1620</v>
      </c>
      <c r="P439" s="1083"/>
      <c r="Q439" s="1027"/>
      <c r="R439" s="1022"/>
      <c r="S439" s="1130">
        <v>134</v>
      </c>
      <c r="T439" s="1156">
        <v>24500000</v>
      </c>
    </row>
    <row r="440" spans="1:20" s="995" customFormat="1" ht="105.6" x14ac:dyDescent="0.3">
      <c r="A440" s="1023">
        <v>2022435</v>
      </c>
      <c r="B440" s="1023">
        <v>7658</v>
      </c>
      <c r="C440" s="1023" t="s">
        <v>679</v>
      </c>
      <c r="D440" s="1039" t="s">
        <v>692</v>
      </c>
      <c r="E440" s="1040">
        <v>80111600</v>
      </c>
      <c r="F440" s="1026" t="s">
        <v>1067</v>
      </c>
      <c r="G440" s="1027" t="s">
        <v>1617</v>
      </c>
      <c r="H440" s="1141" t="s">
        <v>1617</v>
      </c>
      <c r="I440" s="1027">
        <v>10</v>
      </c>
      <c r="J440" s="1027" t="s">
        <v>1649</v>
      </c>
      <c r="K440" s="1027" t="s">
        <v>674</v>
      </c>
      <c r="L440" s="1029" t="s">
        <v>675</v>
      </c>
      <c r="M440" s="1092">
        <v>28500000</v>
      </c>
      <c r="N440" s="1083" t="s">
        <v>741</v>
      </c>
      <c r="O440" s="1083" t="s">
        <v>1620</v>
      </c>
      <c r="P440" s="1083"/>
      <c r="Q440" s="1027"/>
      <c r="R440" s="1022"/>
      <c r="S440" s="1130">
        <v>358</v>
      </c>
      <c r="T440" s="1156">
        <v>28500000</v>
      </c>
    </row>
    <row r="441" spans="1:20" s="995" customFormat="1" ht="105.6" x14ac:dyDescent="0.3">
      <c r="A441" s="1023">
        <v>2022436</v>
      </c>
      <c r="B441" s="1023">
        <v>7658</v>
      </c>
      <c r="C441" s="1023" t="s">
        <v>679</v>
      </c>
      <c r="D441" s="1039" t="s">
        <v>692</v>
      </c>
      <c r="E441" s="1040">
        <v>80111600</v>
      </c>
      <c r="F441" s="1026" t="s">
        <v>1067</v>
      </c>
      <c r="G441" s="1027" t="s">
        <v>1617</v>
      </c>
      <c r="H441" s="1141" t="s">
        <v>1617</v>
      </c>
      <c r="I441" s="1027">
        <v>10</v>
      </c>
      <c r="J441" s="1027" t="s">
        <v>1649</v>
      </c>
      <c r="K441" s="1027" t="s">
        <v>674</v>
      </c>
      <c r="L441" s="1029" t="s">
        <v>675</v>
      </c>
      <c r="M441" s="1092">
        <v>28500000</v>
      </c>
      <c r="N441" s="1083" t="s">
        <v>741</v>
      </c>
      <c r="O441" s="1083" t="s">
        <v>1620</v>
      </c>
      <c r="P441" s="1083"/>
      <c r="Q441" s="1027"/>
      <c r="R441" s="1022"/>
      <c r="S441" s="1130">
        <v>292</v>
      </c>
      <c r="T441" s="1156">
        <v>28500000</v>
      </c>
    </row>
    <row r="442" spans="1:20" s="995" customFormat="1" ht="105.6" x14ac:dyDescent="0.3">
      <c r="A442" s="1023">
        <v>2022437</v>
      </c>
      <c r="B442" s="1023">
        <v>7658</v>
      </c>
      <c r="C442" s="1023" t="s">
        <v>679</v>
      </c>
      <c r="D442" s="1039" t="s">
        <v>692</v>
      </c>
      <c r="E442" s="1040">
        <v>80111600</v>
      </c>
      <c r="F442" s="1026" t="s">
        <v>1067</v>
      </c>
      <c r="G442" s="1027" t="s">
        <v>1617</v>
      </c>
      <c r="H442" s="1141" t="s">
        <v>1617</v>
      </c>
      <c r="I442" s="1027">
        <v>10</v>
      </c>
      <c r="J442" s="1027" t="s">
        <v>1649</v>
      </c>
      <c r="K442" s="1027" t="s">
        <v>674</v>
      </c>
      <c r="L442" s="1029" t="s">
        <v>675</v>
      </c>
      <c r="M442" s="1092">
        <v>24500000</v>
      </c>
      <c r="N442" s="1083" t="s">
        <v>741</v>
      </c>
      <c r="O442" s="1083" t="s">
        <v>1620</v>
      </c>
      <c r="P442" s="1083"/>
      <c r="Q442" s="1027"/>
      <c r="R442" s="1022"/>
      <c r="S442" s="1130">
        <v>197</v>
      </c>
      <c r="T442" s="1156">
        <v>24500000</v>
      </c>
    </row>
    <row r="443" spans="1:20" s="995" customFormat="1" ht="105.6" x14ac:dyDescent="0.3">
      <c r="A443" s="1023">
        <v>2022438</v>
      </c>
      <c r="B443" s="1023">
        <v>7658</v>
      </c>
      <c r="C443" s="1023" t="s">
        <v>679</v>
      </c>
      <c r="D443" s="1039" t="s">
        <v>692</v>
      </c>
      <c r="E443" s="1040">
        <v>80111600</v>
      </c>
      <c r="F443" s="1026" t="s">
        <v>1067</v>
      </c>
      <c r="G443" s="1027" t="s">
        <v>1617</v>
      </c>
      <c r="H443" s="1141" t="s">
        <v>1617</v>
      </c>
      <c r="I443" s="1027">
        <v>10</v>
      </c>
      <c r="J443" s="1027" t="s">
        <v>1649</v>
      </c>
      <c r="K443" s="1027" t="s">
        <v>674</v>
      </c>
      <c r="L443" s="1029" t="s">
        <v>675</v>
      </c>
      <c r="M443" s="1092">
        <v>24500000</v>
      </c>
      <c r="N443" s="1083" t="s">
        <v>741</v>
      </c>
      <c r="O443" s="1083" t="s">
        <v>1620</v>
      </c>
      <c r="P443" s="1083"/>
      <c r="Q443" s="1027"/>
      <c r="R443" s="1022"/>
      <c r="S443" s="1130">
        <v>137</v>
      </c>
      <c r="T443" s="1156">
        <v>24500000</v>
      </c>
    </row>
    <row r="444" spans="1:20" s="995" customFormat="1" ht="105.6" x14ac:dyDescent="0.3">
      <c r="A444" s="1023">
        <v>2022439</v>
      </c>
      <c r="B444" s="1023">
        <v>7658</v>
      </c>
      <c r="C444" s="1023" t="s">
        <v>679</v>
      </c>
      <c r="D444" s="1039" t="s">
        <v>692</v>
      </c>
      <c r="E444" s="1040">
        <v>80111600</v>
      </c>
      <c r="F444" s="1026" t="s">
        <v>1067</v>
      </c>
      <c r="G444" s="1027" t="s">
        <v>1617</v>
      </c>
      <c r="H444" s="1141" t="s">
        <v>1617</v>
      </c>
      <c r="I444" s="1027">
        <v>10</v>
      </c>
      <c r="J444" s="1027" t="s">
        <v>1649</v>
      </c>
      <c r="K444" s="1027" t="s">
        <v>674</v>
      </c>
      <c r="L444" s="1029" t="s">
        <v>675</v>
      </c>
      <c r="M444" s="1092">
        <v>18000000</v>
      </c>
      <c r="N444" s="1083" t="s">
        <v>741</v>
      </c>
      <c r="O444" s="1083" t="s">
        <v>1620</v>
      </c>
      <c r="P444" s="1083"/>
      <c r="Q444" s="1027"/>
      <c r="R444" s="1022"/>
      <c r="S444" s="1130">
        <v>357</v>
      </c>
      <c r="T444" s="1156">
        <v>18000000</v>
      </c>
    </row>
    <row r="445" spans="1:20" s="995" customFormat="1" ht="105.6" x14ac:dyDescent="0.3">
      <c r="A445" s="1023">
        <v>2022440</v>
      </c>
      <c r="B445" s="1023">
        <v>7658</v>
      </c>
      <c r="C445" s="1023" t="s">
        <v>679</v>
      </c>
      <c r="D445" s="1039" t="s">
        <v>692</v>
      </c>
      <c r="E445" s="1040">
        <v>80111600</v>
      </c>
      <c r="F445" s="1026" t="s">
        <v>1067</v>
      </c>
      <c r="G445" s="1027" t="s">
        <v>1617</v>
      </c>
      <c r="H445" s="1141" t="s">
        <v>1617</v>
      </c>
      <c r="I445" s="1027">
        <v>10</v>
      </c>
      <c r="J445" s="1027" t="s">
        <v>1649</v>
      </c>
      <c r="K445" s="1027" t="s">
        <v>674</v>
      </c>
      <c r="L445" s="1029" t="s">
        <v>675</v>
      </c>
      <c r="M445" s="1092">
        <v>24500000</v>
      </c>
      <c r="N445" s="1083" t="s">
        <v>741</v>
      </c>
      <c r="O445" s="1083" t="s">
        <v>1620</v>
      </c>
      <c r="P445" s="1083"/>
      <c r="Q445" s="1027"/>
      <c r="R445" s="1022"/>
      <c r="S445" s="1130">
        <v>199</v>
      </c>
      <c r="T445" s="1156">
        <v>24500000</v>
      </c>
    </row>
    <row r="446" spans="1:20" s="995" customFormat="1" ht="105.6" x14ac:dyDescent="0.3">
      <c r="A446" s="1023">
        <v>2022441</v>
      </c>
      <c r="B446" s="1023">
        <v>7658</v>
      </c>
      <c r="C446" s="1023" t="s">
        <v>679</v>
      </c>
      <c r="D446" s="1039" t="s">
        <v>692</v>
      </c>
      <c r="E446" s="1040">
        <v>80111600</v>
      </c>
      <c r="F446" s="1026" t="s">
        <v>1067</v>
      </c>
      <c r="G446" s="1027" t="s">
        <v>1617</v>
      </c>
      <c r="H446" s="1141" t="s">
        <v>1617</v>
      </c>
      <c r="I446" s="1027">
        <v>10</v>
      </c>
      <c r="J446" s="1027" t="s">
        <v>1649</v>
      </c>
      <c r="K446" s="1027" t="s">
        <v>674</v>
      </c>
      <c r="L446" s="1029" t="s">
        <v>675</v>
      </c>
      <c r="M446" s="1092">
        <v>28500000</v>
      </c>
      <c r="N446" s="1083" t="s">
        <v>741</v>
      </c>
      <c r="O446" s="1083" t="s">
        <v>1620</v>
      </c>
      <c r="P446" s="1083"/>
      <c r="Q446" s="1027"/>
      <c r="R446" s="1022"/>
      <c r="S446" s="1130">
        <v>286</v>
      </c>
      <c r="T446" s="1156">
        <v>28500000</v>
      </c>
    </row>
    <row r="447" spans="1:20" s="995" customFormat="1" ht="105.6" x14ac:dyDescent="0.3">
      <c r="A447" s="1023">
        <v>2022442</v>
      </c>
      <c r="B447" s="1023">
        <v>7658</v>
      </c>
      <c r="C447" s="1023" t="s">
        <v>679</v>
      </c>
      <c r="D447" s="1039" t="s">
        <v>692</v>
      </c>
      <c r="E447" s="1040">
        <v>80111600</v>
      </c>
      <c r="F447" s="1026" t="s">
        <v>1068</v>
      </c>
      <c r="G447" s="1027" t="s">
        <v>1617</v>
      </c>
      <c r="H447" s="1141" t="s">
        <v>1617</v>
      </c>
      <c r="I447" s="1027">
        <v>10</v>
      </c>
      <c r="J447" s="1027" t="s">
        <v>1649</v>
      </c>
      <c r="K447" s="1027" t="s">
        <v>674</v>
      </c>
      <c r="L447" s="1029" t="s">
        <v>675</v>
      </c>
      <c r="M447" s="1092">
        <v>56650000</v>
      </c>
      <c r="N447" s="1083" t="s">
        <v>741</v>
      </c>
      <c r="O447" s="1083" t="s">
        <v>1620</v>
      </c>
      <c r="P447" s="1083"/>
      <c r="Q447" s="1027"/>
      <c r="R447" s="1022"/>
      <c r="S447" s="1130">
        <v>278</v>
      </c>
      <c r="T447" s="1156">
        <v>56650000</v>
      </c>
    </row>
    <row r="448" spans="1:20" s="995" customFormat="1" ht="105.6" x14ac:dyDescent="0.3">
      <c r="A448" s="1023">
        <v>2022443</v>
      </c>
      <c r="B448" s="1023">
        <v>7658</v>
      </c>
      <c r="C448" s="1023" t="s">
        <v>679</v>
      </c>
      <c r="D448" s="1039" t="s">
        <v>692</v>
      </c>
      <c r="E448" s="1040">
        <v>80111600</v>
      </c>
      <c r="F448" s="1026" t="s">
        <v>1069</v>
      </c>
      <c r="G448" s="1027" t="s">
        <v>1617</v>
      </c>
      <c r="H448" s="1141" t="s">
        <v>1617</v>
      </c>
      <c r="I448" s="1027">
        <v>10</v>
      </c>
      <c r="J448" s="1027" t="s">
        <v>1649</v>
      </c>
      <c r="K448" s="1027" t="s">
        <v>674</v>
      </c>
      <c r="L448" s="1029" t="s">
        <v>675</v>
      </c>
      <c r="M448" s="1092">
        <v>46350000</v>
      </c>
      <c r="N448" s="1083" t="s">
        <v>741</v>
      </c>
      <c r="O448" s="1083" t="s">
        <v>1620</v>
      </c>
      <c r="P448" s="1083"/>
      <c r="Q448" s="1027"/>
      <c r="R448" s="1022"/>
      <c r="S448" s="1130">
        <v>304</v>
      </c>
      <c r="T448" s="1156">
        <v>46350000</v>
      </c>
    </row>
    <row r="449" spans="1:20" s="995" customFormat="1" ht="105.6" x14ac:dyDescent="0.3">
      <c r="A449" s="1023">
        <v>2022444</v>
      </c>
      <c r="B449" s="1023">
        <v>7658</v>
      </c>
      <c r="C449" s="1023" t="s">
        <v>679</v>
      </c>
      <c r="D449" s="1039" t="s">
        <v>692</v>
      </c>
      <c r="E449" s="1040">
        <v>80111600</v>
      </c>
      <c r="F449" s="1026" t="s">
        <v>1069</v>
      </c>
      <c r="G449" s="1027" t="s">
        <v>1617</v>
      </c>
      <c r="H449" s="1141" t="s">
        <v>1617</v>
      </c>
      <c r="I449" s="1027">
        <v>10</v>
      </c>
      <c r="J449" s="1027" t="s">
        <v>1649</v>
      </c>
      <c r="K449" s="1027" t="s">
        <v>674</v>
      </c>
      <c r="L449" s="1029" t="s">
        <v>675</v>
      </c>
      <c r="M449" s="1092">
        <v>45000000</v>
      </c>
      <c r="N449" s="1083" t="s">
        <v>741</v>
      </c>
      <c r="O449" s="1083" t="s">
        <v>1620</v>
      </c>
      <c r="P449" s="1083"/>
      <c r="Q449" s="1027"/>
      <c r="R449" s="1022"/>
      <c r="S449" s="1130">
        <v>274</v>
      </c>
      <c r="T449" s="1156">
        <v>45000000</v>
      </c>
    </row>
    <row r="450" spans="1:20" s="995" customFormat="1" ht="105.6" x14ac:dyDescent="0.3">
      <c r="A450" s="1023">
        <v>2022445</v>
      </c>
      <c r="B450" s="1023">
        <v>7658</v>
      </c>
      <c r="C450" s="1023" t="s">
        <v>679</v>
      </c>
      <c r="D450" s="1039" t="s">
        <v>692</v>
      </c>
      <c r="E450" s="1040">
        <v>80111600</v>
      </c>
      <c r="F450" s="1026" t="s">
        <v>1070</v>
      </c>
      <c r="G450" s="1027" t="s">
        <v>1617</v>
      </c>
      <c r="H450" s="1141" t="s">
        <v>1617</v>
      </c>
      <c r="I450" s="1027">
        <v>6</v>
      </c>
      <c r="J450" s="1027" t="s">
        <v>1649</v>
      </c>
      <c r="K450" s="1027" t="s">
        <v>674</v>
      </c>
      <c r="L450" s="1029" t="s">
        <v>675</v>
      </c>
      <c r="M450" s="1092">
        <v>27810000</v>
      </c>
      <c r="N450" s="1083" t="s">
        <v>741</v>
      </c>
      <c r="O450" s="1083" t="s">
        <v>1620</v>
      </c>
      <c r="P450" s="1083"/>
      <c r="Q450" s="1027"/>
      <c r="R450" s="1022"/>
      <c r="S450" s="1130">
        <v>393</v>
      </c>
      <c r="T450" s="1156">
        <v>27810000</v>
      </c>
    </row>
    <row r="451" spans="1:20" s="995" customFormat="1" ht="105.6" x14ac:dyDescent="0.3">
      <c r="A451" s="1013">
        <v>2022446</v>
      </c>
      <c r="B451" s="1013">
        <v>7658</v>
      </c>
      <c r="C451" s="1013" t="s">
        <v>679</v>
      </c>
      <c r="D451" s="1045" t="s">
        <v>692</v>
      </c>
      <c r="E451" s="1046">
        <v>80111600</v>
      </c>
      <c r="F451" s="1016" t="s">
        <v>1070</v>
      </c>
      <c r="G451" s="1017" t="s">
        <v>1617</v>
      </c>
      <c r="H451" s="1141" t="s">
        <v>1617</v>
      </c>
      <c r="I451" s="1017">
        <v>4</v>
      </c>
      <c r="J451" s="1017" t="s">
        <v>1649</v>
      </c>
      <c r="K451" s="1017" t="s">
        <v>674</v>
      </c>
      <c r="L451" s="1019" t="s">
        <v>675</v>
      </c>
      <c r="M451" s="1093">
        <v>18540000</v>
      </c>
      <c r="N451" s="1037" t="s">
        <v>741</v>
      </c>
      <c r="O451" s="1037" t="s">
        <v>1620</v>
      </c>
      <c r="P451" s="1037"/>
      <c r="Q451" s="1017"/>
      <c r="R451" s="1022"/>
      <c r="S451" s="1130"/>
      <c r="T451" s="1156"/>
    </row>
    <row r="452" spans="1:20" s="995" customFormat="1" ht="105.6" x14ac:dyDescent="0.3">
      <c r="A452" s="1023">
        <v>2022447</v>
      </c>
      <c r="B452" s="1023">
        <v>7658</v>
      </c>
      <c r="C452" s="1023" t="s">
        <v>679</v>
      </c>
      <c r="D452" s="1039" t="s">
        <v>692</v>
      </c>
      <c r="E452" s="1040">
        <v>80111600</v>
      </c>
      <c r="F452" s="1026" t="s">
        <v>1071</v>
      </c>
      <c r="G452" s="1027" t="s">
        <v>1617</v>
      </c>
      <c r="H452" s="1141" t="s">
        <v>1617</v>
      </c>
      <c r="I452" s="1027">
        <v>10</v>
      </c>
      <c r="J452" s="1027" t="s">
        <v>1649</v>
      </c>
      <c r="K452" s="1027" t="s">
        <v>674</v>
      </c>
      <c r="L452" s="1029" t="s">
        <v>675</v>
      </c>
      <c r="M452" s="1092">
        <v>57000000</v>
      </c>
      <c r="N452" s="1083" t="s">
        <v>741</v>
      </c>
      <c r="O452" s="1083" t="s">
        <v>1620</v>
      </c>
      <c r="P452" s="1083"/>
      <c r="Q452" s="1027"/>
      <c r="R452" s="1022"/>
      <c r="S452" s="1130">
        <v>305</v>
      </c>
      <c r="T452" s="1156">
        <v>57000000</v>
      </c>
    </row>
    <row r="453" spans="1:20" s="995" customFormat="1" ht="105.6" x14ac:dyDescent="0.3">
      <c r="A453" s="1023">
        <v>2022448</v>
      </c>
      <c r="B453" s="1023">
        <v>7658</v>
      </c>
      <c r="C453" s="1023" t="s">
        <v>679</v>
      </c>
      <c r="D453" s="1039" t="s">
        <v>692</v>
      </c>
      <c r="E453" s="1040">
        <v>80111600</v>
      </c>
      <c r="F453" s="1026" t="s">
        <v>1071</v>
      </c>
      <c r="G453" s="1027" t="s">
        <v>1617</v>
      </c>
      <c r="H453" s="1141" t="s">
        <v>1617</v>
      </c>
      <c r="I453" s="1027">
        <v>10</v>
      </c>
      <c r="J453" s="1027" t="s">
        <v>1649</v>
      </c>
      <c r="K453" s="1027" t="s">
        <v>674</v>
      </c>
      <c r="L453" s="1029" t="s">
        <v>675</v>
      </c>
      <c r="M453" s="1092">
        <v>48500000</v>
      </c>
      <c r="N453" s="1083" t="s">
        <v>741</v>
      </c>
      <c r="O453" s="1083" t="s">
        <v>1620</v>
      </c>
      <c r="P453" s="1083"/>
      <c r="Q453" s="1027"/>
      <c r="R453" s="1022"/>
      <c r="S453" s="1130">
        <v>279</v>
      </c>
      <c r="T453" s="1156">
        <v>48500000</v>
      </c>
    </row>
    <row r="454" spans="1:20" s="995" customFormat="1" ht="105.6" x14ac:dyDescent="0.3">
      <c r="A454" s="1023">
        <v>2022449</v>
      </c>
      <c r="B454" s="1023">
        <v>7658</v>
      </c>
      <c r="C454" s="1023" t="s">
        <v>679</v>
      </c>
      <c r="D454" s="1039" t="s">
        <v>692</v>
      </c>
      <c r="E454" s="1040">
        <v>80111600</v>
      </c>
      <c r="F454" s="1026" t="s">
        <v>1071</v>
      </c>
      <c r="G454" s="1027" t="s">
        <v>1617</v>
      </c>
      <c r="H454" s="1141" t="s">
        <v>1617</v>
      </c>
      <c r="I454" s="1027">
        <v>10</v>
      </c>
      <c r="J454" s="1027" t="s">
        <v>1649</v>
      </c>
      <c r="K454" s="1027" t="s">
        <v>674</v>
      </c>
      <c r="L454" s="1029" t="s">
        <v>675</v>
      </c>
      <c r="M454" s="1092">
        <v>48500000</v>
      </c>
      <c r="N454" s="1083" t="s">
        <v>741</v>
      </c>
      <c r="O454" s="1083" t="s">
        <v>1620</v>
      </c>
      <c r="P454" s="1083"/>
      <c r="Q454" s="1027"/>
      <c r="R454" s="1022"/>
      <c r="S454" s="1130">
        <v>306</v>
      </c>
      <c r="T454" s="1156">
        <v>48500000</v>
      </c>
    </row>
    <row r="455" spans="1:20" s="995" customFormat="1" ht="105.6" x14ac:dyDescent="0.3">
      <c r="A455" s="1023">
        <v>2022450</v>
      </c>
      <c r="B455" s="1023">
        <v>7658</v>
      </c>
      <c r="C455" s="1023" t="s">
        <v>679</v>
      </c>
      <c r="D455" s="1039" t="s">
        <v>692</v>
      </c>
      <c r="E455" s="1040">
        <v>80111600</v>
      </c>
      <c r="F455" s="1026" t="s">
        <v>1072</v>
      </c>
      <c r="G455" s="1027" t="s">
        <v>1617</v>
      </c>
      <c r="H455" s="1141" t="s">
        <v>1617</v>
      </c>
      <c r="I455" s="1027">
        <v>10</v>
      </c>
      <c r="J455" s="1027" t="s">
        <v>1649</v>
      </c>
      <c r="K455" s="1027" t="s">
        <v>674</v>
      </c>
      <c r="L455" s="1029" t="s">
        <v>675</v>
      </c>
      <c r="M455" s="1092">
        <v>48500000</v>
      </c>
      <c r="N455" s="1083" t="s">
        <v>741</v>
      </c>
      <c r="O455" s="1083" t="s">
        <v>1620</v>
      </c>
      <c r="P455" s="1083"/>
      <c r="Q455" s="1027"/>
      <c r="R455" s="1022"/>
      <c r="S455" s="1130">
        <v>463</v>
      </c>
      <c r="T455" s="1156">
        <v>29100000</v>
      </c>
    </row>
    <row r="456" spans="1:20" s="995" customFormat="1" ht="105.6" x14ac:dyDescent="0.3">
      <c r="A456" s="1023">
        <v>2022451</v>
      </c>
      <c r="B456" s="1023">
        <v>7658</v>
      </c>
      <c r="C456" s="1023" t="s">
        <v>679</v>
      </c>
      <c r="D456" s="1039" t="s">
        <v>692</v>
      </c>
      <c r="E456" s="1040">
        <v>80111600</v>
      </c>
      <c r="F456" s="1026" t="s">
        <v>1072</v>
      </c>
      <c r="G456" s="1027" t="s">
        <v>1617</v>
      </c>
      <c r="H456" s="1141" t="s">
        <v>1617</v>
      </c>
      <c r="I456" s="1027">
        <v>10</v>
      </c>
      <c r="J456" s="1027" t="s">
        <v>1649</v>
      </c>
      <c r="K456" s="1027" t="s">
        <v>674</v>
      </c>
      <c r="L456" s="1029" t="s">
        <v>675</v>
      </c>
      <c r="M456" s="1092">
        <v>35000000</v>
      </c>
      <c r="N456" s="1083" t="s">
        <v>741</v>
      </c>
      <c r="O456" s="1083" t="s">
        <v>1620</v>
      </c>
      <c r="P456" s="1083"/>
      <c r="Q456" s="1027"/>
      <c r="R456" s="1022"/>
      <c r="S456" s="1130">
        <v>436</v>
      </c>
      <c r="T456" s="1156">
        <v>21000000</v>
      </c>
    </row>
    <row r="457" spans="1:20" s="995" customFormat="1" ht="105.6" x14ac:dyDescent="0.3">
      <c r="A457" s="1023">
        <v>2022452</v>
      </c>
      <c r="B457" s="1023">
        <v>7658</v>
      </c>
      <c r="C457" s="1023" t="s">
        <v>679</v>
      </c>
      <c r="D457" s="1039" t="s">
        <v>692</v>
      </c>
      <c r="E457" s="1040">
        <v>80111600</v>
      </c>
      <c r="F457" s="1026" t="s">
        <v>1071</v>
      </c>
      <c r="G457" s="1027" t="s">
        <v>1617</v>
      </c>
      <c r="H457" s="1141" t="s">
        <v>1617</v>
      </c>
      <c r="I457" s="1027">
        <v>6</v>
      </c>
      <c r="J457" s="1027" t="s">
        <v>1649</v>
      </c>
      <c r="K457" s="1027" t="s">
        <v>674</v>
      </c>
      <c r="L457" s="1029" t="s">
        <v>675</v>
      </c>
      <c r="M457" s="1092">
        <v>29100000</v>
      </c>
      <c r="N457" s="1083" t="s">
        <v>741</v>
      </c>
      <c r="O457" s="1083" t="s">
        <v>1620</v>
      </c>
      <c r="P457" s="1083"/>
      <c r="Q457" s="1027"/>
      <c r="R457" s="1022"/>
      <c r="S457" s="1130">
        <v>307</v>
      </c>
      <c r="T457" s="1156">
        <v>29100000</v>
      </c>
    </row>
    <row r="458" spans="1:20" s="995" customFormat="1" ht="105.6" x14ac:dyDescent="0.3">
      <c r="A458" s="1013">
        <v>2022453</v>
      </c>
      <c r="B458" s="1013">
        <v>7658</v>
      </c>
      <c r="C458" s="1013" t="s">
        <v>679</v>
      </c>
      <c r="D458" s="1045" t="s">
        <v>692</v>
      </c>
      <c r="E458" s="1046">
        <v>80111600</v>
      </c>
      <c r="F458" s="1016" t="s">
        <v>1071</v>
      </c>
      <c r="G458" s="1017" t="s">
        <v>1617</v>
      </c>
      <c r="H458" s="1141" t="s">
        <v>1617</v>
      </c>
      <c r="I458" s="1017">
        <v>4</v>
      </c>
      <c r="J458" s="1017" t="s">
        <v>1649</v>
      </c>
      <c r="K458" s="1017" t="s">
        <v>674</v>
      </c>
      <c r="L458" s="1019" t="s">
        <v>675</v>
      </c>
      <c r="M458" s="1093">
        <v>19400000</v>
      </c>
      <c r="N458" s="1037" t="s">
        <v>741</v>
      </c>
      <c r="O458" s="1037" t="s">
        <v>1620</v>
      </c>
      <c r="P458" s="1037"/>
      <c r="Q458" s="1017"/>
      <c r="R458" s="1022"/>
      <c r="S458" s="1130"/>
      <c r="T458" s="1156"/>
    </row>
    <row r="459" spans="1:20" s="995" customFormat="1" ht="105.6" x14ac:dyDescent="0.3">
      <c r="A459" s="1023">
        <v>2022454</v>
      </c>
      <c r="B459" s="1023">
        <v>7658</v>
      </c>
      <c r="C459" s="1023" t="s">
        <v>679</v>
      </c>
      <c r="D459" s="1039" t="s">
        <v>692</v>
      </c>
      <c r="E459" s="1040">
        <v>80111600</v>
      </c>
      <c r="F459" s="1026" t="s">
        <v>1073</v>
      </c>
      <c r="G459" s="1027" t="s">
        <v>1617</v>
      </c>
      <c r="H459" s="1141" t="s">
        <v>1617</v>
      </c>
      <c r="I459" s="1027">
        <v>10</v>
      </c>
      <c r="J459" s="1027" t="s">
        <v>1649</v>
      </c>
      <c r="K459" s="1027" t="s">
        <v>674</v>
      </c>
      <c r="L459" s="1029" t="s">
        <v>675</v>
      </c>
      <c r="M459" s="1092">
        <v>55000000</v>
      </c>
      <c r="N459" s="1083" t="s">
        <v>741</v>
      </c>
      <c r="O459" s="1083" t="s">
        <v>1620</v>
      </c>
      <c r="P459" s="1083"/>
      <c r="Q459" s="1027"/>
      <c r="R459" s="1022"/>
      <c r="S459" s="1130">
        <v>312</v>
      </c>
      <c r="T459" s="1156">
        <v>55000000</v>
      </c>
    </row>
    <row r="460" spans="1:20" s="995" customFormat="1" ht="105.6" x14ac:dyDescent="0.3">
      <c r="A460" s="1023">
        <v>2022455</v>
      </c>
      <c r="B460" s="1023">
        <v>7658</v>
      </c>
      <c r="C460" s="1023" t="s">
        <v>679</v>
      </c>
      <c r="D460" s="1039" t="s">
        <v>692</v>
      </c>
      <c r="E460" s="1040">
        <v>80111600</v>
      </c>
      <c r="F460" s="1026" t="s">
        <v>1073</v>
      </c>
      <c r="G460" s="1027" t="s">
        <v>1617</v>
      </c>
      <c r="H460" s="1141" t="s">
        <v>1617</v>
      </c>
      <c r="I460" s="1027">
        <v>10</v>
      </c>
      <c r="J460" s="1027" t="s">
        <v>1649</v>
      </c>
      <c r="K460" s="1027" t="s">
        <v>674</v>
      </c>
      <c r="L460" s="1029" t="s">
        <v>675</v>
      </c>
      <c r="M460" s="1092">
        <v>55000000</v>
      </c>
      <c r="N460" s="1083" t="s">
        <v>741</v>
      </c>
      <c r="O460" s="1083" t="s">
        <v>1620</v>
      </c>
      <c r="P460" s="1083"/>
      <c r="Q460" s="1027"/>
      <c r="R460" s="1022"/>
      <c r="S460" s="1130">
        <v>308</v>
      </c>
      <c r="T460" s="1156">
        <v>55000000</v>
      </c>
    </row>
    <row r="461" spans="1:20" s="995" customFormat="1" ht="105.6" x14ac:dyDescent="0.3">
      <c r="A461" s="1023">
        <v>2022456</v>
      </c>
      <c r="B461" s="1023">
        <v>7658</v>
      </c>
      <c r="C461" s="1023" t="s">
        <v>679</v>
      </c>
      <c r="D461" s="1039" t="s">
        <v>692</v>
      </c>
      <c r="E461" s="1040">
        <v>80111600</v>
      </c>
      <c r="F461" s="1026" t="s">
        <v>1073</v>
      </c>
      <c r="G461" s="1027" t="s">
        <v>1617</v>
      </c>
      <c r="H461" s="1141" t="s">
        <v>1617</v>
      </c>
      <c r="I461" s="1027">
        <v>6</v>
      </c>
      <c r="J461" s="1027" t="s">
        <v>1649</v>
      </c>
      <c r="K461" s="1027" t="s">
        <v>674</v>
      </c>
      <c r="L461" s="1029" t="s">
        <v>675</v>
      </c>
      <c r="M461" s="1092">
        <v>29100000</v>
      </c>
      <c r="N461" s="1083" t="s">
        <v>741</v>
      </c>
      <c r="O461" s="1083" t="s">
        <v>1620</v>
      </c>
      <c r="P461" s="1083"/>
      <c r="Q461" s="1027"/>
      <c r="R461" s="1022"/>
      <c r="S461" s="1130">
        <v>406</v>
      </c>
      <c r="T461" s="1156">
        <v>29100000</v>
      </c>
    </row>
    <row r="462" spans="1:20" s="995" customFormat="1" ht="105.6" x14ac:dyDescent="0.3">
      <c r="A462" s="1013">
        <v>2022457</v>
      </c>
      <c r="B462" s="1013">
        <v>7658</v>
      </c>
      <c r="C462" s="1013" t="s">
        <v>679</v>
      </c>
      <c r="D462" s="1045" t="s">
        <v>692</v>
      </c>
      <c r="E462" s="1046">
        <v>80111600</v>
      </c>
      <c r="F462" s="1016" t="s">
        <v>1073</v>
      </c>
      <c r="G462" s="1017" t="s">
        <v>1617</v>
      </c>
      <c r="H462" s="1141" t="s">
        <v>1617</v>
      </c>
      <c r="I462" s="1017">
        <v>4</v>
      </c>
      <c r="J462" s="1017" t="s">
        <v>1649</v>
      </c>
      <c r="K462" s="1017" t="s">
        <v>674</v>
      </c>
      <c r="L462" s="1019" t="s">
        <v>675</v>
      </c>
      <c r="M462" s="1093">
        <v>19400000</v>
      </c>
      <c r="N462" s="1037" t="s">
        <v>741</v>
      </c>
      <c r="O462" s="1037" t="s">
        <v>1620</v>
      </c>
      <c r="P462" s="1037"/>
      <c r="Q462" s="1017"/>
      <c r="R462" s="1022"/>
      <c r="S462" s="1130"/>
      <c r="T462" s="1156"/>
    </row>
    <row r="463" spans="1:20" s="995" customFormat="1" ht="105.6" x14ac:dyDescent="0.3">
      <c r="A463" s="1023">
        <v>2022458</v>
      </c>
      <c r="B463" s="1023">
        <v>7658</v>
      </c>
      <c r="C463" s="1023" t="s">
        <v>679</v>
      </c>
      <c r="D463" s="1039" t="s">
        <v>692</v>
      </c>
      <c r="E463" s="1040">
        <v>80111600</v>
      </c>
      <c r="F463" s="1026" t="s">
        <v>1073</v>
      </c>
      <c r="G463" s="1027" t="s">
        <v>1617</v>
      </c>
      <c r="H463" s="1141" t="s">
        <v>1617</v>
      </c>
      <c r="I463" s="1027">
        <v>10</v>
      </c>
      <c r="J463" s="1027" t="s">
        <v>1649</v>
      </c>
      <c r="K463" s="1027" t="s">
        <v>674</v>
      </c>
      <c r="L463" s="1029" t="s">
        <v>675</v>
      </c>
      <c r="M463" s="1092">
        <v>48500000</v>
      </c>
      <c r="N463" s="1083" t="s">
        <v>741</v>
      </c>
      <c r="O463" s="1083" t="s">
        <v>1620</v>
      </c>
      <c r="P463" s="1083"/>
      <c r="Q463" s="1027"/>
      <c r="R463" s="1022"/>
      <c r="S463" s="1130">
        <v>379</v>
      </c>
      <c r="T463" s="1156">
        <v>48500000</v>
      </c>
    </row>
    <row r="464" spans="1:20" s="995" customFormat="1" ht="105.6" x14ac:dyDescent="0.3">
      <c r="A464" s="1023">
        <v>2022459</v>
      </c>
      <c r="B464" s="1023">
        <v>7658</v>
      </c>
      <c r="C464" s="1023" t="s">
        <v>679</v>
      </c>
      <c r="D464" s="1039" t="s">
        <v>692</v>
      </c>
      <c r="E464" s="1040">
        <v>80111600</v>
      </c>
      <c r="F464" s="1026" t="s">
        <v>1073</v>
      </c>
      <c r="G464" s="1027" t="s">
        <v>1617</v>
      </c>
      <c r="H464" s="1141" t="s">
        <v>1617</v>
      </c>
      <c r="I464" s="1027">
        <v>6</v>
      </c>
      <c r="J464" s="1027" t="s">
        <v>1649</v>
      </c>
      <c r="K464" s="1027" t="s">
        <v>674</v>
      </c>
      <c r="L464" s="1029" t="s">
        <v>675</v>
      </c>
      <c r="M464" s="1092">
        <v>29100000</v>
      </c>
      <c r="N464" s="1083" t="s">
        <v>741</v>
      </c>
      <c r="O464" s="1083" t="s">
        <v>1620</v>
      </c>
      <c r="P464" s="1083"/>
      <c r="Q464" s="1027"/>
      <c r="R464" s="1022"/>
      <c r="S464" s="1130">
        <v>446</v>
      </c>
      <c r="T464" s="1156">
        <v>29100000</v>
      </c>
    </row>
    <row r="465" spans="1:20" s="995" customFormat="1" ht="105.6" x14ac:dyDescent="0.3">
      <c r="A465" s="1013">
        <v>2022460</v>
      </c>
      <c r="B465" s="1013">
        <v>7658</v>
      </c>
      <c r="C465" s="1013" t="s">
        <v>679</v>
      </c>
      <c r="D465" s="1045" t="s">
        <v>692</v>
      </c>
      <c r="E465" s="1046">
        <v>80111600</v>
      </c>
      <c r="F465" s="1016" t="s">
        <v>1073</v>
      </c>
      <c r="G465" s="1017" t="s">
        <v>1617</v>
      </c>
      <c r="H465" s="1141" t="s">
        <v>1617</v>
      </c>
      <c r="I465" s="1017">
        <v>4</v>
      </c>
      <c r="J465" s="1017" t="s">
        <v>1649</v>
      </c>
      <c r="K465" s="1017" t="s">
        <v>674</v>
      </c>
      <c r="L465" s="1019" t="s">
        <v>675</v>
      </c>
      <c r="M465" s="1093">
        <v>19400000</v>
      </c>
      <c r="N465" s="1037" t="s">
        <v>741</v>
      </c>
      <c r="O465" s="1037" t="s">
        <v>1620</v>
      </c>
      <c r="P465" s="1037"/>
      <c r="Q465" s="1017"/>
      <c r="R465" s="1022"/>
      <c r="S465" s="1130"/>
      <c r="T465" s="1156"/>
    </row>
    <row r="466" spans="1:20" s="995" customFormat="1" ht="105.6" x14ac:dyDescent="0.3">
      <c r="A466" s="1023">
        <v>2022461</v>
      </c>
      <c r="B466" s="1023">
        <v>7658</v>
      </c>
      <c r="C466" s="1023" t="s">
        <v>679</v>
      </c>
      <c r="D466" s="1039" t="s">
        <v>692</v>
      </c>
      <c r="E466" s="1040">
        <v>80111600</v>
      </c>
      <c r="F466" s="1026" t="s">
        <v>1073</v>
      </c>
      <c r="G466" s="1027" t="s">
        <v>1617</v>
      </c>
      <c r="H466" s="1141" t="s">
        <v>1617</v>
      </c>
      <c r="I466" s="1027">
        <v>10</v>
      </c>
      <c r="J466" s="1027" t="s">
        <v>1649</v>
      </c>
      <c r="K466" s="1027" t="s">
        <v>674</v>
      </c>
      <c r="L466" s="1029" t="s">
        <v>675</v>
      </c>
      <c r="M466" s="1092">
        <v>45000000</v>
      </c>
      <c r="N466" s="1083" t="s">
        <v>741</v>
      </c>
      <c r="O466" s="1083" t="s">
        <v>1620</v>
      </c>
      <c r="P466" s="1083"/>
      <c r="Q466" s="1027"/>
      <c r="R466" s="1022"/>
      <c r="S466" s="1130">
        <v>377</v>
      </c>
      <c r="T466" s="1156">
        <v>45000000</v>
      </c>
    </row>
    <row r="467" spans="1:20" s="995" customFormat="1" ht="105.6" x14ac:dyDescent="0.3">
      <c r="A467" s="1023">
        <v>2022462</v>
      </c>
      <c r="B467" s="1023">
        <v>7658</v>
      </c>
      <c r="C467" s="1023" t="s">
        <v>679</v>
      </c>
      <c r="D467" s="1039" t="s">
        <v>692</v>
      </c>
      <c r="E467" s="1040">
        <v>80111600</v>
      </c>
      <c r="F467" s="1026" t="s">
        <v>1074</v>
      </c>
      <c r="G467" s="1027" t="s">
        <v>1617</v>
      </c>
      <c r="H467" s="1141" t="s">
        <v>1617</v>
      </c>
      <c r="I467" s="1027">
        <v>6</v>
      </c>
      <c r="J467" s="1027" t="s">
        <v>1649</v>
      </c>
      <c r="K467" s="1027" t="s">
        <v>674</v>
      </c>
      <c r="L467" s="1029" t="s">
        <v>675</v>
      </c>
      <c r="M467" s="1092">
        <v>16500000</v>
      </c>
      <c r="N467" s="1083" t="s">
        <v>741</v>
      </c>
      <c r="O467" s="1083" t="s">
        <v>1620</v>
      </c>
      <c r="P467" s="1083"/>
      <c r="Q467" s="1027"/>
      <c r="R467" s="1022"/>
      <c r="S467" s="1130">
        <v>467</v>
      </c>
      <c r="T467" s="1156">
        <v>14700000</v>
      </c>
    </row>
    <row r="468" spans="1:20" s="995" customFormat="1" ht="105.6" x14ac:dyDescent="0.3">
      <c r="A468" s="1013">
        <v>2022463</v>
      </c>
      <c r="B468" s="1013">
        <v>7658</v>
      </c>
      <c r="C468" s="1013" t="s">
        <v>679</v>
      </c>
      <c r="D468" s="1045" t="s">
        <v>692</v>
      </c>
      <c r="E468" s="1046">
        <v>80111600</v>
      </c>
      <c r="F468" s="1016" t="s">
        <v>1074</v>
      </c>
      <c r="G468" s="1017" t="s">
        <v>1617</v>
      </c>
      <c r="H468" s="1141" t="s">
        <v>1617</v>
      </c>
      <c r="I468" s="1017">
        <v>4</v>
      </c>
      <c r="J468" s="1017" t="s">
        <v>1649</v>
      </c>
      <c r="K468" s="1017" t="s">
        <v>674</v>
      </c>
      <c r="L468" s="1019" t="s">
        <v>675</v>
      </c>
      <c r="M468" s="1093">
        <v>11000000</v>
      </c>
      <c r="N468" s="1037" t="s">
        <v>741</v>
      </c>
      <c r="O468" s="1037" t="s">
        <v>1620</v>
      </c>
      <c r="P468" s="1037"/>
      <c r="Q468" s="1017"/>
      <c r="R468" s="1022"/>
      <c r="S468" s="1130"/>
      <c r="T468" s="1156"/>
    </row>
    <row r="469" spans="1:20" s="995" customFormat="1" ht="105.6" x14ac:dyDescent="0.3">
      <c r="A469" s="1023">
        <v>2022464</v>
      </c>
      <c r="B469" s="1023">
        <v>7658</v>
      </c>
      <c r="C469" s="1023" t="s">
        <v>679</v>
      </c>
      <c r="D469" s="1039" t="s">
        <v>692</v>
      </c>
      <c r="E469" s="1040">
        <v>80111600</v>
      </c>
      <c r="F469" s="1026" t="s">
        <v>1075</v>
      </c>
      <c r="G469" s="1027" t="s">
        <v>1617</v>
      </c>
      <c r="H469" s="1141" t="s">
        <v>1617</v>
      </c>
      <c r="I469" s="1027">
        <v>10</v>
      </c>
      <c r="J469" s="1027" t="s">
        <v>1649</v>
      </c>
      <c r="K469" s="1027" t="s">
        <v>674</v>
      </c>
      <c r="L469" s="1029" t="s">
        <v>675</v>
      </c>
      <c r="M469" s="1092">
        <v>50000000</v>
      </c>
      <c r="N469" s="1083" t="s">
        <v>741</v>
      </c>
      <c r="O469" s="1083" t="s">
        <v>1620</v>
      </c>
      <c r="P469" s="1083"/>
      <c r="Q469" s="1027"/>
      <c r="R469" s="1022"/>
      <c r="S469" s="1130">
        <v>439</v>
      </c>
      <c r="T469" s="1156">
        <v>30000000</v>
      </c>
    </row>
    <row r="470" spans="1:20" s="995" customFormat="1" ht="105.6" x14ac:dyDescent="0.3">
      <c r="A470" s="1023">
        <v>2022465</v>
      </c>
      <c r="B470" s="1023">
        <v>7658</v>
      </c>
      <c r="C470" s="1023" t="s">
        <v>679</v>
      </c>
      <c r="D470" s="1039" t="s">
        <v>692</v>
      </c>
      <c r="E470" s="1040">
        <v>80111600</v>
      </c>
      <c r="F470" s="1026" t="s">
        <v>1076</v>
      </c>
      <c r="G470" s="1027" t="s">
        <v>1617</v>
      </c>
      <c r="H470" s="1141" t="s">
        <v>1617</v>
      </c>
      <c r="I470" s="1027">
        <v>10</v>
      </c>
      <c r="J470" s="1027" t="s">
        <v>1649</v>
      </c>
      <c r="K470" s="1027" t="s">
        <v>674</v>
      </c>
      <c r="L470" s="1029" t="s">
        <v>675</v>
      </c>
      <c r="M470" s="1092">
        <v>48500000</v>
      </c>
      <c r="N470" s="1083" t="s">
        <v>741</v>
      </c>
      <c r="O470" s="1083" t="s">
        <v>1620</v>
      </c>
      <c r="P470" s="1083"/>
      <c r="Q470" s="1027"/>
      <c r="R470" s="1022"/>
      <c r="S470" s="1130">
        <v>135</v>
      </c>
      <c r="T470" s="1156">
        <v>48500000</v>
      </c>
    </row>
    <row r="471" spans="1:20" s="995" customFormat="1" ht="105.6" x14ac:dyDescent="0.3">
      <c r="A471" s="1023">
        <v>2022466</v>
      </c>
      <c r="B471" s="1023">
        <v>7658</v>
      </c>
      <c r="C471" s="1023" t="s">
        <v>679</v>
      </c>
      <c r="D471" s="1039" t="s">
        <v>692</v>
      </c>
      <c r="E471" s="1040">
        <v>80111600</v>
      </c>
      <c r="F471" s="1026" t="s">
        <v>1077</v>
      </c>
      <c r="G471" s="1027" t="s">
        <v>1617</v>
      </c>
      <c r="H471" s="1141" t="s">
        <v>1617</v>
      </c>
      <c r="I471" s="1027">
        <v>10</v>
      </c>
      <c r="J471" s="1027" t="s">
        <v>1649</v>
      </c>
      <c r="K471" s="1027" t="s">
        <v>674</v>
      </c>
      <c r="L471" s="1029" t="s">
        <v>675</v>
      </c>
      <c r="M471" s="1092">
        <v>33500000</v>
      </c>
      <c r="N471" s="1083" t="s">
        <v>741</v>
      </c>
      <c r="O471" s="1083" t="s">
        <v>1620</v>
      </c>
      <c r="P471" s="1083"/>
      <c r="Q471" s="1027"/>
      <c r="R471" s="1022"/>
      <c r="S471" s="1130">
        <v>142</v>
      </c>
      <c r="T471" s="1156">
        <v>33500000</v>
      </c>
    </row>
    <row r="472" spans="1:20" s="995" customFormat="1" ht="105.6" x14ac:dyDescent="0.3">
      <c r="A472" s="1023">
        <v>2022467</v>
      </c>
      <c r="B472" s="1023">
        <v>7658</v>
      </c>
      <c r="C472" s="1023" t="s">
        <v>679</v>
      </c>
      <c r="D472" s="1039" t="s">
        <v>692</v>
      </c>
      <c r="E472" s="1040">
        <v>80111600</v>
      </c>
      <c r="F472" s="1026" t="s">
        <v>1078</v>
      </c>
      <c r="G472" s="1027" t="s">
        <v>1617</v>
      </c>
      <c r="H472" s="1141" t="s">
        <v>1617</v>
      </c>
      <c r="I472" s="1027">
        <v>10</v>
      </c>
      <c r="J472" s="1027" t="s">
        <v>1649</v>
      </c>
      <c r="K472" s="1027" t="s">
        <v>674</v>
      </c>
      <c r="L472" s="1029" t="s">
        <v>675</v>
      </c>
      <c r="M472" s="1092">
        <v>48500000</v>
      </c>
      <c r="N472" s="1083" t="s">
        <v>741</v>
      </c>
      <c r="O472" s="1083" t="s">
        <v>1620</v>
      </c>
      <c r="P472" s="1083"/>
      <c r="Q472" s="1027"/>
      <c r="R472" s="1022"/>
      <c r="S472" s="1130">
        <v>194</v>
      </c>
      <c r="T472" s="1156">
        <v>19400000</v>
      </c>
    </row>
    <row r="473" spans="1:20" s="995" customFormat="1" ht="105.6" x14ac:dyDescent="0.3">
      <c r="A473" s="1013">
        <v>2022468</v>
      </c>
      <c r="B473" s="1013">
        <v>7658</v>
      </c>
      <c r="C473" s="1013" t="s">
        <v>679</v>
      </c>
      <c r="D473" s="1045" t="s">
        <v>692</v>
      </c>
      <c r="E473" s="1046">
        <v>80111600</v>
      </c>
      <c r="F473" s="1016" t="s">
        <v>1079</v>
      </c>
      <c r="G473" s="1017" t="s">
        <v>1617</v>
      </c>
      <c r="H473" s="1141" t="s">
        <v>1617</v>
      </c>
      <c r="I473" s="1017">
        <v>4</v>
      </c>
      <c r="J473" s="1017" t="s">
        <v>1649</v>
      </c>
      <c r="K473" s="1017" t="s">
        <v>674</v>
      </c>
      <c r="L473" s="1019" t="s">
        <v>675</v>
      </c>
      <c r="M473" s="1093">
        <v>19400000</v>
      </c>
      <c r="N473" s="1037" t="s">
        <v>741</v>
      </c>
      <c r="O473" s="1037" t="s">
        <v>1620</v>
      </c>
      <c r="P473" s="1037"/>
      <c r="Q473" s="1017"/>
      <c r="R473" s="1022"/>
      <c r="S473" s="1130"/>
      <c r="T473" s="1156"/>
    </row>
    <row r="474" spans="1:20" s="995" customFormat="1" ht="105.6" x14ac:dyDescent="0.3">
      <c r="A474" s="1023">
        <v>2022469</v>
      </c>
      <c r="B474" s="1023">
        <v>7658</v>
      </c>
      <c r="C474" s="1023" t="s">
        <v>679</v>
      </c>
      <c r="D474" s="1039" t="s">
        <v>692</v>
      </c>
      <c r="E474" s="1040">
        <v>80111600</v>
      </c>
      <c r="F474" s="1026" t="s">
        <v>1079</v>
      </c>
      <c r="G474" s="1027" t="s">
        <v>1617</v>
      </c>
      <c r="H474" s="1141" t="s">
        <v>1617</v>
      </c>
      <c r="I474" s="1027">
        <v>6</v>
      </c>
      <c r="J474" s="1027" t="s">
        <v>1649</v>
      </c>
      <c r="K474" s="1027" t="s">
        <v>674</v>
      </c>
      <c r="L474" s="1029" t="s">
        <v>675</v>
      </c>
      <c r="M474" s="1092">
        <v>29100000</v>
      </c>
      <c r="N474" s="1083" t="s">
        <v>741</v>
      </c>
      <c r="O474" s="1083" t="s">
        <v>1620</v>
      </c>
      <c r="P474" s="1083"/>
      <c r="Q474" s="1027"/>
      <c r="R474" s="1022"/>
      <c r="S474" s="1130">
        <v>380</v>
      </c>
      <c r="T474" s="1156">
        <v>29100000</v>
      </c>
    </row>
    <row r="475" spans="1:20" s="995" customFormat="1" ht="105.6" x14ac:dyDescent="0.3">
      <c r="A475" s="1013">
        <v>2022470</v>
      </c>
      <c r="B475" s="1013">
        <v>7658</v>
      </c>
      <c r="C475" s="1013" t="s">
        <v>679</v>
      </c>
      <c r="D475" s="1045" t="s">
        <v>692</v>
      </c>
      <c r="E475" s="1046">
        <v>80111600</v>
      </c>
      <c r="F475" s="1016" t="s">
        <v>1079</v>
      </c>
      <c r="G475" s="1017" t="s">
        <v>1617</v>
      </c>
      <c r="H475" s="1141" t="s">
        <v>1617</v>
      </c>
      <c r="I475" s="1017">
        <v>4</v>
      </c>
      <c r="J475" s="1017" t="s">
        <v>1649</v>
      </c>
      <c r="K475" s="1017" t="s">
        <v>674</v>
      </c>
      <c r="L475" s="1019" t="s">
        <v>675</v>
      </c>
      <c r="M475" s="1093">
        <v>16000000</v>
      </c>
      <c r="N475" s="1037" t="s">
        <v>741</v>
      </c>
      <c r="O475" s="1037" t="s">
        <v>1620</v>
      </c>
      <c r="P475" s="1037"/>
      <c r="Q475" s="1017"/>
      <c r="R475" s="1022"/>
      <c r="S475" s="1130"/>
      <c r="T475" s="1156"/>
    </row>
    <row r="476" spans="1:20" s="995" customFormat="1" ht="105.6" x14ac:dyDescent="0.3">
      <c r="A476" s="1023">
        <v>2022471</v>
      </c>
      <c r="B476" s="1023">
        <v>7658</v>
      </c>
      <c r="C476" s="1023" t="s">
        <v>679</v>
      </c>
      <c r="D476" s="1039" t="s">
        <v>692</v>
      </c>
      <c r="E476" s="1040">
        <v>80111600</v>
      </c>
      <c r="F476" s="1026" t="s">
        <v>1079</v>
      </c>
      <c r="G476" s="1027" t="s">
        <v>1617</v>
      </c>
      <c r="H476" s="1141" t="s">
        <v>1617</v>
      </c>
      <c r="I476" s="1027">
        <v>6</v>
      </c>
      <c r="J476" s="1027" t="s">
        <v>1649</v>
      </c>
      <c r="K476" s="1027" t="s">
        <v>674</v>
      </c>
      <c r="L476" s="1029" t="s">
        <v>675</v>
      </c>
      <c r="M476" s="1092">
        <v>24000000</v>
      </c>
      <c r="N476" s="1083" t="s">
        <v>741</v>
      </c>
      <c r="O476" s="1083" t="s">
        <v>1620</v>
      </c>
      <c r="P476" s="1083"/>
      <c r="Q476" s="1027"/>
      <c r="R476" s="1022"/>
      <c r="S476" s="1130">
        <v>359</v>
      </c>
      <c r="T476" s="1156">
        <v>24000000</v>
      </c>
    </row>
    <row r="477" spans="1:20" s="995" customFormat="1" ht="105.6" x14ac:dyDescent="0.3">
      <c r="A477" s="1013">
        <v>2022472</v>
      </c>
      <c r="B477" s="1013">
        <v>7658</v>
      </c>
      <c r="C477" s="1013" t="s">
        <v>679</v>
      </c>
      <c r="D477" s="1045" t="s">
        <v>692</v>
      </c>
      <c r="E477" s="1046">
        <v>80111600</v>
      </c>
      <c r="F477" s="1016" t="s">
        <v>1079</v>
      </c>
      <c r="G477" s="1017" t="s">
        <v>1617</v>
      </c>
      <c r="H477" s="1141" t="s">
        <v>1617</v>
      </c>
      <c r="I477" s="1017">
        <v>4</v>
      </c>
      <c r="J477" s="1017" t="s">
        <v>1649</v>
      </c>
      <c r="K477" s="1017" t="s">
        <v>674</v>
      </c>
      <c r="L477" s="1019" t="s">
        <v>675</v>
      </c>
      <c r="M477" s="1093">
        <v>15400000</v>
      </c>
      <c r="N477" s="1037" t="s">
        <v>741</v>
      </c>
      <c r="O477" s="1037" t="s">
        <v>1620</v>
      </c>
      <c r="P477" s="1037"/>
      <c r="Q477" s="1017"/>
      <c r="R477" s="1022"/>
      <c r="S477" s="1130"/>
      <c r="T477" s="1156"/>
    </row>
    <row r="478" spans="1:20" s="995" customFormat="1" ht="105.6" x14ac:dyDescent="0.3">
      <c r="A478" s="1023">
        <v>2022473</v>
      </c>
      <c r="B478" s="1023">
        <v>7658</v>
      </c>
      <c r="C478" s="1023" t="s">
        <v>679</v>
      </c>
      <c r="D478" s="1039" t="s">
        <v>692</v>
      </c>
      <c r="E478" s="1040">
        <v>80111600</v>
      </c>
      <c r="F478" s="1026" t="s">
        <v>1079</v>
      </c>
      <c r="G478" s="1027" t="s">
        <v>1617</v>
      </c>
      <c r="H478" s="1141" t="s">
        <v>1617</v>
      </c>
      <c r="I478" s="1027">
        <v>6</v>
      </c>
      <c r="J478" s="1027" t="s">
        <v>1649</v>
      </c>
      <c r="K478" s="1027" t="s">
        <v>674</v>
      </c>
      <c r="L478" s="1029" t="s">
        <v>675</v>
      </c>
      <c r="M478" s="1092">
        <v>23100000</v>
      </c>
      <c r="N478" s="1083" t="s">
        <v>741</v>
      </c>
      <c r="O478" s="1083" t="s">
        <v>1620</v>
      </c>
      <c r="P478" s="1083"/>
      <c r="Q478" s="1027"/>
      <c r="R478" s="1022"/>
      <c r="S478" s="1130">
        <v>447</v>
      </c>
      <c r="T478" s="1156">
        <v>23100000</v>
      </c>
    </row>
    <row r="479" spans="1:20" s="995" customFormat="1" ht="105.6" x14ac:dyDescent="0.3">
      <c r="A479" s="1013">
        <v>2022474</v>
      </c>
      <c r="B479" s="1013">
        <v>7658</v>
      </c>
      <c r="C479" s="1013" t="s">
        <v>679</v>
      </c>
      <c r="D479" s="1045" t="s">
        <v>692</v>
      </c>
      <c r="E479" s="1046">
        <v>80111600</v>
      </c>
      <c r="F479" s="1016" t="s">
        <v>1079</v>
      </c>
      <c r="G479" s="1017" t="s">
        <v>1617</v>
      </c>
      <c r="H479" s="1141" t="s">
        <v>1617</v>
      </c>
      <c r="I479" s="1017">
        <v>4</v>
      </c>
      <c r="J479" s="1017" t="s">
        <v>1649</v>
      </c>
      <c r="K479" s="1017" t="s">
        <v>674</v>
      </c>
      <c r="L479" s="1019" t="s">
        <v>675</v>
      </c>
      <c r="M479" s="1093">
        <v>15400000</v>
      </c>
      <c r="N479" s="1037" t="s">
        <v>741</v>
      </c>
      <c r="O479" s="1037" t="s">
        <v>1620</v>
      </c>
      <c r="P479" s="1037"/>
      <c r="Q479" s="1017"/>
      <c r="R479" s="1022"/>
      <c r="S479" s="1130"/>
      <c r="T479" s="1156"/>
    </row>
    <row r="480" spans="1:20" s="995" customFormat="1" ht="105.6" x14ac:dyDescent="0.3">
      <c r="A480" s="1023">
        <v>2022475</v>
      </c>
      <c r="B480" s="1023">
        <v>7658</v>
      </c>
      <c r="C480" s="1023" t="s">
        <v>679</v>
      </c>
      <c r="D480" s="1039" t="s">
        <v>692</v>
      </c>
      <c r="E480" s="1040">
        <v>80111600</v>
      </c>
      <c r="F480" s="1026" t="s">
        <v>1079</v>
      </c>
      <c r="G480" s="1027" t="s">
        <v>1617</v>
      </c>
      <c r="H480" s="1141" t="s">
        <v>1617</v>
      </c>
      <c r="I480" s="1027">
        <v>6</v>
      </c>
      <c r="J480" s="1027" t="s">
        <v>1649</v>
      </c>
      <c r="K480" s="1027" t="s">
        <v>674</v>
      </c>
      <c r="L480" s="1029" t="s">
        <v>675</v>
      </c>
      <c r="M480" s="1092">
        <v>23100000</v>
      </c>
      <c r="N480" s="1083" t="s">
        <v>741</v>
      </c>
      <c r="O480" s="1083" t="s">
        <v>1620</v>
      </c>
      <c r="P480" s="1083"/>
      <c r="Q480" s="1027"/>
      <c r="R480" s="1022"/>
      <c r="S480" s="1130">
        <v>386</v>
      </c>
      <c r="T480" s="1156">
        <v>23100000</v>
      </c>
    </row>
    <row r="481" spans="1:103" s="995" customFormat="1" ht="105.6" x14ac:dyDescent="0.3">
      <c r="A481" s="1013">
        <v>2022476</v>
      </c>
      <c r="B481" s="1013">
        <v>7658</v>
      </c>
      <c r="C481" s="1013" t="s">
        <v>679</v>
      </c>
      <c r="D481" s="1045" t="s">
        <v>692</v>
      </c>
      <c r="E481" s="1046">
        <v>80111600</v>
      </c>
      <c r="F481" s="1016" t="s">
        <v>1079</v>
      </c>
      <c r="G481" s="1017" t="s">
        <v>1617</v>
      </c>
      <c r="H481" s="1141" t="s">
        <v>1617</v>
      </c>
      <c r="I481" s="1017">
        <v>4</v>
      </c>
      <c r="J481" s="1017" t="s">
        <v>1649</v>
      </c>
      <c r="K481" s="1017" t="s">
        <v>674</v>
      </c>
      <c r="L481" s="1019" t="s">
        <v>675</v>
      </c>
      <c r="M481" s="1093">
        <v>15400000</v>
      </c>
      <c r="N481" s="1037" t="s">
        <v>741</v>
      </c>
      <c r="O481" s="1037" t="s">
        <v>1620</v>
      </c>
      <c r="P481" s="1037"/>
      <c r="Q481" s="1017"/>
      <c r="R481" s="1022"/>
      <c r="S481" s="1130"/>
      <c r="T481" s="1156"/>
    </row>
    <row r="482" spans="1:103" s="995" customFormat="1" ht="105.6" x14ac:dyDescent="0.3">
      <c r="A482" s="1023">
        <v>2022477</v>
      </c>
      <c r="B482" s="1023">
        <v>7658</v>
      </c>
      <c r="C482" s="1023" t="s">
        <v>679</v>
      </c>
      <c r="D482" s="1039" t="s">
        <v>692</v>
      </c>
      <c r="E482" s="1040">
        <v>80111600</v>
      </c>
      <c r="F482" s="1026" t="s">
        <v>1079</v>
      </c>
      <c r="G482" s="1027" t="s">
        <v>1617</v>
      </c>
      <c r="H482" s="1141" t="s">
        <v>1617</v>
      </c>
      <c r="I482" s="1027">
        <v>6</v>
      </c>
      <c r="J482" s="1027" t="s">
        <v>1649</v>
      </c>
      <c r="K482" s="1027" t="s">
        <v>674</v>
      </c>
      <c r="L482" s="1029" t="s">
        <v>675</v>
      </c>
      <c r="M482" s="1092">
        <v>23100000</v>
      </c>
      <c r="N482" s="1083" t="s">
        <v>741</v>
      </c>
      <c r="O482" s="1083" t="s">
        <v>1620</v>
      </c>
      <c r="P482" s="1083"/>
      <c r="Q482" s="1027"/>
      <c r="R482" s="1022"/>
      <c r="S482" s="1130">
        <v>450</v>
      </c>
      <c r="T482" s="1156">
        <v>23100000</v>
      </c>
    </row>
    <row r="483" spans="1:103" s="995" customFormat="1" ht="105.6" x14ac:dyDescent="0.3">
      <c r="A483" s="1023">
        <v>2022478</v>
      </c>
      <c r="B483" s="1023">
        <v>7658</v>
      </c>
      <c r="C483" s="1023" t="s">
        <v>679</v>
      </c>
      <c r="D483" s="1039" t="s">
        <v>692</v>
      </c>
      <c r="E483" s="1040">
        <v>80111600</v>
      </c>
      <c r="F483" s="1026" t="s">
        <v>1080</v>
      </c>
      <c r="G483" s="1027" t="s">
        <v>1617</v>
      </c>
      <c r="H483" s="1141" t="s">
        <v>1617</v>
      </c>
      <c r="I483" s="1027">
        <v>10</v>
      </c>
      <c r="J483" s="1027" t="s">
        <v>1649</v>
      </c>
      <c r="K483" s="1027" t="s">
        <v>674</v>
      </c>
      <c r="L483" s="1029" t="s">
        <v>675</v>
      </c>
      <c r="M483" s="1092">
        <v>72100000</v>
      </c>
      <c r="N483" s="1083" t="s">
        <v>741</v>
      </c>
      <c r="O483" s="1083" t="s">
        <v>1620</v>
      </c>
      <c r="P483" s="1083"/>
      <c r="Q483" s="1027"/>
      <c r="R483" s="1022"/>
      <c r="S483" s="1130">
        <v>195</v>
      </c>
      <c r="T483" s="1156">
        <v>72100000</v>
      </c>
    </row>
    <row r="484" spans="1:103" s="995" customFormat="1" ht="105.6" x14ac:dyDescent="0.3">
      <c r="A484" s="1023">
        <v>2022479</v>
      </c>
      <c r="B484" s="1023">
        <v>7658</v>
      </c>
      <c r="C484" s="1023" t="s">
        <v>679</v>
      </c>
      <c r="D484" s="1039" t="s">
        <v>692</v>
      </c>
      <c r="E484" s="1040">
        <v>80111600</v>
      </c>
      <c r="F484" s="1026" t="s">
        <v>1080</v>
      </c>
      <c r="G484" s="1027" t="s">
        <v>1617</v>
      </c>
      <c r="H484" s="1141" t="s">
        <v>1617</v>
      </c>
      <c r="I484" s="1027">
        <v>10</v>
      </c>
      <c r="J484" s="1027" t="s">
        <v>1649</v>
      </c>
      <c r="K484" s="1027" t="s">
        <v>674</v>
      </c>
      <c r="L484" s="1029" t="s">
        <v>675</v>
      </c>
      <c r="M484" s="1092">
        <v>48500000</v>
      </c>
      <c r="N484" s="1083" t="s">
        <v>741</v>
      </c>
      <c r="O484" s="1083" t="s">
        <v>1620</v>
      </c>
      <c r="P484" s="1083"/>
      <c r="Q484" s="1027"/>
      <c r="R484" s="1022"/>
      <c r="S484" s="1130">
        <v>243</v>
      </c>
      <c r="T484" s="1156">
        <v>48500000</v>
      </c>
    </row>
    <row r="485" spans="1:103" s="995" customFormat="1" ht="105.6" x14ac:dyDescent="0.3">
      <c r="A485" s="1023">
        <v>2022480</v>
      </c>
      <c r="B485" s="1023">
        <v>7658</v>
      </c>
      <c r="C485" s="1023" t="s">
        <v>679</v>
      </c>
      <c r="D485" s="1039" t="s">
        <v>692</v>
      </c>
      <c r="E485" s="1040">
        <v>80111600</v>
      </c>
      <c r="F485" s="1026" t="s">
        <v>1080</v>
      </c>
      <c r="G485" s="1027" t="s">
        <v>1617</v>
      </c>
      <c r="H485" s="1141" t="s">
        <v>1617</v>
      </c>
      <c r="I485" s="1027">
        <v>10</v>
      </c>
      <c r="J485" s="1027" t="s">
        <v>1649</v>
      </c>
      <c r="K485" s="1027" t="s">
        <v>674</v>
      </c>
      <c r="L485" s="1029" t="s">
        <v>675</v>
      </c>
      <c r="M485" s="1092">
        <v>38500000</v>
      </c>
      <c r="N485" s="1083" t="s">
        <v>741</v>
      </c>
      <c r="O485" s="1083" t="s">
        <v>1620</v>
      </c>
      <c r="P485" s="1083"/>
      <c r="Q485" s="1027"/>
      <c r="R485" s="1022"/>
      <c r="S485" s="1130">
        <v>136</v>
      </c>
      <c r="T485" s="1156">
        <v>38500000</v>
      </c>
    </row>
    <row r="486" spans="1:103" s="995" customFormat="1" ht="105.6" x14ac:dyDescent="0.3">
      <c r="A486" s="1023">
        <v>2022481</v>
      </c>
      <c r="B486" s="1023">
        <v>7658</v>
      </c>
      <c r="C486" s="1023" t="s">
        <v>679</v>
      </c>
      <c r="D486" s="1039" t="s">
        <v>692</v>
      </c>
      <c r="E486" s="1040">
        <v>80111600</v>
      </c>
      <c r="F486" s="1026" t="s">
        <v>1081</v>
      </c>
      <c r="G486" s="1027" t="s">
        <v>1617</v>
      </c>
      <c r="H486" s="1141" t="s">
        <v>1617</v>
      </c>
      <c r="I486" s="1027">
        <v>6</v>
      </c>
      <c r="J486" s="1027" t="s">
        <v>1649</v>
      </c>
      <c r="K486" s="1027" t="s">
        <v>674</v>
      </c>
      <c r="L486" s="1029" t="s">
        <v>675</v>
      </c>
      <c r="M486" s="1092">
        <v>48000000</v>
      </c>
      <c r="N486" s="1083" t="s">
        <v>741</v>
      </c>
      <c r="O486" s="1083" t="s">
        <v>1620</v>
      </c>
      <c r="P486" s="1083"/>
      <c r="Q486" s="1027"/>
      <c r="R486" s="1022"/>
      <c r="S486" s="1130">
        <v>196</v>
      </c>
      <c r="T486" s="1156">
        <v>48000000</v>
      </c>
    </row>
    <row r="487" spans="1:103" s="995" customFormat="1" ht="105.6" x14ac:dyDescent="0.3">
      <c r="A487" s="1023">
        <v>2022482</v>
      </c>
      <c r="B487" s="1023">
        <v>7658</v>
      </c>
      <c r="C487" s="1023" t="s">
        <v>679</v>
      </c>
      <c r="D487" s="1039" t="s">
        <v>692</v>
      </c>
      <c r="E487" s="1040">
        <v>80111600</v>
      </c>
      <c r="F487" s="1026" t="s">
        <v>1082</v>
      </c>
      <c r="G487" s="1027" t="s">
        <v>1617</v>
      </c>
      <c r="H487" s="1141" t="s">
        <v>1617</v>
      </c>
      <c r="I487" s="1027">
        <v>6</v>
      </c>
      <c r="J487" s="1027" t="s">
        <v>1649</v>
      </c>
      <c r="K487" s="1027" t="s">
        <v>674</v>
      </c>
      <c r="L487" s="1029" t="s">
        <v>675</v>
      </c>
      <c r="M487" s="1092">
        <v>28200000</v>
      </c>
      <c r="N487" s="1083" t="s">
        <v>741</v>
      </c>
      <c r="O487" s="1083" t="s">
        <v>1620</v>
      </c>
      <c r="P487" s="1083"/>
      <c r="Q487" s="1027"/>
      <c r="R487" s="1022"/>
      <c r="S487" s="1130">
        <v>146</v>
      </c>
      <c r="T487" s="1156">
        <v>28200000</v>
      </c>
    </row>
    <row r="488" spans="1:103" s="995" customFormat="1" ht="92.4" x14ac:dyDescent="0.3">
      <c r="A488" s="1023">
        <v>2022236</v>
      </c>
      <c r="B488" s="1023">
        <v>7658</v>
      </c>
      <c r="C488" s="1023" t="s">
        <v>679</v>
      </c>
      <c r="D488" s="1039" t="s">
        <v>698</v>
      </c>
      <c r="E488" s="1040">
        <v>80111600</v>
      </c>
      <c r="F488" s="1026" t="s">
        <v>914</v>
      </c>
      <c r="G488" s="1027" t="s">
        <v>1495</v>
      </c>
      <c r="H488" s="1141" t="s">
        <v>1495</v>
      </c>
      <c r="I488" s="1027" t="s">
        <v>1556</v>
      </c>
      <c r="J488" s="1027" t="s">
        <v>1535</v>
      </c>
      <c r="K488" s="1027" t="s">
        <v>674</v>
      </c>
      <c r="L488" s="1029" t="s">
        <v>675</v>
      </c>
      <c r="M488" s="1092">
        <v>39100000</v>
      </c>
      <c r="N488" s="1083" t="s">
        <v>724</v>
      </c>
      <c r="O488" s="1083" t="s">
        <v>1562</v>
      </c>
      <c r="P488" s="1083"/>
      <c r="Q488" s="1027"/>
      <c r="R488" s="1022"/>
      <c r="S488" s="1130">
        <v>390</v>
      </c>
      <c r="T488" s="1156">
        <v>37400000</v>
      </c>
    </row>
    <row r="489" spans="1:103" s="995" customFormat="1" ht="92.4" x14ac:dyDescent="0.3">
      <c r="A489" s="1013">
        <v>2022483</v>
      </c>
      <c r="B489" s="1013">
        <v>7658</v>
      </c>
      <c r="C489" s="1013" t="s">
        <v>679</v>
      </c>
      <c r="D489" s="1045" t="s">
        <v>698</v>
      </c>
      <c r="E489" s="1051" t="s">
        <v>1083</v>
      </c>
      <c r="F489" s="1016" t="s">
        <v>1084</v>
      </c>
      <c r="G489" s="1047" t="s">
        <v>1495</v>
      </c>
      <c r="H489" s="1141" t="s">
        <v>1505</v>
      </c>
      <c r="I489" s="1048" t="s">
        <v>1557</v>
      </c>
      <c r="J489" s="1049" t="s">
        <v>1650</v>
      </c>
      <c r="K489" s="1017" t="s">
        <v>674</v>
      </c>
      <c r="L489" s="1085" t="s">
        <v>1085</v>
      </c>
      <c r="M489" s="1020">
        <v>30000000</v>
      </c>
      <c r="N489" s="1037" t="s">
        <v>1651</v>
      </c>
      <c r="O489" s="1037" t="s">
        <v>1562</v>
      </c>
      <c r="P489" s="1037"/>
      <c r="Q489" s="1047">
        <v>44600</v>
      </c>
      <c r="R489" s="1022"/>
      <c r="S489" s="1130"/>
      <c r="T489" s="1156"/>
    </row>
    <row r="490" spans="1:103" s="1034" customFormat="1" ht="92.4" x14ac:dyDescent="0.3">
      <c r="A490" s="1131">
        <v>2022484</v>
      </c>
      <c r="B490" s="1131">
        <v>7658</v>
      </c>
      <c r="C490" s="1131" t="s">
        <v>679</v>
      </c>
      <c r="D490" s="1139" t="s">
        <v>698</v>
      </c>
      <c r="E490" s="1140" t="s">
        <v>1086</v>
      </c>
      <c r="F490" s="1134" t="s">
        <v>1087</v>
      </c>
      <c r="G490" s="1141" t="s">
        <v>1495</v>
      </c>
      <c r="H490" s="1141" t="s">
        <v>1505</v>
      </c>
      <c r="I490" s="1142" t="s">
        <v>1558</v>
      </c>
      <c r="J490" s="1143" t="s">
        <v>1605</v>
      </c>
      <c r="K490" s="1135" t="s">
        <v>674</v>
      </c>
      <c r="L490" s="1153" t="s">
        <v>1088</v>
      </c>
      <c r="M490" s="1136">
        <v>100000000</v>
      </c>
      <c r="N490" s="1151" t="s">
        <v>1651</v>
      </c>
      <c r="O490" s="1151" t="s">
        <v>1562</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92.4" x14ac:dyDescent="0.3">
      <c r="A491" s="1131">
        <v>2022485</v>
      </c>
      <c r="B491" s="1131">
        <v>7658</v>
      </c>
      <c r="C491" s="1131" t="s">
        <v>679</v>
      </c>
      <c r="D491" s="1139" t="s">
        <v>698</v>
      </c>
      <c r="E491" s="1140" t="s">
        <v>1089</v>
      </c>
      <c r="F491" s="1134" t="s">
        <v>1090</v>
      </c>
      <c r="G491" s="1141" t="s">
        <v>1495</v>
      </c>
      <c r="H491" s="1141" t="s">
        <v>1505</v>
      </c>
      <c r="I491" s="1142" t="s">
        <v>1498</v>
      </c>
      <c r="J491" s="1143" t="s">
        <v>1605</v>
      </c>
      <c r="K491" s="1135" t="s">
        <v>674</v>
      </c>
      <c r="L491" s="1132" t="s">
        <v>1091</v>
      </c>
      <c r="M491" s="1136">
        <v>260900000</v>
      </c>
      <c r="N491" s="1151" t="s">
        <v>1651</v>
      </c>
      <c r="O491" s="1151" t="s">
        <v>1562</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92.4" x14ac:dyDescent="0.3">
      <c r="A492" s="1013">
        <v>2022486</v>
      </c>
      <c r="B492" s="1013">
        <v>7658</v>
      </c>
      <c r="C492" s="1013" t="s">
        <v>679</v>
      </c>
      <c r="D492" s="1045" t="s">
        <v>698</v>
      </c>
      <c r="E492" s="1094" t="s">
        <v>1092</v>
      </c>
      <c r="F492" s="1016" t="s">
        <v>1093</v>
      </c>
      <c r="G492" s="1047" t="s">
        <v>1495</v>
      </c>
      <c r="H492" s="1141" t="s">
        <v>1505</v>
      </c>
      <c r="I492" s="1048" t="s">
        <v>1558</v>
      </c>
      <c r="J492" s="1049" t="s">
        <v>1605</v>
      </c>
      <c r="K492" s="1017" t="s">
        <v>674</v>
      </c>
      <c r="L492" s="1019" t="s">
        <v>1584</v>
      </c>
      <c r="M492" s="1020">
        <v>200000000</v>
      </c>
      <c r="N492" s="1037" t="s">
        <v>1651</v>
      </c>
      <c r="O492" s="1037" t="s">
        <v>1562</v>
      </c>
      <c r="P492" s="1037"/>
      <c r="Q492" s="1017"/>
      <c r="R492" s="1022"/>
      <c r="S492" s="1130"/>
      <c r="T492" s="1156"/>
    </row>
    <row r="493" spans="1:103" s="995" customFormat="1" ht="92.4" x14ac:dyDescent="0.3">
      <c r="A493" s="1013">
        <v>2022487</v>
      </c>
      <c r="B493" s="1013">
        <v>7658</v>
      </c>
      <c r="C493" s="1013" t="s">
        <v>679</v>
      </c>
      <c r="D493" s="1045" t="s">
        <v>698</v>
      </c>
      <c r="E493" s="1094" t="s">
        <v>1086</v>
      </c>
      <c r="F493" s="1016" t="s">
        <v>1094</v>
      </c>
      <c r="G493" s="1047" t="s">
        <v>1495</v>
      </c>
      <c r="H493" s="1141" t="s">
        <v>1505</v>
      </c>
      <c r="I493" s="1048" t="s">
        <v>1652</v>
      </c>
      <c r="J493" s="1049" t="s">
        <v>1653</v>
      </c>
      <c r="K493" s="1017" t="s">
        <v>674</v>
      </c>
      <c r="L493" s="1085" t="s">
        <v>1088</v>
      </c>
      <c r="M493" s="1020">
        <v>34000000</v>
      </c>
      <c r="N493" s="1037" t="s">
        <v>1651</v>
      </c>
      <c r="O493" s="1037" t="s">
        <v>1562</v>
      </c>
      <c r="P493" s="1037"/>
      <c r="Q493" s="1017"/>
      <c r="R493" s="1022"/>
      <c r="S493" s="1130"/>
      <c r="T493" s="1156"/>
    </row>
    <row r="494" spans="1:103" s="1034" customFormat="1" ht="92.4" x14ac:dyDescent="0.3">
      <c r="A494" s="1131">
        <v>2022488</v>
      </c>
      <c r="B494" s="1131">
        <v>7658</v>
      </c>
      <c r="C494" s="1131" t="s">
        <v>679</v>
      </c>
      <c r="D494" s="1139" t="s">
        <v>698</v>
      </c>
      <c r="E494" s="1145">
        <v>78181500</v>
      </c>
      <c r="F494" s="1134" t="s">
        <v>1095</v>
      </c>
      <c r="G494" s="1141" t="s">
        <v>1495</v>
      </c>
      <c r="H494" s="1141" t="s">
        <v>1505</v>
      </c>
      <c r="I494" s="1142" t="s">
        <v>1654</v>
      </c>
      <c r="J494" s="1143" t="s">
        <v>1586</v>
      </c>
      <c r="K494" s="1135" t="s">
        <v>674</v>
      </c>
      <c r="L494" s="1132" t="s">
        <v>1096</v>
      </c>
      <c r="M494" s="1136">
        <v>2500000000</v>
      </c>
      <c r="N494" s="1151" t="s">
        <v>724</v>
      </c>
      <c r="O494" s="1151" t="s">
        <v>1562</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5.6" x14ac:dyDescent="0.3">
      <c r="A495" s="1023">
        <v>2022489</v>
      </c>
      <c r="B495" s="1023">
        <v>7658</v>
      </c>
      <c r="C495" s="1023" t="s">
        <v>679</v>
      </c>
      <c r="D495" s="1039" t="s">
        <v>698</v>
      </c>
      <c r="E495" s="1040">
        <v>78181500</v>
      </c>
      <c r="F495" s="1026" t="s">
        <v>1097</v>
      </c>
      <c r="G495" s="1041" t="s">
        <v>1495</v>
      </c>
      <c r="H495" s="1141" t="s">
        <v>1495</v>
      </c>
      <c r="I495" s="1042" t="s">
        <v>1614</v>
      </c>
      <c r="J495" s="1043" t="s">
        <v>1586</v>
      </c>
      <c r="K495" s="1027" t="s">
        <v>674</v>
      </c>
      <c r="L495" s="1029" t="s">
        <v>1096</v>
      </c>
      <c r="M495" s="1030">
        <v>750000000</v>
      </c>
      <c r="N495" s="1083" t="s">
        <v>724</v>
      </c>
      <c r="O495" s="1083" t="s">
        <v>1562</v>
      </c>
      <c r="P495" s="1083"/>
      <c r="Q495" s="1027"/>
      <c r="R495" s="1022"/>
      <c r="S495" s="1130">
        <v>493</v>
      </c>
      <c r="T495" s="1156">
        <v>750000000</v>
      </c>
    </row>
    <row r="496" spans="1:103" s="1022" customFormat="1" ht="105.6" x14ac:dyDescent="0.3">
      <c r="A496" s="1131">
        <v>2022490</v>
      </c>
      <c r="B496" s="1131">
        <v>7658</v>
      </c>
      <c r="C496" s="1131" t="s">
        <v>679</v>
      </c>
      <c r="D496" s="1139" t="s">
        <v>698</v>
      </c>
      <c r="E496" s="1145">
        <v>78181500</v>
      </c>
      <c r="F496" s="1134" t="s">
        <v>1098</v>
      </c>
      <c r="G496" s="1141" t="s">
        <v>1495</v>
      </c>
      <c r="H496" s="1141" t="s">
        <v>1495</v>
      </c>
      <c r="I496" s="1142" t="s">
        <v>1655</v>
      </c>
      <c r="J496" s="1143" t="s">
        <v>1586</v>
      </c>
      <c r="K496" s="1135" t="s">
        <v>674</v>
      </c>
      <c r="L496" s="1132" t="s">
        <v>1096</v>
      </c>
      <c r="M496" s="1136">
        <v>100000000</v>
      </c>
      <c r="N496" s="1151" t="s">
        <v>724</v>
      </c>
      <c r="O496" s="1151" t="s">
        <v>1562</v>
      </c>
      <c r="P496" s="1151"/>
      <c r="Q496" s="1135"/>
      <c r="R496" s="1130">
        <v>593</v>
      </c>
      <c r="S496" s="1130"/>
      <c r="T496" s="1156"/>
    </row>
    <row r="497" spans="1:103" s="1034" customFormat="1" ht="92.4" x14ac:dyDescent="0.3">
      <c r="A497" s="1131">
        <v>2022491</v>
      </c>
      <c r="B497" s="1131">
        <v>7658</v>
      </c>
      <c r="C497" s="1131" t="s">
        <v>679</v>
      </c>
      <c r="D497" s="1139" t="s">
        <v>698</v>
      </c>
      <c r="E497" s="1145">
        <v>25172500</v>
      </c>
      <c r="F497" s="1134" t="s">
        <v>1099</v>
      </c>
      <c r="G497" s="1141" t="s">
        <v>1495</v>
      </c>
      <c r="H497" s="1141" t="s">
        <v>1505</v>
      </c>
      <c r="I497" s="1142" t="s">
        <v>1498</v>
      </c>
      <c r="J497" s="1143" t="s">
        <v>1605</v>
      </c>
      <c r="K497" s="1135" t="s">
        <v>674</v>
      </c>
      <c r="L497" s="1132" t="s">
        <v>994</v>
      </c>
      <c r="M497" s="1136">
        <v>150000000</v>
      </c>
      <c r="N497" s="1151" t="s">
        <v>724</v>
      </c>
      <c r="O497" s="1151" t="s">
        <v>1562</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92.4" x14ac:dyDescent="0.3">
      <c r="A498" s="1023">
        <v>2022492</v>
      </c>
      <c r="B498" s="1023">
        <v>7658</v>
      </c>
      <c r="C498" s="1023" t="s">
        <v>679</v>
      </c>
      <c r="D498" s="1039" t="s">
        <v>698</v>
      </c>
      <c r="E498" s="1040">
        <v>15101500</v>
      </c>
      <c r="F498" s="1026" t="s">
        <v>1100</v>
      </c>
      <c r="G498" s="1041" t="s">
        <v>1495</v>
      </c>
      <c r="H498" s="1141" t="s">
        <v>1505</v>
      </c>
      <c r="I498" s="1042" t="s">
        <v>1654</v>
      </c>
      <c r="J498" s="1043" t="s">
        <v>1564</v>
      </c>
      <c r="K498" s="1027" t="s">
        <v>674</v>
      </c>
      <c r="L498" s="1029" t="s">
        <v>1101</v>
      </c>
      <c r="M498" s="1030">
        <v>1030000000</v>
      </c>
      <c r="N498" s="1083" t="s">
        <v>724</v>
      </c>
      <c r="O498" s="1083" t="s">
        <v>1562</v>
      </c>
      <c r="P498" s="1083"/>
      <c r="Q498" s="1027"/>
      <c r="R498" s="1022"/>
      <c r="S498" s="1130">
        <v>221</v>
      </c>
      <c r="T498" s="1156">
        <v>1030000000</v>
      </c>
    </row>
    <row r="499" spans="1:103" s="995" customFormat="1" ht="92.4" x14ac:dyDescent="0.3">
      <c r="A499" s="1013">
        <v>2022493</v>
      </c>
      <c r="B499" s="1013">
        <v>7658</v>
      </c>
      <c r="C499" s="1013" t="s">
        <v>679</v>
      </c>
      <c r="D499" s="1045" t="s">
        <v>698</v>
      </c>
      <c r="E499" s="1051" t="s">
        <v>1102</v>
      </c>
      <c r="F499" s="1016" t="s">
        <v>1103</v>
      </c>
      <c r="G499" s="1047" t="s">
        <v>1495</v>
      </c>
      <c r="H499" s="1141" t="s">
        <v>1505</v>
      </c>
      <c r="I499" s="1048" t="s">
        <v>1654</v>
      </c>
      <c r="J499" s="1049" t="s">
        <v>1605</v>
      </c>
      <c r="K499" s="1017" t="s">
        <v>674</v>
      </c>
      <c r="L499" s="1019" t="s">
        <v>994</v>
      </c>
      <c r="M499" s="1020">
        <v>400000000</v>
      </c>
      <c r="N499" s="1037" t="s">
        <v>724</v>
      </c>
      <c r="O499" s="1037" t="s">
        <v>1562</v>
      </c>
      <c r="P499" s="1037"/>
      <c r="Q499" s="1017"/>
      <c r="R499" s="1022"/>
      <c r="S499" s="1130"/>
      <c r="T499" s="1156"/>
    </row>
    <row r="500" spans="1:103" s="995" customFormat="1" ht="92.4" x14ac:dyDescent="0.3">
      <c r="A500" s="1013">
        <v>2022494</v>
      </c>
      <c r="B500" s="1013">
        <v>7658</v>
      </c>
      <c r="C500" s="1013" t="s">
        <v>679</v>
      </c>
      <c r="D500" s="1045" t="s">
        <v>698</v>
      </c>
      <c r="E500" s="1051" t="s">
        <v>1656</v>
      </c>
      <c r="F500" s="1016" t="s">
        <v>1657</v>
      </c>
      <c r="G500" s="1047" t="s">
        <v>1495</v>
      </c>
      <c r="H500" s="1141" t="s">
        <v>1505</v>
      </c>
      <c r="I500" s="1048" t="s">
        <v>1558</v>
      </c>
      <c r="J500" s="1049" t="s">
        <v>1658</v>
      </c>
      <c r="K500" s="1017" t="s">
        <v>674</v>
      </c>
      <c r="L500" s="1085" t="s">
        <v>948</v>
      </c>
      <c r="M500" s="1020">
        <v>50000000</v>
      </c>
      <c r="N500" s="1037" t="s">
        <v>724</v>
      </c>
      <c r="O500" s="1037" t="s">
        <v>1562</v>
      </c>
      <c r="P500" s="1037"/>
      <c r="Q500" s="1017"/>
      <c r="R500" s="1022"/>
      <c r="S500" s="1130"/>
      <c r="T500" s="1156"/>
    </row>
    <row r="501" spans="1:103" s="995" customFormat="1" ht="92.4" x14ac:dyDescent="0.3">
      <c r="A501" s="1013">
        <v>2022495</v>
      </c>
      <c r="B501" s="1013">
        <v>7658</v>
      </c>
      <c r="C501" s="1013" t="s">
        <v>679</v>
      </c>
      <c r="D501" s="1045" t="s">
        <v>698</v>
      </c>
      <c r="E501" s="1046">
        <v>78181505</v>
      </c>
      <c r="F501" s="1016" t="s">
        <v>1104</v>
      </c>
      <c r="G501" s="1047" t="s">
        <v>1495</v>
      </c>
      <c r="H501" s="1141" t="s">
        <v>1505</v>
      </c>
      <c r="I501" s="1048" t="s">
        <v>1498</v>
      </c>
      <c r="J501" s="1049" t="s">
        <v>1605</v>
      </c>
      <c r="K501" s="1017" t="s">
        <v>674</v>
      </c>
      <c r="L501" s="1019" t="s">
        <v>994</v>
      </c>
      <c r="M501" s="1020">
        <v>80000000</v>
      </c>
      <c r="N501" s="1037" t="s">
        <v>724</v>
      </c>
      <c r="O501" s="1037" t="s">
        <v>1562</v>
      </c>
      <c r="P501" s="1037"/>
      <c r="Q501" s="1047">
        <v>44600</v>
      </c>
      <c r="R501" s="1022"/>
      <c r="S501" s="1130"/>
      <c r="T501" s="1156"/>
    </row>
    <row r="502" spans="1:103" s="995" customFormat="1" ht="92.4" x14ac:dyDescent="0.3">
      <c r="A502" s="1013">
        <v>2022496</v>
      </c>
      <c r="B502" s="1013">
        <v>7658</v>
      </c>
      <c r="C502" s="1013" t="s">
        <v>679</v>
      </c>
      <c r="D502" s="1045" t="s">
        <v>698</v>
      </c>
      <c r="E502" s="1046" t="s">
        <v>1105</v>
      </c>
      <c r="F502" s="1016" t="s">
        <v>1106</v>
      </c>
      <c r="G502" s="1047" t="s">
        <v>1495</v>
      </c>
      <c r="H502" s="1141" t="s">
        <v>1505</v>
      </c>
      <c r="I502" s="1048" t="s">
        <v>1654</v>
      </c>
      <c r="J502" s="1049" t="s">
        <v>1605</v>
      </c>
      <c r="K502" s="1017" t="s">
        <v>674</v>
      </c>
      <c r="L502" s="1019" t="s">
        <v>994</v>
      </c>
      <c r="M502" s="1020">
        <v>150000000</v>
      </c>
      <c r="N502" s="1037" t="s">
        <v>724</v>
      </c>
      <c r="O502" s="1037" t="s">
        <v>1562</v>
      </c>
      <c r="P502" s="1037"/>
      <c r="Q502" s="1047">
        <v>44600</v>
      </c>
      <c r="R502" s="1022"/>
      <c r="S502" s="1130"/>
      <c r="T502" s="1156"/>
    </row>
    <row r="503" spans="1:103" s="1034" customFormat="1" ht="92.4" x14ac:dyDescent="0.3">
      <c r="A503" s="1131">
        <v>2022497</v>
      </c>
      <c r="B503" s="1131">
        <v>7658</v>
      </c>
      <c r="C503" s="1131" t="s">
        <v>679</v>
      </c>
      <c r="D503" s="1139" t="s">
        <v>698</v>
      </c>
      <c r="E503" s="1145">
        <v>72101509</v>
      </c>
      <c r="F503" s="1134" t="s">
        <v>1107</v>
      </c>
      <c r="G503" s="1141" t="s">
        <v>1495</v>
      </c>
      <c r="H503" s="1141" t="s">
        <v>1505</v>
      </c>
      <c r="I503" s="1142" t="s">
        <v>1654</v>
      </c>
      <c r="J503" s="1143" t="s">
        <v>1605</v>
      </c>
      <c r="K503" s="1135" t="s">
        <v>674</v>
      </c>
      <c r="L503" s="1132" t="s">
        <v>994</v>
      </c>
      <c r="M503" s="1136">
        <v>350000000</v>
      </c>
      <c r="N503" s="1151" t="s">
        <v>724</v>
      </c>
      <c r="O503" s="1151" t="s">
        <v>1562</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92.4" x14ac:dyDescent="0.3">
      <c r="A504" s="1013">
        <v>2022498</v>
      </c>
      <c r="B504" s="1013">
        <v>7658</v>
      </c>
      <c r="C504" s="1013" t="s">
        <v>679</v>
      </c>
      <c r="D504" s="1045" t="s">
        <v>698</v>
      </c>
      <c r="E504" s="1046">
        <v>72101509</v>
      </c>
      <c r="F504" s="1016" t="s">
        <v>1659</v>
      </c>
      <c r="G504" s="1047" t="s">
        <v>1495</v>
      </c>
      <c r="H504" s="1141" t="s">
        <v>1505</v>
      </c>
      <c r="I504" s="1048" t="s">
        <v>1654</v>
      </c>
      <c r="J504" s="1049" t="s">
        <v>1660</v>
      </c>
      <c r="K504" s="1017" t="s">
        <v>674</v>
      </c>
      <c r="L504" s="1019" t="s">
        <v>994</v>
      </c>
      <c r="M504" s="1020">
        <v>300000000</v>
      </c>
      <c r="N504" s="1037" t="s">
        <v>724</v>
      </c>
      <c r="O504" s="1037" t="s">
        <v>1562</v>
      </c>
      <c r="P504" s="1037"/>
      <c r="Q504" s="1047">
        <v>44600</v>
      </c>
      <c r="R504" s="1022"/>
      <c r="S504" s="1130"/>
      <c r="T504" s="1156"/>
    </row>
    <row r="505" spans="1:103" s="995" customFormat="1" ht="92.4" x14ac:dyDescent="0.3">
      <c r="A505" s="1131">
        <v>2022499</v>
      </c>
      <c r="B505" s="1131">
        <v>7658</v>
      </c>
      <c r="C505" s="1131" t="s">
        <v>679</v>
      </c>
      <c r="D505" s="1139" t="s">
        <v>698</v>
      </c>
      <c r="E505" s="1145">
        <v>78111800</v>
      </c>
      <c r="F505" s="1134" t="s">
        <v>1109</v>
      </c>
      <c r="G505" s="1141" t="s">
        <v>1495</v>
      </c>
      <c r="H505" s="1141" t="s">
        <v>1505</v>
      </c>
      <c r="I505" s="1142" t="s">
        <v>1654</v>
      </c>
      <c r="J505" s="1143" t="s">
        <v>1564</v>
      </c>
      <c r="K505" s="1135" t="s">
        <v>674</v>
      </c>
      <c r="L505" s="1153" t="s">
        <v>1110</v>
      </c>
      <c r="M505" s="1136">
        <v>600000000</v>
      </c>
      <c r="N505" s="1151" t="s">
        <v>724</v>
      </c>
      <c r="O505" s="1151" t="s">
        <v>1562</v>
      </c>
      <c r="P505" s="1151"/>
      <c r="Q505" s="1135"/>
      <c r="R505" s="1130">
        <v>592</v>
      </c>
      <c r="S505" s="1130"/>
      <c r="T505" s="1156"/>
    </row>
    <row r="506" spans="1:103" s="995" customFormat="1" ht="92.4" x14ac:dyDescent="0.25">
      <c r="A506" s="1013">
        <v>2022500</v>
      </c>
      <c r="B506" s="1013">
        <v>7658</v>
      </c>
      <c r="C506" s="1096" t="s">
        <v>679</v>
      </c>
      <c r="D506" s="1045" t="s">
        <v>698</v>
      </c>
      <c r="E506" s="1046"/>
      <c r="F506" s="1016" t="s">
        <v>1111</v>
      </c>
      <c r="G506" s="1047" t="s">
        <v>1495</v>
      </c>
      <c r="H506" s="1047" t="s">
        <v>1505</v>
      </c>
      <c r="I506" s="1048" t="s">
        <v>1654</v>
      </c>
      <c r="J506" s="1095"/>
      <c r="K506" s="1017" t="s">
        <v>674</v>
      </c>
      <c r="L506" s="1097" t="s">
        <v>675</v>
      </c>
      <c r="M506" s="1020">
        <f>93500000-7475000-10000000</f>
        <v>76025000</v>
      </c>
      <c r="N506" s="1037" t="s">
        <v>1651</v>
      </c>
      <c r="O506" s="1037" t="s">
        <v>1562</v>
      </c>
      <c r="P506" s="1037"/>
      <c r="Q506" s="1047">
        <v>44600</v>
      </c>
      <c r="R506" s="1022"/>
      <c r="S506" s="1130"/>
      <c r="T506" s="1156"/>
    </row>
    <row r="507" spans="1:103" s="995" customFormat="1" ht="92.4" x14ac:dyDescent="0.3">
      <c r="A507" s="1013">
        <v>2022501</v>
      </c>
      <c r="B507" s="1013">
        <v>7658</v>
      </c>
      <c r="C507" s="1096" t="s">
        <v>679</v>
      </c>
      <c r="D507" s="1045" t="s">
        <v>698</v>
      </c>
      <c r="E507" s="1046" t="s">
        <v>1112</v>
      </c>
      <c r="F507" s="1016" t="s">
        <v>1113</v>
      </c>
      <c r="G507" s="1047" t="s">
        <v>1495</v>
      </c>
      <c r="H507" s="1047" t="s">
        <v>1505</v>
      </c>
      <c r="I507" s="1048" t="s">
        <v>1654</v>
      </c>
      <c r="J507" s="1049" t="s">
        <v>1586</v>
      </c>
      <c r="K507" s="1017" t="s">
        <v>770</v>
      </c>
      <c r="L507" s="1019" t="s">
        <v>1584</v>
      </c>
      <c r="M507" s="1020">
        <v>437560000</v>
      </c>
      <c r="N507" s="1037" t="s">
        <v>724</v>
      </c>
      <c r="O507" s="1037" t="s">
        <v>1562</v>
      </c>
      <c r="P507" s="1037"/>
      <c r="Q507" s="1017"/>
      <c r="R507" s="1022"/>
      <c r="S507" s="1130"/>
      <c r="T507" s="1156"/>
    </row>
    <row r="508" spans="1:103" s="995" customFormat="1" ht="105.6" x14ac:dyDescent="0.3">
      <c r="A508" s="1023">
        <v>2022502</v>
      </c>
      <c r="B508" s="1023">
        <v>7658</v>
      </c>
      <c r="C508" s="1098" t="s">
        <v>679</v>
      </c>
      <c r="D508" s="1039" t="s">
        <v>698</v>
      </c>
      <c r="E508" s="1040">
        <v>80111600</v>
      </c>
      <c r="F508" s="1026" t="s">
        <v>1114</v>
      </c>
      <c r="G508" s="1041" t="s">
        <v>1495</v>
      </c>
      <c r="H508" s="1028" t="s">
        <v>1495</v>
      </c>
      <c r="I508" s="1042" t="s">
        <v>1556</v>
      </c>
      <c r="J508" s="1043" t="s">
        <v>1535</v>
      </c>
      <c r="K508" s="1027" t="s">
        <v>674</v>
      </c>
      <c r="L508" s="1029" t="s">
        <v>675</v>
      </c>
      <c r="M508" s="1030">
        <v>98900000</v>
      </c>
      <c r="N508" s="1083" t="s">
        <v>724</v>
      </c>
      <c r="O508" s="1083" t="s">
        <v>1562</v>
      </c>
      <c r="P508" s="1083"/>
      <c r="Q508" s="1027"/>
      <c r="R508" s="1022"/>
      <c r="S508" s="1130">
        <v>127</v>
      </c>
      <c r="T508" s="1156">
        <v>94600000</v>
      </c>
    </row>
    <row r="509" spans="1:103" s="995" customFormat="1" ht="92.4" x14ac:dyDescent="0.3">
      <c r="A509" s="1023">
        <v>2022503</v>
      </c>
      <c r="B509" s="1023">
        <v>7658</v>
      </c>
      <c r="C509" s="1098" t="s">
        <v>679</v>
      </c>
      <c r="D509" s="1039" t="s">
        <v>698</v>
      </c>
      <c r="E509" s="1040">
        <v>80111600</v>
      </c>
      <c r="F509" s="1026" t="s">
        <v>1115</v>
      </c>
      <c r="G509" s="1041" t="s">
        <v>1495</v>
      </c>
      <c r="H509" s="1028" t="s">
        <v>1495</v>
      </c>
      <c r="I509" s="1042" t="s">
        <v>1556</v>
      </c>
      <c r="J509" s="1043" t="s">
        <v>1535</v>
      </c>
      <c r="K509" s="1027" t="s">
        <v>674</v>
      </c>
      <c r="L509" s="1029" t="s">
        <v>675</v>
      </c>
      <c r="M509" s="1030">
        <v>97175000</v>
      </c>
      <c r="N509" s="1083" t="s">
        <v>724</v>
      </c>
      <c r="O509" s="1083" t="s">
        <v>1562</v>
      </c>
      <c r="P509" s="1083"/>
      <c r="Q509" s="1027"/>
      <c r="R509" s="1022"/>
      <c r="S509" s="1130">
        <v>75</v>
      </c>
      <c r="T509" s="1156">
        <v>92950000</v>
      </c>
    </row>
    <row r="510" spans="1:103" s="995" customFormat="1" ht="92.4" x14ac:dyDescent="0.3">
      <c r="A510" s="1023">
        <v>2022504</v>
      </c>
      <c r="B510" s="1023">
        <v>7658</v>
      </c>
      <c r="C510" s="1098" t="s">
        <v>679</v>
      </c>
      <c r="D510" s="1039" t="s">
        <v>698</v>
      </c>
      <c r="E510" s="1040">
        <v>80111600</v>
      </c>
      <c r="F510" s="1026" t="s">
        <v>1116</v>
      </c>
      <c r="G510" s="1041" t="s">
        <v>1495</v>
      </c>
      <c r="H510" s="1028" t="s">
        <v>1495</v>
      </c>
      <c r="I510" s="1042" t="s">
        <v>1556</v>
      </c>
      <c r="J510" s="1043" t="s">
        <v>1535</v>
      </c>
      <c r="K510" s="1027" t="s">
        <v>674</v>
      </c>
      <c r="L510" s="1029" t="s">
        <v>780</v>
      </c>
      <c r="M510" s="1030">
        <v>103500000</v>
      </c>
      <c r="N510" s="1083" t="s">
        <v>724</v>
      </c>
      <c r="O510" s="1083" t="s">
        <v>1562</v>
      </c>
      <c r="P510" s="1083"/>
      <c r="Q510" s="1027"/>
      <c r="R510" s="1022"/>
      <c r="S510" s="1130">
        <v>303</v>
      </c>
      <c r="T510" s="1156">
        <v>99000000</v>
      </c>
    </row>
    <row r="511" spans="1:103" s="995" customFormat="1" ht="92.4" x14ac:dyDescent="0.3">
      <c r="A511" s="1023">
        <v>2022505</v>
      </c>
      <c r="B511" s="1023">
        <v>7658</v>
      </c>
      <c r="C511" s="1098" t="s">
        <v>679</v>
      </c>
      <c r="D511" s="1039" t="s">
        <v>698</v>
      </c>
      <c r="E511" s="1040">
        <v>80111600</v>
      </c>
      <c r="F511" s="1026" t="s">
        <v>1117</v>
      </c>
      <c r="G511" s="1041" t="s">
        <v>1495</v>
      </c>
      <c r="H511" s="1028" t="s">
        <v>1495</v>
      </c>
      <c r="I511" s="1042" t="s">
        <v>1556</v>
      </c>
      <c r="J511" s="1043" t="s">
        <v>1535</v>
      </c>
      <c r="K511" s="1027" t="s">
        <v>674</v>
      </c>
      <c r="L511" s="1029" t="s">
        <v>675</v>
      </c>
      <c r="M511" s="1030">
        <v>94760000</v>
      </c>
      <c r="N511" s="1083" t="s">
        <v>1651</v>
      </c>
      <c r="O511" s="1083" t="s">
        <v>1562</v>
      </c>
      <c r="P511" s="1083"/>
      <c r="Q511" s="1027"/>
      <c r="R511" s="1022"/>
      <c r="S511" s="1130">
        <v>455</v>
      </c>
      <c r="T511" s="1156">
        <v>90640000</v>
      </c>
    </row>
    <row r="512" spans="1:103" s="995" customFormat="1" ht="92.4" x14ac:dyDescent="0.3">
      <c r="A512" s="1023">
        <v>2022506</v>
      </c>
      <c r="B512" s="1023">
        <v>7658</v>
      </c>
      <c r="C512" s="1098" t="s">
        <v>679</v>
      </c>
      <c r="D512" s="1039" t="s">
        <v>698</v>
      </c>
      <c r="E512" s="1040">
        <v>80111600</v>
      </c>
      <c r="F512" s="1026" t="s">
        <v>1118</v>
      </c>
      <c r="G512" s="1041" t="s">
        <v>1495</v>
      </c>
      <c r="H512" s="1028" t="s">
        <v>1495</v>
      </c>
      <c r="I512" s="1042" t="s">
        <v>1556</v>
      </c>
      <c r="J512" s="1043" t="s">
        <v>1535</v>
      </c>
      <c r="K512" s="1027" t="s">
        <v>674</v>
      </c>
      <c r="L512" s="1027" t="s">
        <v>675</v>
      </c>
      <c r="M512" s="1030">
        <f>97175000-20700000-13225000</f>
        <v>63250000</v>
      </c>
      <c r="N512" s="1083" t="s">
        <v>724</v>
      </c>
      <c r="O512" s="1083" t="s">
        <v>1562</v>
      </c>
      <c r="P512" s="1083"/>
      <c r="Q512" s="1027"/>
      <c r="R512" s="1022"/>
      <c r="S512" s="1130">
        <v>442</v>
      </c>
      <c r="T512" s="1156">
        <v>60500000</v>
      </c>
    </row>
    <row r="513" spans="1:20" s="995" customFormat="1" ht="92.4" x14ac:dyDescent="0.3">
      <c r="A513" s="1023">
        <v>2022507</v>
      </c>
      <c r="B513" s="1023">
        <v>7658</v>
      </c>
      <c r="C513" s="1098" t="s">
        <v>679</v>
      </c>
      <c r="D513" s="1039" t="s">
        <v>698</v>
      </c>
      <c r="E513" s="1040">
        <v>80111600</v>
      </c>
      <c r="F513" s="1026" t="s">
        <v>1119</v>
      </c>
      <c r="G513" s="1041" t="s">
        <v>1495</v>
      </c>
      <c r="H513" s="1028" t="s">
        <v>1495</v>
      </c>
      <c r="I513" s="1042" t="s">
        <v>1556</v>
      </c>
      <c r="J513" s="1043" t="s">
        <v>1535</v>
      </c>
      <c r="K513" s="1027" t="s">
        <v>674</v>
      </c>
      <c r="L513" s="1029" t="s">
        <v>675</v>
      </c>
      <c r="M513" s="1030">
        <v>82915000</v>
      </c>
      <c r="N513" s="1083" t="s">
        <v>724</v>
      </c>
      <c r="O513" s="1083" t="s">
        <v>1562</v>
      </c>
      <c r="P513" s="1083"/>
      <c r="Q513" s="1027"/>
      <c r="R513" s="1022"/>
      <c r="S513" s="1130">
        <v>383</v>
      </c>
      <c r="T513" s="1156">
        <v>79310000</v>
      </c>
    </row>
    <row r="514" spans="1:20" s="995" customFormat="1" ht="92.4" x14ac:dyDescent="0.3">
      <c r="A514" s="1023">
        <v>2022508</v>
      </c>
      <c r="B514" s="1023">
        <v>7658</v>
      </c>
      <c r="C514" s="1098" t="s">
        <v>679</v>
      </c>
      <c r="D514" s="1039" t="s">
        <v>698</v>
      </c>
      <c r="E514" s="1040">
        <v>80111600</v>
      </c>
      <c r="F514" s="1026" t="s">
        <v>1120</v>
      </c>
      <c r="G514" s="1041" t="s">
        <v>1495</v>
      </c>
      <c r="H514" s="1028" t="s">
        <v>1495</v>
      </c>
      <c r="I514" s="1042" t="s">
        <v>1556</v>
      </c>
      <c r="J514" s="1043" t="s">
        <v>1535</v>
      </c>
      <c r="K514" s="1027" t="s">
        <v>674</v>
      </c>
      <c r="L514" s="1029" t="s">
        <v>675</v>
      </c>
      <c r="M514" s="1030">
        <v>32200000</v>
      </c>
      <c r="N514" s="1083" t="s">
        <v>724</v>
      </c>
      <c r="O514" s="1083" t="s">
        <v>1562</v>
      </c>
      <c r="P514" s="1083"/>
      <c r="Q514" s="1027"/>
      <c r="R514" s="1022"/>
      <c r="S514" s="1130">
        <v>111</v>
      </c>
      <c r="T514" s="1156">
        <v>16800000</v>
      </c>
    </row>
    <row r="515" spans="1:20" s="995" customFormat="1" ht="92.4" x14ac:dyDescent="0.3">
      <c r="A515" s="1023">
        <v>2022509</v>
      </c>
      <c r="B515" s="1023">
        <v>7658</v>
      </c>
      <c r="C515" s="1098" t="s">
        <v>679</v>
      </c>
      <c r="D515" s="1039" t="s">
        <v>698</v>
      </c>
      <c r="E515" s="1040">
        <v>80111600</v>
      </c>
      <c r="F515" s="1026" t="s">
        <v>1121</v>
      </c>
      <c r="G515" s="1041" t="s">
        <v>1495</v>
      </c>
      <c r="H515" s="1028" t="s">
        <v>1495</v>
      </c>
      <c r="I515" s="1042" t="s">
        <v>1556</v>
      </c>
      <c r="J515" s="1043" t="s">
        <v>1535</v>
      </c>
      <c r="K515" s="1027" t="s">
        <v>674</v>
      </c>
      <c r="L515" s="1029" t="s">
        <v>675</v>
      </c>
      <c r="M515" s="1030">
        <v>36685000</v>
      </c>
      <c r="N515" s="1083" t="s">
        <v>1651</v>
      </c>
      <c r="O515" s="1083" t="s">
        <v>1562</v>
      </c>
      <c r="P515" s="1083"/>
      <c r="Q515" s="1027"/>
      <c r="R515" s="1022"/>
      <c r="S515" s="1130">
        <v>233</v>
      </c>
      <c r="T515" s="1156">
        <v>35090000</v>
      </c>
    </row>
    <row r="516" spans="1:20" s="995" customFormat="1" ht="92.4" x14ac:dyDescent="0.3">
      <c r="A516" s="1023">
        <v>2022510</v>
      </c>
      <c r="B516" s="1023">
        <v>7658</v>
      </c>
      <c r="C516" s="1098" t="s">
        <v>679</v>
      </c>
      <c r="D516" s="1039" t="s">
        <v>698</v>
      </c>
      <c r="E516" s="1040">
        <v>80111600</v>
      </c>
      <c r="F516" s="1026" t="s">
        <v>1122</v>
      </c>
      <c r="G516" s="1041" t="s">
        <v>1495</v>
      </c>
      <c r="H516" s="1028" t="s">
        <v>1495</v>
      </c>
      <c r="I516" s="1042" t="s">
        <v>1556</v>
      </c>
      <c r="J516" s="1043" t="s">
        <v>1535</v>
      </c>
      <c r="K516" s="1027" t="s">
        <v>674</v>
      </c>
      <c r="L516" s="1029" t="s">
        <v>675</v>
      </c>
      <c r="M516" s="1030">
        <v>97175000</v>
      </c>
      <c r="N516" s="1083" t="s">
        <v>1651</v>
      </c>
      <c r="O516" s="1083" t="s">
        <v>1562</v>
      </c>
      <c r="P516" s="1083"/>
      <c r="Q516" s="1027"/>
      <c r="R516" s="1022"/>
      <c r="S516" s="1130">
        <v>69</v>
      </c>
      <c r="T516" s="1156">
        <v>92950000</v>
      </c>
    </row>
    <row r="517" spans="1:20" s="995" customFormat="1" ht="92.4" x14ac:dyDescent="0.3">
      <c r="A517" s="1023">
        <v>2022511</v>
      </c>
      <c r="B517" s="1023">
        <v>7658</v>
      </c>
      <c r="C517" s="1098" t="s">
        <v>679</v>
      </c>
      <c r="D517" s="1039" t="s">
        <v>698</v>
      </c>
      <c r="E517" s="1040">
        <v>80111600</v>
      </c>
      <c r="F517" s="1026" t="s">
        <v>1123</v>
      </c>
      <c r="G517" s="1041" t="s">
        <v>1495</v>
      </c>
      <c r="H517" s="1028" t="s">
        <v>1495</v>
      </c>
      <c r="I517" s="1042" t="s">
        <v>1556</v>
      </c>
      <c r="J517" s="1043" t="s">
        <v>1535</v>
      </c>
      <c r="K517" s="1027" t="s">
        <v>674</v>
      </c>
      <c r="L517" s="1029" t="s">
        <v>675</v>
      </c>
      <c r="M517" s="1030">
        <v>45655000</v>
      </c>
      <c r="N517" s="1083" t="s">
        <v>1651</v>
      </c>
      <c r="O517" s="1083" t="s">
        <v>1562</v>
      </c>
      <c r="P517" s="1083"/>
      <c r="Q517" s="1027"/>
      <c r="R517" s="1022"/>
      <c r="S517" s="1130">
        <v>148</v>
      </c>
      <c r="T517" s="1156">
        <v>43670000</v>
      </c>
    </row>
    <row r="518" spans="1:20" s="995" customFormat="1" ht="92.4" x14ac:dyDescent="0.3">
      <c r="A518" s="1023">
        <v>2022512</v>
      </c>
      <c r="B518" s="1023">
        <v>7658</v>
      </c>
      <c r="C518" s="1098" t="s">
        <v>679</v>
      </c>
      <c r="D518" s="1039" t="s">
        <v>698</v>
      </c>
      <c r="E518" s="1040">
        <v>80111600</v>
      </c>
      <c r="F518" s="1026" t="s">
        <v>1119</v>
      </c>
      <c r="G518" s="1041" t="s">
        <v>1495</v>
      </c>
      <c r="H518" s="1028" t="s">
        <v>1495</v>
      </c>
      <c r="I518" s="1042" t="s">
        <v>1556</v>
      </c>
      <c r="J518" s="1043" t="s">
        <v>1535</v>
      </c>
      <c r="K518" s="1027" t="s">
        <v>674</v>
      </c>
      <c r="L518" s="1029" t="s">
        <v>675</v>
      </c>
      <c r="M518" s="1030">
        <v>82915000</v>
      </c>
      <c r="N518" s="1083" t="s">
        <v>724</v>
      </c>
      <c r="O518" s="1083" t="s">
        <v>1562</v>
      </c>
      <c r="P518" s="1083"/>
      <c r="Q518" s="1027"/>
      <c r="R518" s="1022"/>
      <c r="S518" s="1130">
        <v>276</v>
      </c>
      <c r="T518" s="1156">
        <v>79310000</v>
      </c>
    </row>
    <row r="519" spans="1:20" s="995" customFormat="1" ht="92.4" x14ac:dyDescent="0.3">
      <c r="A519" s="1023">
        <v>2022513</v>
      </c>
      <c r="B519" s="1023">
        <v>7658</v>
      </c>
      <c r="C519" s="1098" t="s">
        <v>679</v>
      </c>
      <c r="D519" s="1039" t="s">
        <v>698</v>
      </c>
      <c r="E519" s="1040">
        <v>80111600</v>
      </c>
      <c r="F519" s="1026" t="s">
        <v>1661</v>
      </c>
      <c r="G519" s="1041" t="s">
        <v>1495</v>
      </c>
      <c r="H519" s="1028" t="s">
        <v>1495</v>
      </c>
      <c r="I519" s="1042" t="s">
        <v>1556</v>
      </c>
      <c r="J519" s="1043" t="s">
        <v>1535</v>
      </c>
      <c r="K519" s="1027" t="s">
        <v>674</v>
      </c>
      <c r="L519" s="1029" t="s">
        <v>675</v>
      </c>
      <c r="M519" s="1030">
        <v>28175000</v>
      </c>
      <c r="N519" s="1083" t="s">
        <v>724</v>
      </c>
      <c r="O519" s="1083" t="s">
        <v>1562</v>
      </c>
      <c r="P519" s="1083"/>
      <c r="Q519" s="1027"/>
      <c r="R519" s="1022"/>
      <c r="S519" s="1130">
        <v>399</v>
      </c>
      <c r="T519" s="1156">
        <v>26950000</v>
      </c>
    </row>
    <row r="520" spans="1:20" s="995" customFormat="1" ht="92.4" x14ac:dyDescent="0.3">
      <c r="A520" s="1023">
        <v>2022514</v>
      </c>
      <c r="B520" s="1023">
        <v>7658</v>
      </c>
      <c r="C520" s="1098" t="s">
        <v>679</v>
      </c>
      <c r="D520" s="1039" t="s">
        <v>698</v>
      </c>
      <c r="E520" s="1040">
        <v>80111600</v>
      </c>
      <c r="F520" s="1026" t="s">
        <v>1125</v>
      </c>
      <c r="G520" s="1041" t="s">
        <v>1495</v>
      </c>
      <c r="H520" s="1028" t="s">
        <v>1495</v>
      </c>
      <c r="I520" s="1042" t="s">
        <v>1556</v>
      </c>
      <c r="J520" s="1043" t="s">
        <v>1535</v>
      </c>
      <c r="K520" s="1027" t="s">
        <v>674</v>
      </c>
      <c r="L520" s="1029" t="s">
        <v>675</v>
      </c>
      <c r="M520" s="1030">
        <v>45655000</v>
      </c>
      <c r="N520" s="1083" t="s">
        <v>1651</v>
      </c>
      <c r="O520" s="1083" t="s">
        <v>1562</v>
      </c>
      <c r="P520" s="1083"/>
      <c r="Q520" s="1027"/>
      <c r="R520" s="1022"/>
      <c r="S520" s="1130">
        <v>365</v>
      </c>
      <c r="T520" s="1156">
        <v>43670000</v>
      </c>
    </row>
    <row r="521" spans="1:20" s="995" customFormat="1" ht="92.4" x14ac:dyDescent="0.3">
      <c r="A521" s="1023">
        <v>2022515</v>
      </c>
      <c r="B521" s="1023">
        <v>7658</v>
      </c>
      <c r="C521" s="1098" t="s">
        <v>679</v>
      </c>
      <c r="D521" s="1039" t="s">
        <v>698</v>
      </c>
      <c r="E521" s="1040">
        <v>80111600</v>
      </c>
      <c r="F521" s="1026" t="s">
        <v>1126</v>
      </c>
      <c r="G521" s="1041" t="s">
        <v>1495</v>
      </c>
      <c r="H521" s="1028" t="s">
        <v>1495</v>
      </c>
      <c r="I521" s="1042" t="s">
        <v>1556</v>
      </c>
      <c r="J521" s="1043" t="s">
        <v>1535</v>
      </c>
      <c r="K521" s="1027" t="s">
        <v>674</v>
      </c>
      <c r="L521" s="1029" t="s">
        <v>675</v>
      </c>
      <c r="M521" s="1030">
        <v>36685000</v>
      </c>
      <c r="N521" s="1083" t="s">
        <v>724</v>
      </c>
      <c r="O521" s="1083" t="s">
        <v>1562</v>
      </c>
      <c r="P521" s="1083"/>
      <c r="Q521" s="1027"/>
      <c r="R521" s="1022"/>
      <c r="S521" s="1130">
        <v>263</v>
      </c>
      <c r="T521" s="1156">
        <v>35090000</v>
      </c>
    </row>
    <row r="522" spans="1:20" s="995" customFormat="1" ht="92.4" x14ac:dyDescent="0.3">
      <c r="A522" s="1023">
        <v>2022516</v>
      </c>
      <c r="B522" s="1023">
        <v>7658</v>
      </c>
      <c r="C522" s="1098" t="s">
        <v>679</v>
      </c>
      <c r="D522" s="1039" t="s">
        <v>698</v>
      </c>
      <c r="E522" s="1040">
        <v>80111600</v>
      </c>
      <c r="F522" s="1026" t="s">
        <v>1127</v>
      </c>
      <c r="G522" s="1041" t="s">
        <v>1495</v>
      </c>
      <c r="H522" s="1028" t="s">
        <v>1495</v>
      </c>
      <c r="I522" s="1042" t="s">
        <v>1556</v>
      </c>
      <c r="J522" s="1043" t="s">
        <v>1535</v>
      </c>
      <c r="K522" s="1027" t="s">
        <v>674</v>
      </c>
      <c r="L522" s="1029" t="s">
        <v>675</v>
      </c>
      <c r="M522" s="1030">
        <v>28175000</v>
      </c>
      <c r="N522" s="1083" t="s">
        <v>1651</v>
      </c>
      <c r="O522" s="1083" t="s">
        <v>1562</v>
      </c>
      <c r="P522" s="1083"/>
      <c r="Q522" s="1027"/>
      <c r="R522" s="1022"/>
      <c r="S522" s="1130">
        <v>139</v>
      </c>
      <c r="T522" s="1156">
        <v>26950000</v>
      </c>
    </row>
    <row r="523" spans="1:20" s="995" customFormat="1" ht="92.4" x14ac:dyDescent="0.3">
      <c r="A523" s="1023">
        <v>2022517</v>
      </c>
      <c r="B523" s="1023">
        <v>7658</v>
      </c>
      <c r="C523" s="1098" t="s">
        <v>679</v>
      </c>
      <c r="D523" s="1039" t="s">
        <v>698</v>
      </c>
      <c r="E523" s="1040">
        <v>80111600</v>
      </c>
      <c r="F523" s="1026" t="s">
        <v>1128</v>
      </c>
      <c r="G523" s="1041" t="s">
        <v>1495</v>
      </c>
      <c r="H523" s="1028" t="s">
        <v>1495</v>
      </c>
      <c r="I523" s="1042" t="s">
        <v>1556</v>
      </c>
      <c r="J523" s="1043" t="s">
        <v>1535</v>
      </c>
      <c r="K523" s="1027" t="s">
        <v>674</v>
      </c>
      <c r="L523" s="1029" t="s">
        <v>675</v>
      </c>
      <c r="M523" s="1030">
        <v>36685000</v>
      </c>
      <c r="N523" s="1083" t="s">
        <v>724</v>
      </c>
      <c r="O523" s="1083" t="s">
        <v>1562</v>
      </c>
      <c r="P523" s="1083"/>
      <c r="Q523" s="1027"/>
      <c r="R523" s="1022"/>
      <c r="S523" s="1130">
        <v>364</v>
      </c>
      <c r="T523" s="1156">
        <v>35090000</v>
      </c>
    </row>
    <row r="524" spans="1:20" s="995" customFormat="1" ht="118.8" x14ac:dyDescent="0.3">
      <c r="A524" s="1023">
        <v>2022518</v>
      </c>
      <c r="B524" s="1023">
        <v>7658</v>
      </c>
      <c r="C524" s="1098" t="s">
        <v>679</v>
      </c>
      <c r="D524" s="1039" t="s">
        <v>698</v>
      </c>
      <c r="E524" s="1040">
        <v>80111600</v>
      </c>
      <c r="F524" s="1026" t="s">
        <v>1129</v>
      </c>
      <c r="G524" s="1041" t="s">
        <v>1495</v>
      </c>
      <c r="H524" s="1028" t="s">
        <v>1495</v>
      </c>
      <c r="I524" s="1042" t="s">
        <v>1556</v>
      </c>
      <c r="J524" s="1043" t="s">
        <v>1535</v>
      </c>
      <c r="K524" s="1027" t="s">
        <v>674</v>
      </c>
      <c r="L524" s="1027" t="s">
        <v>675</v>
      </c>
      <c r="M524" s="1030">
        <v>51750000</v>
      </c>
      <c r="N524" s="1083" t="s">
        <v>724</v>
      </c>
      <c r="O524" s="1083" t="s">
        <v>1562</v>
      </c>
      <c r="P524" s="1083"/>
      <c r="Q524" s="1027"/>
      <c r="R524" s="1022"/>
      <c r="S524" s="1130">
        <v>234</v>
      </c>
      <c r="T524" s="1156">
        <v>51700000</v>
      </c>
    </row>
    <row r="525" spans="1:20" s="995" customFormat="1" ht="118.8" x14ac:dyDescent="0.3">
      <c r="A525" s="1023">
        <v>2022519</v>
      </c>
      <c r="B525" s="1023">
        <v>7658</v>
      </c>
      <c r="C525" s="1098" t="s">
        <v>679</v>
      </c>
      <c r="D525" s="1039" t="s">
        <v>698</v>
      </c>
      <c r="E525" s="1040">
        <v>80111600</v>
      </c>
      <c r="F525" s="1026" t="s">
        <v>1130</v>
      </c>
      <c r="G525" s="1041" t="s">
        <v>1495</v>
      </c>
      <c r="H525" s="1028" t="s">
        <v>1495</v>
      </c>
      <c r="I525" s="1042" t="s">
        <v>1556</v>
      </c>
      <c r="J525" s="1043" t="s">
        <v>1535</v>
      </c>
      <c r="K525" s="1027" t="s">
        <v>674</v>
      </c>
      <c r="L525" s="1029" t="s">
        <v>675</v>
      </c>
      <c r="M525" s="1030">
        <v>54050000</v>
      </c>
      <c r="N525" s="1083" t="s">
        <v>1651</v>
      </c>
      <c r="O525" s="1083" t="s">
        <v>1562</v>
      </c>
      <c r="P525" s="1083"/>
      <c r="Q525" s="1027"/>
      <c r="R525" s="1022"/>
      <c r="S525" s="1130">
        <v>165</v>
      </c>
      <c r="T525" s="1156">
        <v>49500000</v>
      </c>
    </row>
    <row r="526" spans="1:20" s="995" customFormat="1" ht="92.4" x14ac:dyDescent="0.3">
      <c r="A526" s="1023">
        <v>2022520</v>
      </c>
      <c r="B526" s="1023">
        <v>7658</v>
      </c>
      <c r="C526" s="1098" t="s">
        <v>679</v>
      </c>
      <c r="D526" s="1039" t="s">
        <v>698</v>
      </c>
      <c r="E526" s="1040">
        <v>80111600</v>
      </c>
      <c r="F526" s="1026" t="s">
        <v>1131</v>
      </c>
      <c r="G526" s="1041" t="s">
        <v>1495</v>
      </c>
      <c r="H526" s="1028" t="s">
        <v>1495</v>
      </c>
      <c r="I526" s="1042" t="s">
        <v>1556</v>
      </c>
      <c r="J526" s="1043" t="s">
        <v>1535</v>
      </c>
      <c r="K526" s="1027" t="s">
        <v>674</v>
      </c>
      <c r="L526" s="1029" t="s">
        <v>675</v>
      </c>
      <c r="M526" s="1030">
        <v>51750000</v>
      </c>
      <c r="N526" s="1083" t="s">
        <v>724</v>
      </c>
      <c r="O526" s="1083" t="s">
        <v>1562</v>
      </c>
      <c r="P526" s="1083"/>
      <c r="Q526" s="1027"/>
      <c r="R526" s="1022"/>
      <c r="S526" s="1130">
        <v>220</v>
      </c>
      <c r="T526" s="1156">
        <v>49500000</v>
      </c>
    </row>
    <row r="527" spans="1:20" s="995" customFormat="1" ht="92.4" x14ac:dyDescent="0.3">
      <c r="A527" s="1023">
        <v>2022521</v>
      </c>
      <c r="B527" s="1023">
        <v>7658</v>
      </c>
      <c r="C527" s="1098" t="s">
        <v>679</v>
      </c>
      <c r="D527" s="1039" t="s">
        <v>698</v>
      </c>
      <c r="E527" s="1040">
        <v>80111600</v>
      </c>
      <c r="F527" s="1026" t="s">
        <v>1132</v>
      </c>
      <c r="G527" s="1041" t="s">
        <v>1495</v>
      </c>
      <c r="H527" s="1028" t="s">
        <v>1495</v>
      </c>
      <c r="I527" s="1042" t="s">
        <v>1556</v>
      </c>
      <c r="J527" s="1043" t="s">
        <v>1535</v>
      </c>
      <c r="K527" s="1027" t="s">
        <v>674</v>
      </c>
      <c r="L527" s="1029" t="s">
        <v>675</v>
      </c>
      <c r="M527" s="1030">
        <v>45655000</v>
      </c>
      <c r="N527" s="1083" t="s">
        <v>724</v>
      </c>
      <c r="O527" s="1083" t="s">
        <v>1562</v>
      </c>
      <c r="P527" s="1083"/>
      <c r="Q527" s="1027"/>
      <c r="R527" s="1022"/>
      <c r="S527" s="1130">
        <v>384</v>
      </c>
      <c r="T527" s="1156">
        <v>43670000</v>
      </c>
    </row>
    <row r="528" spans="1:20" s="995" customFormat="1" ht="92.4" x14ac:dyDescent="0.3">
      <c r="A528" s="1023">
        <v>2022522</v>
      </c>
      <c r="B528" s="1023">
        <v>7658</v>
      </c>
      <c r="C528" s="1098" t="s">
        <v>679</v>
      </c>
      <c r="D528" s="1039" t="s">
        <v>698</v>
      </c>
      <c r="E528" s="1040">
        <v>80111600</v>
      </c>
      <c r="F528" s="1026" t="s">
        <v>1119</v>
      </c>
      <c r="G528" s="1041" t="s">
        <v>1495</v>
      </c>
      <c r="H528" s="1028" t="s">
        <v>1495</v>
      </c>
      <c r="I528" s="1042" t="s">
        <v>1556</v>
      </c>
      <c r="J528" s="1043" t="s">
        <v>1535</v>
      </c>
      <c r="K528" s="1027" t="s">
        <v>674</v>
      </c>
      <c r="L528" s="1029" t="s">
        <v>675</v>
      </c>
      <c r="M528" s="1030">
        <v>82915000</v>
      </c>
      <c r="N528" s="1083" t="s">
        <v>724</v>
      </c>
      <c r="O528" s="1083" t="s">
        <v>1562</v>
      </c>
      <c r="P528" s="1083"/>
      <c r="Q528" s="1027"/>
      <c r="R528" s="1022"/>
      <c r="S528" s="1130">
        <v>114</v>
      </c>
      <c r="T528" s="1156">
        <v>79310000</v>
      </c>
    </row>
    <row r="529" spans="1:20" s="995" customFormat="1" ht="92.4" x14ac:dyDescent="0.3">
      <c r="A529" s="1023">
        <v>2022523</v>
      </c>
      <c r="B529" s="1023">
        <v>7658</v>
      </c>
      <c r="C529" s="1098" t="s">
        <v>679</v>
      </c>
      <c r="D529" s="1039" t="s">
        <v>698</v>
      </c>
      <c r="E529" s="1040">
        <v>80111600</v>
      </c>
      <c r="F529" s="1026" t="s">
        <v>1133</v>
      </c>
      <c r="G529" s="1041" t="s">
        <v>1495</v>
      </c>
      <c r="H529" s="1028" t="s">
        <v>1495</v>
      </c>
      <c r="I529" s="1042" t="s">
        <v>1556</v>
      </c>
      <c r="J529" s="1043" t="s">
        <v>1535</v>
      </c>
      <c r="K529" s="1027" t="s">
        <v>674</v>
      </c>
      <c r="L529" s="1029" t="s">
        <v>780</v>
      </c>
      <c r="M529" s="1030">
        <v>54510000</v>
      </c>
      <c r="N529" s="1083" t="s">
        <v>1651</v>
      </c>
      <c r="O529" s="1083" t="s">
        <v>1562</v>
      </c>
      <c r="P529" s="1083"/>
      <c r="Q529" s="1027"/>
      <c r="R529" s="1022"/>
      <c r="S529" s="1130">
        <v>302</v>
      </c>
      <c r="T529" s="1156">
        <v>84700000</v>
      </c>
    </row>
    <row r="530" spans="1:20" s="995" customFormat="1" ht="92.4" x14ac:dyDescent="0.3">
      <c r="A530" s="1023">
        <v>2022524</v>
      </c>
      <c r="B530" s="1023">
        <v>7658</v>
      </c>
      <c r="C530" s="1098" t="s">
        <v>679</v>
      </c>
      <c r="D530" s="1039" t="s">
        <v>698</v>
      </c>
      <c r="E530" s="1040">
        <v>80111600</v>
      </c>
      <c r="F530" s="1026" t="s">
        <v>1134</v>
      </c>
      <c r="G530" s="1041" t="s">
        <v>1495</v>
      </c>
      <c r="H530" s="1028" t="s">
        <v>1495</v>
      </c>
      <c r="I530" s="1042" t="s">
        <v>1556</v>
      </c>
      <c r="J530" s="1043" t="s">
        <v>1535</v>
      </c>
      <c r="K530" s="1027" t="s">
        <v>674</v>
      </c>
      <c r="L530" s="1029" t="s">
        <v>675</v>
      </c>
      <c r="M530" s="1030">
        <v>36685000</v>
      </c>
      <c r="N530" s="1083" t="s">
        <v>724</v>
      </c>
      <c r="O530" s="1083" t="s">
        <v>1562</v>
      </c>
      <c r="P530" s="1083"/>
      <c r="Q530" s="1027"/>
      <c r="R530" s="1022"/>
      <c r="S530" s="1130">
        <v>480</v>
      </c>
      <c r="T530" s="1156">
        <v>35090000</v>
      </c>
    </row>
    <row r="531" spans="1:20" s="995" customFormat="1" ht="92.4" x14ac:dyDescent="0.3">
      <c r="A531" s="1023">
        <v>2022525</v>
      </c>
      <c r="B531" s="1023">
        <v>7658</v>
      </c>
      <c r="C531" s="1098" t="s">
        <v>679</v>
      </c>
      <c r="D531" s="1039" t="s">
        <v>698</v>
      </c>
      <c r="E531" s="1040">
        <v>80111600</v>
      </c>
      <c r="F531" s="1026" t="s">
        <v>1135</v>
      </c>
      <c r="G531" s="1041" t="s">
        <v>1495</v>
      </c>
      <c r="H531" s="1028" t="s">
        <v>1495</v>
      </c>
      <c r="I531" s="1042" t="s">
        <v>1556</v>
      </c>
      <c r="J531" s="1043" t="s">
        <v>1535</v>
      </c>
      <c r="K531" s="1027" t="s">
        <v>674</v>
      </c>
      <c r="L531" s="1029" t="s">
        <v>675</v>
      </c>
      <c r="M531" s="1030">
        <v>54050000</v>
      </c>
      <c r="N531" s="1083" t="s">
        <v>724</v>
      </c>
      <c r="O531" s="1083" t="s">
        <v>1562</v>
      </c>
      <c r="P531" s="1083"/>
      <c r="Q531" s="1027"/>
      <c r="R531" s="1022"/>
      <c r="S531" s="1130">
        <v>293</v>
      </c>
      <c r="T531" s="1156">
        <v>51700000</v>
      </c>
    </row>
    <row r="532" spans="1:20" s="995" customFormat="1" ht="92.4" x14ac:dyDescent="0.3">
      <c r="A532" s="1023">
        <v>2022526</v>
      </c>
      <c r="B532" s="1023">
        <v>7658</v>
      </c>
      <c r="C532" s="1098" t="s">
        <v>679</v>
      </c>
      <c r="D532" s="1039" t="s">
        <v>698</v>
      </c>
      <c r="E532" s="1040">
        <v>80111600</v>
      </c>
      <c r="F532" s="1026" t="s">
        <v>1136</v>
      </c>
      <c r="G532" s="1041" t="s">
        <v>1495</v>
      </c>
      <c r="H532" s="1028" t="s">
        <v>1495</v>
      </c>
      <c r="I532" s="1042" t="s">
        <v>1556</v>
      </c>
      <c r="J532" s="1043" t="s">
        <v>1535</v>
      </c>
      <c r="K532" s="1027" t="s">
        <v>674</v>
      </c>
      <c r="L532" s="1029" t="s">
        <v>675</v>
      </c>
      <c r="M532" s="1030">
        <v>28175000</v>
      </c>
      <c r="N532" s="1083" t="s">
        <v>724</v>
      </c>
      <c r="O532" s="1083" t="s">
        <v>1562</v>
      </c>
      <c r="P532" s="1083"/>
      <c r="Q532" s="1027"/>
      <c r="R532" s="1022"/>
      <c r="S532" s="1130">
        <v>128</v>
      </c>
      <c r="T532" s="1156">
        <v>26950000</v>
      </c>
    </row>
    <row r="533" spans="1:20" s="995" customFormat="1" ht="92.4" x14ac:dyDescent="0.3">
      <c r="A533" s="1023">
        <v>2022527</v>
      </c>
      <c r="B533" s="1023">
        <v>7658</v>
      </c>
      <c r="C533" s="1098" t="s">
        <v>679</v>
      </c>
      <c r="D533" s="1039" t="s">
        <v>698</v>
      </c>
      <c r="E533" s="1040">
        <v>80111600</v>
      </c>
      <c r="F533" s="1026" t="s">
        <v>1137</v>
      </c>
      <c r="G533" s="1041" t="s">
        <v>1495</v>
      </c>
      <c r="H533" s="1028" t="s">
        <v>1495</v>
      </c>
      <c r="I533" s="1042" t="s">
        <v>1556</v>
      </c>
      <c r="J533" s="1043" t="s">
        <v>1535</v>
      </c>
      <c r="K533" s="1027" t="s">
        <v>674</v>
      </c>
      <c r="L533" s="1029" t="s">
        <v>675</v>
      </c>
      <c r="M533" s="1030">
        <v>36685000</v>
      </c>
      <c r="N533" s="1083" t="s">
        <v>724</v>
      </c>
      <c r="O533" s="1083" t="s">
        <v>1562</v>
      </c>
      <c r="P533" s="1083"/>
      <c r="Q533" s="1027"/>
      <c r="R533" s="1022"/>
      <c r="S533" s="1130">
        <v>445</v>
      </c>
      <c r="T533" s="1156">
        <v>30250000</v>
      </c>
    </row>
    <row r="534" spans="1:20" s="995" customFormat="1" ht="92.4" x14ac:dyDescent="0.3">
      <c r="A534" s="1023">
        <v>2022528</v>
      </c>
      <c r="B534" s="1023">
        <v>7658</v>
      </c>
      <c r="C534" s="1098" t="s">
        <v>679</v>
      </c>
      <c r="D534" s="1039" t="s">
        <v>698</v>
      </c>
      <c r="E534" s="1040">
        <v>80111600</v>
      </c>
      <c r="F534" s="1026" t="s">
        <v>1138</v>
      </c>
      <c r="G534" s="1041" t="s">
        <v>1495</v>
      </c>
      <c r="H534" s="1028" t="s">
        <v>1495</v>
      </c>
      <c r="I534" s="1042" t="s">
        <v>1556</v>
      </c>
      <c r="J534" s="1043" t="s">
        <v>1535</v>
      </c>
      <c r="K534" s="1027" t="s">
        <v>674</v>
      </c>
      <c r="L534" s="1029" t="s">
        <v>675</v>
      </c>
      <c r="M534" s="1030">
        <v>51750000</v>
      </c>
      <c r="N534" s="1083" t="s">
        <v>724</v>
      </c>
      <c r="O534" s="1083" t="s">
        <v>1562</v>
      </c>
      <c r="P534" s="1083"/>
      <c r="Q534" s="1027"/>
      <c r="R534" s="1022"/>
      <c r="S534" s="1130">
        <v>405</v>
      </c>
      <c r="T534" s="1156">
        <v>49500000</v>
      </c>
    </row>
    <row r="535" spans="1:20" s="995" customFormat="1" ht="92.4" x14ac:dyDescent="0.3">
      <c r="A535" s="1023">
        <v>2022529</v>
      </c>
      <c r="B535" s="1023">
        <v>7658</v>
      </c>
      <c r="C535" s="1098" t="s">
        <v>679</v>
      </c>
      <c r="D535" s="1039" t="s">
        <v>698</v>
      </c>
      <c r="E535" s="1040">
        <v>80111600</v>
      </c>
      <c r="F535" s="1026" t="s">
        <v>1139</v>
      </c>
      <c r="G535" s="1041" t="s">
        <v>1495</v>
      </c>
      <c r="H535" s="1028" t="s">
        <v>1495</v>
      </c>
      <c r="I535" s="1042" t="s">
        <v>1556</v>
      </c>
      <c r="J535" s="1043" t="s">
        <v>1535</v>
      </c>
      <c r="K535" s="1027" t="s">
        <v>674</v>
      </c>
      <c r="L535" s="1027" t="s">
        <v>675</v>
      </c>
      <c r="M535" s="1030">
        <f>48300000+20700000</f>
        <v>69000000</v>
      </c>
      <c r="N535" s="1083" t="s">
        <v>724</v>
      </c>
      <c r="O535" s="1083" t="s">
        <v>1562</v>
      </c>
      <c r="P535" s="1083"/>
      <c r="Q535" s="1027"/>
      <c r="R535" s="1022"/>
      <c r="S535" s="1130">
        <v>478</v>
      </c>
      <c r="T535" s="1156">
        <v>27000000</v>
      </c>
    </row>
    <row r="536" spans="1:20" s="995" customFormat="1" ht="92.4" x14ac:dyDescent="0.3">
      <c r="A536" s="1023">
        <v>2022530</v>
      </c>
      <c r="B536" s="1023">
        <v>7658</v>
      </c>
      <c r="C536" s="1098" t="s">
        <v>679</v>
      </c>
      <c r="D536" s="1039" t="s">
        <v>698</v>
      </c>
      <c r="E536" s="1040">
        <v>80111600</v>
      </c>
      <c r="F536" s="1026" t="s">
        <v>1119</v>
      </c>
      <c r="G536" s="1041" t="s">
        <v>1495</v>
      </c>
      <c r="H536" s="1028" t="s">
        <v>1495</v>
      </c>
      <c r="I536" s="1042" t="s">
        <v>1556</v>
      </c>
      <c r="J536" s="1043" t="s">
        <v>1535</v>
      </c>
      <c r="K536" s="1027" t="s">
        <v>674</v>
      </c>
      <c r="L536" s="1029" t="s">
        <v>675</v>
      </c>
      <c r="M536" s="1030">
        <v>82915000</v>
      </c>
      <c r="N536" s="1083" t="s">
        <v>724</v>
      </c>
      <c r="O536" s="1083" t="s">
        <v>1562</v>
      </c>
      <c r="P536" s="1083"/>
      <c r="Q536" s="1027"/>
      <c r="R536" s="1022"/>
      <c r="S536" s="1130">
        <v>129</v>
      </c>
      <c r="T536" s="1156">
        <v>79310000</v>
      </c>
    </row>
    <row r="537" spans="1:20" s="995" customFormat="1" ht="92.4" x14ac:dyDescent="0.3">
      <c r="A537" s="1023">
        <v>2022531</v>
      </c>
      <c r="B537" s="1023">
        <v>7658</v>
      </c>
      <c r="C537" s="1098" t="s">
        <v>679</v>
      </c>
      <c r="D537" s="1039" t="s">
        <v>698</v>
      </c>
      <c r="E537" s="1040">
        <v>80111600</v>
      </c>
      <c r="F537" s="1026" t="s">
        <v>1140</v>
      </c>
      <c r="G537" s="1041" t="s">
        <v>1495</v>
      </c>
      <c r="H537" s="1028" t="s">
        <v>1495</v>
      </c>
      <c r="I537" s="1042" t="s">
        <v>1556</v>
      </c>
      <c r="J537" s="1043" t="s">
        <v>1535</v>
      </c>
      <c r="K537" s="1027" t="s">
        <v>674</v>
      </c>
      <c r="L537" s="1029" t="s">
        <v>675</v>
      </c>
      <c r="M537" s="1030">
        <v>45655000</v>
      </c>
      <c r="N537" s="1083" t="s">
        <v>1651</v>
      </c>
      <c r="O537" s="1083" t="s">
        <v>1562</v>
      </c>
      <c r="P537" s="1083"/>
      <c r="Q537" s="1027"/>
      <c r="R537" s="1022"/>
      <c r="S537" s="1130">
        <v>414</v>
      </c>
      <c r="T537" s="1156">
        <v>43670000</v>
      </c>
    </row>
    <row r="538" spans="1:20" s="995" customFormat="1" ht="92.4" x14ac:dyDescent="0.3">
      <c r="A538" s="1023">
        <v>2022532</v>
      </c>
      <c r="B538" s="1023">
        <v>7658</v>
      </c>
      <c r="C538" s="1098" t="s">
        <v>679</v>
      </c>
      <c r="D538" s="1039" t="s">
        <v>698</v>
      </c>
      <c r="E538" s="1040">
        <v>80111600</v>
      </c>
      <c r="F538" s="1026" t="s">
        <v>1141</v>
      </c>
      <c r="G538" s="1041" t="s">
        <v>1495</v>
      </c>
      <c r="H538" s="1028" t="s">
        <v>1495</v>
      </c>
      <c r="I538" s="1042" t="s">
        <v>1556</v>
      </c>
      <c r="J538" s="1043" t="s">
        <v>1535</v>
      </c>
      <c r="K538" s="1027" t="s">
        <v>674</v>
      </c>
      <c r="L538" s="1029" t="s">
        <v>675</v>
      </c>
      <c r="M538" s="1030">
        <v>47380000</v>
      </c>
      <c r="N538" s="1083" t="s">
        <v>1651</v>
      </c>
      <c r="O538" s="1083" t="s">
        <v>1562</v>
      </c>
      <c r="P538" s="1083"/>
      <c r="Q538" s="1027"/>
      <c r="R538" s="1022"/>
      <c r="S538" s="1130">
        <v>413</v>
      </c>
      <c r="T538" s="1156">
        <v>45320000</v>
      </c>
    </row>
    <row r="539" spans="1:20" s="995" customFormat="1" ht="118.8" x14ac:dyDescent="0.3">
      <c r="A539" s="1023">
        <v>2022533</v>
      </c>
      <c r="B539" s="1023">
        <v>7658</v>
      </c>
      <c r="C539" s="1098" t="s">
        <v>679</v>
      </c>
      <c r="D539" s="1039" t="s">
        <v>698</v>
      </c>
      <c r="E539" s="1040">
        <v>80111600</v>
      </c>
      <c r="F539" s="1026" t="s">
        <v>1142</v>
      </c>
      <c r="G539" s="1041" t="s">
        <v>1495</v>
      </c>
      <c r="H539" s="1028" t="s">
        <v>1495</v>
      </c>
      <c r="I539" s="1042" t="s">
        <v>1556</v>
      </c>
      <c r="J539" s="1043" t="s">
        <v>1535</v>
      </c>
      <c r="K539" s="1027" t="s">
        <v>674</v>
      </c>
      <c r="L539" s="1029" t="s">
        <v>675</v>
      </c>
      <c r="M539" s="1030">
        <v>54050000</v>
      </c>
      <c r="N539" s="1083" t="s">
        <v>1651</v>
      </c>
      <c r="O539" s="1083" t="s">
        <v>1562</v>
      </c>
      <c r="P539" s="1083"/>
      <c r="Q539" s="1027"/>
      <c r="R539" s="1022"/>
      <c r="S539" s="1130">
        <v>366</v>
      </c>
      <c r="T539" s="1156">
        <v>51700000</v>
      </c>
    </row>
    <row r="540" spans="1:20" s="995" customFormat="1" ht="92.4" x14ac:dyDescent="0.3">
      <c r="A540" s="1023">
        <v>2022534</v>
      </c>
      <c r="B540" s="1023">
        <v>7658</v>
      </c>
      <c r="C540" s="1098" t="s">
        <v>679</v>
      </c>
      <c r="D540" s="1039" t="s">
        <v>698</v>
      </c>
      <c r="E540" s="1040">
        <v>80111600</v>
      </c>
      <c r="F540" s="1026" t="s">
        <v>1143</v>
      </c>
      <c r="G540" s="1041" t="s">
        <v>1495</v>
      </c>
      <c r="H540" s="1028" t="s">
        <v>1495</v>
      </c>
      <c r="I540" s="1042" t="s">
        <v>1556</v>
      </c>
      <c r="J540" s="1043" t="s">
        <v>1535</v>
      </c>
      <c r="K540" s="1027" t="s">
        <v>674</v>
      </c>
      <c r="L540" s="1029" t="s">
        <v>780</v>
      </c>
      <c r="M540" s="1030">
        <v>88550000</v>
      </c>
      <c r="N540" s="1083" t="s">
        <v>724</v>
      </c>
      <c r="O540" s="1083" t="s">
        <v>1562</v>
      </c>
      <c r="P540" s="1083"/>
      <c r="Q540" s="1027"/>
      <c r="R540" s="1022"/>
      <c r="S540" s="1130">
        <v>285</v>
      </c>
      <c r="T540" s="1156">
        <v>52140000</v>
      </c>
    </row>
    <row r="541" spans="1:20" s="995" customFormat="1" ht="92.4" x14ac:dyDescent="0.3">
      <c r="A541" s="1023">
        <v>2022535</v>
      </c>
      <c r="B541" s="1023">
        <v>7658</v>
      </c>
      <c r="C541" s="1098" t="s">
        <v>679</v>
      </c>
      <c r="D541" s="1039" t="s">
        <v>698</v>
      </c>
      <c r="E541" s="1040">
        <v>80111600</v>
      </c>
      <c r="F541" s="1026" t="s">
        <v>1144</v>
      </c>
      <c r="G541" s="1041" t="s">
        <v>1495</v>
      </c>
      <c r="H541" s="1028" t="s">
        <v>1495</v>
      </c>
      <c r="I541" s="1042" t="s">
        <v>1556</v>
      </c>
      <c r="J541" s="1043" t="s">
        <v>1535</v>
      </c>
      <c r="K541" s="1027" t="s">
        <v>674</v>
      </c>
      <c r="L541" s="1029" t="s">
        <v>675</v>
      </c>
      <c r="M541" s="1030">
        <v>38525000</v>
      </c>
      <c r="N541" s="1083" t="s">
        <v>724</v>
      </c>
      <c r="O541" s="1083" t="s">
        <v>1562</v>
      </c>
      <c r="P541" s="1083"/>
      <c r="Q541" s="1027"/>
      <c r="R541" s="1022"/>
      <c r="S541" s="1130">
        <v>295</v>
      </c>
      <c r="T541" s="1156">
        <v>36850000</v>
      </c>
    </row>
    <row r="542" spans="1:20" s="995" customFormat="1" ht="92.4" x14ac:dyDescent="0.3">
      <c r="A542" s="1023">
        <v>2022536</v>
      </c>
      <c r="B542" s="1023">
        <v>7658</v>
      </c>
      <c r="C542" s="1098" t="s">
        <v>679</v>
      </c>
      <c r="D542" s="1039" t="s">
        <v>698</v>
      </c>
      <c r="E542" s="1040">
        <v>80111600</v>
      </c>
      <c r="F542" s="1026" t="s">
        <v>1145</v>
      </c>
      <c r="G542" s="1041" t="s">
        <v>1495</v>
      </c>
      <c r="H542" s="1028" t="s">
        <v>1495</v>
      </c>
      <c r="I542" s="1042" t="s">
        <v>1556</v>
      </c>
      <c r="J542" s="1043" t="s">
        <v>1535</v>
      </c>
      <c r="K542" s="1027" t="s">
        <v>674</v>
      </c>
      <c r="L542" s="1029" t="s">
        <v>675</v>
      </c>
      <c r="M542" s="1030">
        <v>38525000</v>
      </c>
      <c r="N542" s="1083" t="s">
        <v>724</v>
      </c>
      <c r="O542" s="1083" t="s">
        <v>1562</v>
      </c>
      <c r="P542" s="1083"/>
      <c r="Q542" s="1027"/>
      <c r="R542" s="1022"/>
      <c r="S542" s="1130">
        <v>423</v>
      </c>
      <c r="T542" s="1156">
        <v>37400000</v>
      </c>
    </row>
    <row r="543" spans="1:20" s="995" customFormat="1" ht="92.4" x14ac:dyDescent="0.3">
      <c r="A543" s="1023">
        <v>2022537</v>
      </c>
      <c r="B543" s="1023">
        <v>7658</v>
      </c>
      <c r="C543" s="1098" t="s">
        <v>679</v>
      </c>
      <c r="D543" s="1039" t="s">
        <v>698</v>
      </c>
      <c r="E543" s="1040">
        <v>80111600</v>
      </c>
      <c r="F543" s="1026" t="s">
        <v>1146</v>
      </c>
      <c r="G543" s="1041" t="s">
        <v>1495</v>
      </c>
      <c r="H543" s="1028" t="s">
        <v>1495</v>
      </c>
      <c r="I543" s="1042" t="s">
        <v>1556</v>
      </c>
      <c r="J543" s="1043" t="s">
        <v>1535</v>
      </c>
      <c r="K543" s="1027" t="s">
        <v>674</v>
      </c>
      <c r="L543" s="1027" t="s">
        <v>675</v>
      </c>
      <c r="M543" s="1030">
        <f>48300000+13225000+7475000</f>
        <v>69000000</v>
      </c>
      <c r="N543" s="1083" t="s">
        <v>1651</v>
      </c>
      <c r="O543" s="1083" t="s">
        <v>1562</v>
      </c>
      <c r="P543" s="1083"/>
      <c r="Q543" s="1027"/>
      <c r="R543" s="1022"/>
      <c r="S543" s="1130">
        <v>477</v>
      </c>
      <c r="T543" s="1156">
        <v>66000000</v>
      </c>
    </row>
    <row r="544" spans="1:20" s="995" customFormat="1" ht="92.4" x14ac:dyDescent="0.3">
      <c r="A544" s="1023">
        <v>2022538</v>
      </c>
      <c r="B544" s="1023">
        <v>7658</v>
      </c>
      <c r="C544" s="1023" t="s">
        <v>679</v>
      </c>
      <c r="D544" s="1039" t="s">
        <v>698</v>
      </c>
      <c r="E544" s="1040">
        <v>80111600</v>
      </c>
      <c r="F544" s="1026" t="s">
        <v>1147</v>
      </c>
      <c r="G544" s="1041" t="s">
        <v>1495</v>
      </c>
      <c r="H544" s="1028" t="s">
        <v>1495</v>
      </c>
      <c r="I544" s="1042" t="s">
        <v>1556</v>
      </c>
      <c r="J544" s="1043" t="s">
        <v>1535</v>
      </c>
      <c r="K544" s="1027" t="s">
        <v>674</v>
      </c>
      <c r="L544" s="1029" t="s">
        <v>675</v>
      </c>
      <c r="M544" s="1030">
        <v>65550000</v>
      </c>
      <c r="N544" s="1083" t="s">
        <v>724</v>
      </c>
      <c r="O544" s="1083" t="s">
        <v>1562</v>
      </c>
      <c r="P544" s="1083"/>
      <c r="Q544" s="1027"/>
      <c r="R544" s="1022"/>
      <c r="S544" s="1130">
        <v>468</v>
      </c>
      <c r="T544" s="1156">
        <v>42350000</v>
      </c>
    </row>
    <row r="545" spans="1:20" s="995" customFormat="1" ht="92.4" x14ac:dyDescent="0.3">
      <c r="A545" s="1023">
        <v>2022539</v>
      </c>
      <c r="B545" s="1023">
        <v>7658</v>
      </c>
      <c r="C545" s="1023" t="s">
        <v>679</v>
      </c>
      <c r="D545" s="1039" t="s">
        <v>698</v>
      </c>
      <c r="E545" s="1040">
        <v>80111600</v>
      </c>
      <c r="F545" s="1026" t="s">
        <v>1148</v>
      </c>
      <c r="G545" s="1041" t="s">
        <v>1495</v>
      </c>
      <c r="H545" s="1028" t="s">
        <v>1495</v>
      </c>
      <c r="I545" s="1042" t="s">
        <v>1556</v>
      </c>
      <c r="J545" s="1043" t="s">
        <v>1535</v>
      </c>
      <c r="K545" s="1027" t="s">
        <v>674</v>
      </c>
      <c r="L545" s="1029" t="s">
        <v>675</v>
      </c>
      <c r="M545" s="1030">
        <v>69000000</v>
      </c>
      <c r="N545" s="1083" t="s">
        <v>724</v>
      </c>
      <c r="O545" s="1083" t="s">
        <v>1562</v>
      </c>
      <c r="P545" s="1083"/>
      <c r="Q545" s="1027"/>
      <c r="R545" s="1022"/>
      <c r="S545" s="1130">
        <v>336</v>
      </c>
      <c r="T545" s="1156">
        <v>66000000</v>
      </c>
    </row>
    <row r="546" spans="1:20" s="995" customFormat="1" ht="92.4" x14ac:dyDescent="0.3">
      <c r="A546" s="1023">
        <v>2022540</v>
      </c>
      <c r="B546" s="1023">
        <v>7658</v>
      </c>
      <c r="C546" s="1023" t="s">
        <v>679</v>
      </c>
      <c r="D546" s="1039" t="s">
        <v>698</v>
      </c>
      <c r="E546" s="1040">
        <v>80111600</v>
      </c>
      <c r="F546" s="1026" t="s">
        <v>1149</v>
      </c>
      <c r="G546" s="1041" t="s">
        <v>1495</v>
      </c>
      <c r="H546" s="1028" t="s">
        <v>1495</v>
      </c>
      <c r="I546" s="1042" t="s">
        <v>1556</v>
      </c>
      <c r="J546" s="1043" t="s">
        <v>1535</v>
      </c>
      <c r="K546" s="1027" t="s">
        <v>674</v>
      </c>
      <c r="L546" s="1029" t="s">
        <v>675</v>
      </c>
      <c r="M546" s="1030">
        <v>39100000</v>
      </c>
      <c r="N546" s="1083" t="s">
        <v>724</v>
      </c>
      <c r="O546" s="1083" t="s">
        <v>1562</v>
      </c>
      <c r="P546" s="1083"/>
      <c r="Q546" s="1027"/>
      <c r="R546" s="1022"/>
      <c r="S546" s="1130">
        <v>422</v>
      </c>
      <c r="T546" s="1156">
        <v>35200000</v>
      </c>
    </row>
    <row r="547" spans="1:20" s="995" customFormat="1" ht="92.4" x14ac:dyDescent="0.3">
      <c r="A547" s="1023">
        <v>2022541</v>
      </c>
      <c r="B547" s="1023">
        <v>7658</v>
      </c>
      <c r="C547" s="1023" t="s">
        <v>679</v>
      </c>
      <c r="D547" s="1039" t="s">
        <v>698</v>
      </c>
      <c r="E547" s="1040">
        <v>80111600</v>
      </c>
      <c r="F547" s="1026" t="s">
        <v>1150</v>
      </c>
      <c r="G547" s="1041" t="s">
        <v>1495</v>
      </c>
      <c r="H547" s="1028" t="s">
        <v>1495</v>
      </c>
      <c r="I547" s="1042" t="s">
        <v>1556</v>
      </c>
      <c r="J547" s="1043" t="s">
        <v>1535</v>
      </c>
      <c r="K547" s="1027" t="s">
        <v>674</v>
      </c>
      <c r="L547" s="1029" t="s">
        <v>675</v>
      </c>
      <c r="M547" s="1030">
        <v>36685000</v>
      </c>
      <c r="N547" s="1083" t="s">
        <v>724</v>
      </c>
      <c r="O547" s="1083" t="s">
        <v>1562</v>
      </c>
      <c r="P547" s="1083"/>
      <c r="Q547" s="1027"/>
      <c r="R547" s="1022"/>
      <c r="S547" s="1130">
        <v>398</v>
      </c>
      <c r="T547" s="1156">
        <v>35090000</v>
      </c>
    </row>
    <row r="548" spans="1:20" ht="52.8" x14ac:dyDescent="0.25">
      <c r="A548" s="1013">
        <v>2022542</v>
      </c>
      <c r="B548" s="1075" t="s">
        <v>459</v>
      </c>
      <c r="C548" s="1075"/>
      <c r="D548" s="1045" t="s">
        <v>689</v>
      </c>
      <c r="E548" s="1099" t="s">
        <v>1151</v>
      </c>
      <c r="F548" s="1074" t="s">
        <v>1152</v>
      </c>
      <c r="G548" s="1096" t="s">
        <v>1617</v>
      </c>
      <c r="H548" s="1096" t="s">
        <v>1617</v>
      </c>
      <c r="I548" s="1096" t="s">
        <v>1662</v>
      </c>
      <c r="J548" s="1096" t="s">
        <v>1512</v>
      </c>
      <c r="K548" s="1017" t="s">
        <v>43</v>
      </c>
      <c r="L548" s="1100"/>
      <c r="M548" s="1101">
        <v>4200000</v>
      </c>
      <c r="N548" s="1037"/>
      <c r="O548" s="1037"/>
      <c r="P548" s="1037"/>
      <c r="Q548" s="1102"/>
      <c r="R548" s="1022"/>
      <c r="S548" s="1130"/>
      <c r="T548" s="1156"/>
    </row>
    <row r="549" spans="1:20" ht="39.6" x14ac:dyDescent="0.25">
      <c r="A549" s="1013">
        <v>2022543</v>
      </c>
      <c r="B549" s="1075" t="s">
        <v>459</v>
      </c>
      <c r="C549" s="1075"/>
      <c r="D549" s="1045" t="s">
        <v>689</v>
      </c>
      <c r="E549" s="1099" t="s">
        <v>1151</v>
      </c>
      <c r="F549" s="1074" t="s">
        <v>1153</v>
      </c>
      <c r="G549" s="1096" t="s">
        <v>1618</v>
      </c>
      <c r="H549" s="1096" t="s">
        <v>1618</v>
      </c>
      <c r="I549" s="1096" t="s">
        <v>1663</v>
      </c>
      <c r="J549" s="1096" t="s">
        <v>1512</v>
      </c>
      <c r="K549" s="1017" t="s">
        <v>43</v>
      </c>
      <c r="L549" s="1100"/>
      <c r="M549" s="1101">
        <v>6799000</v>
      </c>
      <c r="N549" s="1037"/>
      <c r="O549" s="1037"/>
      <c r="P549" s="1037"/>
      <c r="Q549" s="1102"/>
      <c r="R549" s="1022"/>
      <c r="S549" s="1130"/>
      <c r="T549" s="1156"/>
    </row>
    <row r="550" spans="1:20" ht="52.8" x14ac:dyDescent="0.25">
      <c r="A550" s="1013">
        <v>2022544</v>
      </c>
      <c r="B550" s="1075" t="s">
        <v>459</v>
      </c>
      <c r="C550" s="1075"/>
      <c r="D550" s="1045" t="s">
        <v>689</v>
      </c>
      <c r="E550" s="1099" t="s">
        <v>1151</v>
      </c>
      <c r="F550" s="1074" t="s">
        <v>1154</v>
      </c>
      <c r="G550" s="1096" t="s">
        <v>1617</v>
      </c>
      <c r="H550" s="1096" t="s">
        <v>1617</v>
      </c>
      <c r="I550" s="1096" t="s">
        <v>1593</v>
      </c>
      <c r="J550" s="1096" t="s">
        <v>1564</v>
      </c>
      <c r="K550" s="1017" t="s">
        <v>43</v>
      </c>
      <c r="L550" s="1100"/>
      <c r="M550" s="1101">
        <v>10000000</v>
      </c>
      <c r="N550" s="1037"/>
      <c r="O550" s="1037"/>
      <c r="P550" s="1037"/>
      <c r="Q550" s="1102"/>
      <c r="R550" s="1022"/>
      <c r="S550" s="1130"/>
      <c r="T550" s="1156"/>
    </row>
    <row r="551" spans="1:20" ht="39.6" x14ac:dyDescent="0.25">
      <c r="A551" s="1013">
        <v>2022545</v>
      </c>
      <c r="B551" s="1075" t="s">
        <v>459</v>
      </c>
      <c r="C551" s="1075"/>
      <c r="D551" s="1045" t="s">
        <v>689</v>
      </c>
      <c r="E551" s="1099" t="s">
        <v>1151</v>
      </c>
      <c r="F551" s="1074" t="s">
        <v>1155</v>
      </c>
      <c r="G551" s="1096" t="s">
        <v>1617</v>
      </c>
      <c r="H551" s="1096" t="s">
        <v>1617</v>
      </c>
      <c r="I551" s="1096" t="s">
        <v>1559</v>
      </c>
      <c r="J551" s="1096" t="s">
        <v>1564</v>
      </c>
      <c r="K551" s="1017" t="s">
        <v>43</v>
      </c>
      <c r="L551" s="1100"/>
      <c r="M551" s="1101">
        <v>87000000</v>
      </c>
      <c r="N551" s="1037"/>
      <c r="O551" s="1037"/>
      <c r="P551" s="1037"/>
      <c r="Q551" s="1102"/>
      <c r="R551" s="1022"/>
      <c r="S551" s="1130"/>
      <c r="T551" s="1156"/>
    </row>
    <row r="552" spans="1:20" ht="52.8" x14ac:dyDescent="0.25">
      <c r="A552" s="1013">
        <v>2022546</v>
      </c>
      <c r="B552" s="1075" t="s">
        <v>459</v>
      </c>
      <c r="C552" s="1075"/>
      <c r="D552" s="1045" t="s">
        <v>689</v>
      </c>
      <c r="E552" s="1099" t="s">
        <v>1151</v>
      </c>
      <c r="F552" s="1074" t="s">
        <v>1152</v>
      </c>
      <c r="G552" s="1096" t="s">
        <v>1617</v>
      </c>
      <c r="H552" s="1096" t="s">
        <v>1617</v>
      </c>
      <c r="I552" s="1096" t="s">
        <v>1662</v>
      </c>
      <c r="J552" s="1096" t="s">
        <v>1512</v>
      </c>
      <c r="K552" s="1017" t="s">
        <v>43</v>
      </c>
      <c r="L552" s="1100"/>
      <c r="M552" s="1101">
        <v>5600000</v>
      </c>
      <c r="N552" s="1037"/>
      <c r="O552" s="1037"/>
      <c r="P552" s="1037"/>
      <c r="Q552" s="1102"/>
      <c r="R552" s="1022"/>
      <c r="S552" s="1130"/>
      <c r="T552" s="1156"/>
    </row>
    <row r="553" spans="1:20" ht="39.6" x14ac:dyDescent="0.25">
      <c r="A553" s="1013">
        <v>2022547</v>
      </c>
      <c r="B553" s="1075" t="s">
        <v>459</v>
      </c>
      <c r="C553" s="1075"/>
      <c r="D553" s="1045" t="s">
        <v>689</v>
      </c>
      <c r="E553" s="1099" t="s">
        <v>1151</v>
      </c>
      <c r="F553" s="1074" t="s">
        <v>1156</v>
      </c>
      <c r="G553" s="1096" t="s">
        <v>1618</v>
      </c>
      <c r="H553" s="1096" t="s">
        <v>1618</v>
      </c>
      <c r="I553" s="1096" t="s">
        <v>1663</v>
      </c>
      <c r="J553" s="1096" t="s">
        <v>1512</v>
      </c>
      <c r="K553" s="1017" t="s">
        <v>43</v>
      </c>
      <c r="L553" s="1100"/>
      <c r="M553" s="1101">
        <v>28400000</v>
      </c>
      <c r="N553" s="1037"/>
      <c r="O553" s="1037"/>
      <c r="P553" s="1037"/>
      <c r="Q553" s="1102"/>
      <c r="R553" s="1022"/>
      <c r="S553" s="1130"/>
      <c r="T553" s="1156"/>
    </row>
    <row r="554" spans="1:20" s="1106" customFormat="1" ht="39.6" x14ac:dyDescent="0.25">
      <c r="A554" s="1013">
        <v>2022548</v>
      </c>
      <c r="B554" s="1096" t="s">
        <v>459</v>
      </c>
      <c r="C554" s="1075"/>
      <c r="D554" s="1045" t="s">
        <v>689</v>
      </c>
      <c r="E554" s="1099" t="s">
        <v>1157</v>
      </c>
      <c r="F554" s="1074" t="s">
        <v>1158</v>
      </c>
      <c r="G554" s="1096" t="s">
        <v>1617</v>
      </c>
      <c r="H554" s="1096" t="s">
        <v>1617</v>
      </c>
      <c r="I554" s="1096" t="s">
        <v>1559</v>
      </c>
      <c r="J554" s="1096" t="s">
        <v>1564</v>
      </c>
      <c r="K554" s="1017" t="s">
        <v>43</v>
      </c>
      <c r="L554" s="1104"/>
      <c r="M554" s="1105">
        <v>100000000</v>
      </c>
      <c r="N554" s="1037"/>
      <c r="O554" s="1037"/>
      <c r="P554" s="1037"/>
      <c r="Q554" s="1102"/>
      <c r="R554" s="1022"/>
      <c r="S554" s="1130"/>
      <c r="T554" s="1156"/>
    </row>
    <row r="555" spans="1:20" s="1106" customFormat="1" ht="39.6" x14ac:dyDescent="0.25">
      <c r="A555" s="1013">
        <v>2022549</v>
      </c>
      <c r="B555" s="1096" t="s">
        <v>459</v>
      </c>
      <c r="C555" s="1075"/>
      <c r="D555" s="1045" t="s">
        <v>689</v>
      </c>
      <c r="E555" s="1099" t="s">
        <v>1157</v>
      </c>
      <c r="F555" s="1074" t="s">
        <v>1159</v>
      </c>
      <c r="G555" s="1096" t="s">
        <v>1618</v>
      </c>
      <c r="H555" s="1096" t="s">
        <v>1618</v>
      </c>
      <c r="I555" s="1096" t="s">
        <v>1663</v>
      </c>
      <c r="J555" s="1096" t="s">
        <v>1512</v>
      </c>
      <c r="K555" s="1017" t="s">
        <v>43</v>
      </c>
      <c r="L555" s="1104"/>
      <c r="M555" s="1105">
        <v>10000000</v>
      </c>
      <c r="N555" s="1037"/>
      <c r="O555" s="1037"/>
      <c r="P555" s="1037"/>
      <c r="Q555" s="1102"/>
      <c r="R555" s="1022"/>
      <c r="S555" s="1130"/>
      <c r="T555" s="1156"/>
    </row>
    <row r="556" spans="1:20" ht="39.6" x14ac:dyDescent="0.25">
      <c r="A556" s="1013">
        <v>2022550</v>
      </c>
      <c r="B556" s="1075" t="s">
        <v>459</v>
      </c>
      <c r="C556" s="1075"/>
      <c r="D556" s="1045" t="s">
        <v>689</v>
      </c>
      <c r="E556" s="1099" t="s">
        <v>1151</v>
      </c>
      <c r="F556" s="1074" t="s">
        <v>971</v>
      </c>
      <c r="G556" s="1096" t="s">
        <v>1617</v>
      </c>
      <c r="H556" s="1096" t="s">
        <v>1617</v>
      </c>
      <c r="I556" s="1096" t="s">
        <v>1559</v>
      </c>
      <c r="J556" s="1096" t="s">
        <v>1564</v>
      </c>
      <c r="K556" s="1017" t="s">
        <v>43</v>
      </c>
      <c r="L556" s="1100"/>
      <c r="M556" s="1101">
        <v>42542000</v>
      </c>
      <c r="N556" s="1037"/>
      <c r="O556" s="1037"/>
      <c r="P556" s="1037"/>
      <c r="Q556" s="1102"/>
      <c r="R556" s="1022"/>
      <c r="S556" s="1130"/>
      <c r="T556" s="1156"/>
    </row>
    <row r="557" spans="1:20" ht="52.8" x14ac:dyDescent="0.25">
      <c r="A557" s="1013">
        <v>2022551</v>
      </c>
      <c r="B557" s="1075" t="s">
        <v>459</v>
      </c>
      <c r="C557" s="1075"/>
      <c r="D557" s="1045" t="s">
        <v>689</v>
      </c>
      <c r="E557" s="1099" t="s">
        <v>1151</v>
      </c>
      <c r="F557" s="1074" t="s">
        <v>1154</v>
      </c>
      <c r="G557" s="1096" t="s">
        <v>1617</v>
      </c>
      <c r="H557" s="1096" t="s">
        <v>1617</v>
      </c>
      <c r="I557" s="1096" t="s">
        <v>1593</v>
      </c>
      <c r="J557" s="1096" t="s">
        <v>1564</v>
      </c>
      <c r="K557" s="1017" t="s">
        <v>43</v>
      </c>
      <c r="L557" s="1100"/>
      <c r="M557" s="1101">
        <v>2345000</v>
      </c>
      <c r="N557" s="1037"/>
      <c r="O557" s="1037"/>
      <c r="P557" s="1037"/>
      <c r="Q557" s="1102"/>
      <c r="R557" s="1022"/>
      <c r="S557" s="1130"/>
      <c r="T557" s="1156"/>
    </row>
    <row r="558" spans="1:20" ht="52.8" x14ac:dyDescent="0.25">
      <c r="A558" s="1013">
        <v>2022552</v>
      </c>
      <c r="B558" s="1075" t="s">
        <v>459</v>
      </c>
      <c r="C558" s="1075"/>
      <c r="D558" s="1045" t="s">
        <v>689</v>
      </c>
      <c r="E558" s="1099" t="s">
        <v>1151</v>
      </c>
      <c r="F558" s="1074" t="s">
        <v>1154</v>
      </c>
      <c r="G558" s="1096" t="s">
        <v>1617</v>
      </c>
      <c r="H558" s="1096" t="s">
        <v>1617</v>
      </c>
      <c r="I558" s="1096" t="s">
        <v>1593</v>
      </c>
      <c r="J558" s="1096" t="s">
        <v>1564</v>
      </c>
      <c r="K558" s="1017" t="s">
        <v>43</v>
      </c>
      <c r="L558" s="1100"/>
      <c r="M558" s="1101">
        <v>1450000</v>
      </c>
      <c r="N558" s="1037"/>
      <c r="O558" s="1037"/>
      <c r="P558" s="1037"/>
      <c r="Q558" s="1102"/>
      <c r="R558" s="1022"/>
      <c r="S558" s="1130"/>
      <c r="T558" s="1156"/>
    </row>
    <row r="559" spans="1:20" ht="39.6" x14ac:dyDescent="0.25">
      <c r="A559" s="1013">
        <v>2022553</v>
      </c>
      <c r="B559" s="1075" t="s">
        <v>459</v>
      </c>
      <c r="C559" s="1075"/>
      <c r="D559" s="1045" t="s">
        <v>689</v>
      </c>
      <c r="E559" s="1099" t="s">
        <v>1151</v>
      </c>
      <c r="F559" s="1074" t="s">
        <v>971</v>
      </c>
      <c r="G559" s="1096" t="s">
        <v>1617</v>
      </c>
      <c r="H559" s="1096" t="s">
        <v>1617</v>
      </c>
      <c r="I559" s="1096" t="s">
        <v>1559</v>
      </c>
      <c r="J559" s="1096" t="s">
        <v>1564</v>
      </c>
      <c r="K559" s="1017" t="s">
        <v>43</v>
      </c>
      <c r="L559" s="1100"/>
      <c r="M559" s="1101">
        <v>11550000</v>
      </c>
      <c r="N559" s="1037"/>
      <c r="O559" s="1037"/>
      <c r="P559" s="1037"/>
      <c r="Q559" s="1102"/>
      <c r="R559" s="1022"/>
      <c r="S559" s="1130"/>
      <c r="T559" s="1156"/>
    </row>
    <row r="560" spans="1:20" ht="52.8" x14ac:dyDescent="0.25">
      <c r="A560" s="1013">
        <v>2022554</v>
      </c>
      <c r="B560" s="1075" t="s">
        <v>459</v>
      </c>
      <c r="C560" s="1075"/>
      <c r="D560" s="1045" t="s">
        <v>689</v>
      </c>
      <c r="E560" s="1099" t="s">
        <v>1151</v>
      </c>
      <c r="F560" s="1074" t="s">
        <v>1152</v>
      </c>
      <c r="G560" s="1096" t="s">
        <v>1617</v>
      </c>
      <c r="H560" s="1096" t="s">
        <v>1617</v>
      </c>
      <c r="I560" s="1096" t="s">
        <v>1662</v>
      </c>
      <c r="J560" s="1096" t="s">
        <v>1512</v>
      </c>
      <c r="K560" s="1017" t="s">
        <v>43</v>
      </c>
      <c r="L560" s="1100"/>
      <c r="M560" s="1101">
        <v>2800000</v>
      </c>
      <c r="N560" s="1037"/>
      <c r="O560" s="1037"/>
      <c r="P560" s="1037"/>
      <c r="Q560" s="1102"/>
      <c r="R560" s="1022"/>
      <c r="S560" s="1130"/>
      <c r="T560" s="1156"/>
    </row>
    <row r="561" spans="1:20" ht="39.6" x14ac:dyDescent="0.25">
      <c r="A561" s="1013">
        <v>2022555</v>
      </c>
      <c r="B561" s="1075" t="s">
        <v>459</v>
      </c>
      <c r="C561" s="1075"/>
      <c r="D561" s="1045" t="s">
        <v>689</v>
      </c>
      <c r="E561" s="1099" t="s">
        <v>1151</v>
      </c>
      <c r="F561" s="1074" t="s">
        <v>1160</v>
      </c>
      <c r="G561" s="1096" t="s">
        <v>1618</v>
      </c>
      <c r="H561" s="1096" t="s">
        <v>1618</v>
      </c>
      <c r="I561" s="1096" t="s">
        <v>1663</v>
      </c>
      <c r="J561" s="1096" t="s">
        <v>1512</v>
      </c>
      <c r="K561" s="1017" t="s">
        <v>43</v>
      </c>
      <c r="L561" s="1100"/>
      <c r="M561" s="1101">
        <v>5204000</v>
      </c>
      <c r="N561" s="1037"/>
      <c r="O561" s="1037"/>
      <c r="P561" s="1037"/>
      <c r="Q561" s="1102"/>
      <c r="R561" s="1022"/>
      <c r="S561" s="1130"/>
      <c r="T561" s="1156"/>
    </row>
    <row r="562" spans="1:20" ht="52.8" x14ac:dyDescent="0.25">
      <c r="A562" s="1013">
        <v>2022556</v>
      </c>
      <c r="B562" s="1075" t="s">
        <v>459</v>
      </c>
      <c r="C562" s="1075"/>
      <c r="D562" s="1045" t="s">
        <v>689</v>
      </c>
      <c r="E562" s="1099" t="s">
        <v>1151</v>
      </c>
      <c r="F562" s="1074" t="s">
        <v>1154</v>
      </c>
      <c r="G562" s="1096" t="s">
        <v>1617</v>
      </c>
      <c r="H562" s="1096" t="s">
        <v>1617</v>
      </c>
      <c r="I562" s="1096" t="s">
        <v>1593</v>
      </c>
      <c r="J562" s="1096" t="s">
        <v>1564</v>
      </c>
      <c r="K562" s="1017" t="s">
        <v>43</v>
      </c>
      <c r="L562" s="1100"/>
      <c r="M562" s="1101">
        <v>1308000</v>
      </c>
      <c r="N562" s="1037"/>
      <c r="O562" s="1037"/>
      <c r="P562" s="1037"/>
      <c r="Q562" s="1102"/>
      <c r="R562" s="1022"/>
      <c r="S562" s="1130"/>
      <c r="T562" s="1156"/>
    </row>
    <row r="563" spans="1:20" ht="39.6" x14ac:dyDescent="0.25">
      <c r="A563" s="1013">
        <v>2022557</v>
      </c>
      <c r="B563" s="1075" t="s">
        <v>459</v>
      </c>
      <c r="C563" s="1075"/>
      <c r="D563" s="1045" t="s">
        <v>689</v>
      </c>
      <c r="E563" s="1099" t="s">
        <v>1151</v>
      </c>
      <c r="F563" s="1074" t="s">
        <v>971</v>
      </c>
      <c r="G563" s="1096" t="s">
        <v>1617</v>
      </c>
      <c r="H563" s="1096" t="s">
        <v>1617</v>
      </c>
      <c r="I563" s="1096" t="s">
        <v>1559</v>
      </c>
      <c r="J563" s="1096" t="s">
        <v>1564</v>
      </c>
      <c r="K563" s="1017" t="s">
        <v>43</v>
      </c>
      <c r="L563" s="1100"/>
      <c r="M563" s="1101">
        <v>14692000</v>
      </c>
      <c r="N563" s="1037"/>
      <c r="O563" s="1037"/>
      <c r="P563" s="1037"/>
      <c r="Q563" s="1102"/>
      <c r="R563" s="1022"/>
      <c r="S563" s="1130"/>
      <c r="T563" s="1156"/>
    </row>
    <row r="564" spans="1:20" ht="52.8" x14ac:dyDescent="0.25">
      <c r="A564" s="1013">
        <v>2022558</v>
      </c>
      <c r="B564" s="1075" t="s">
        <v>459</v>
      </c>
      <c r="C564" s="1075"/>
      <c r="D564" s="1045" t="s">
        <v>689</v>
      </c>
      <c r="E564" s="1099" t="s">
        <v>1151</v>
      </c>
      <c r="F564" s="1074" t="s">
        <v>1161</v>
      </c>
      <c r="G564" s="1096" t="s">
        <v>1617</v>
      </c>
      <c r="H564" s="1096" t="s">
        <v>1617</v>
      </c>
      <c r="I564" s="1096" t="s">
        <v>1662</v>
      </c>
      <c r="J564" s="1096" t="s">
        <v>1512</v>
      </c>
      <c r="K564" s="1017" t="s">
        <v>43</v>
      </c>
      <c r="L564" s="1100"/>
      <c r="M564" s="1101">
        <v>1400000</v>
      </c>
      <c r="N564" s="1037"/>
      <c r="O564" s="1037"/>
      <c r="P564" s="1037"/>
      <c r="Q564" s="1102"/>
      <c r="R564" s="1022"/>
      <c r="S564" s="1130"/>
      <c r="T564" s="1156"/>
    </row>
    <row r="565" spans="1:20" ht="39.6" x14ac:dyDescent="0.25">
      <c r="A565" s="1013">
        <v>2022559</v>
      </c>
      <c r="B565" s="1075" t="s">
        <v>459</v>
      </c>
      <c r="C565" s="1075"/>
      <c r="D565" s="1045" t="s">
        <v>689</v>
      </c>
      <c r="E565" s="1099" t="s">
        <v>1151</v>
      </c>
      <c r="F565" s="1074" t="s">
        <v>1160</v>
      </c>
      <c r="G565" s="1096" t="s">
        <v>1618</v>
      </c>
      <c r="H565" s="1096" t="s">
        <v>1618</v>
      </c>
      <c r="I565" s="1096" t="s">
        <v>1663</v>
      </c>
      <c r="J565" s="1096" t="s">
        <v>1512</v>
      </c>
      <c r="K565" s="1017" t="s">
        <v>43</v>
      </c>
      <c r="L565" s="1100"/>
      <c r="M565" s="1101">
        <v>9600000</v>
      </c>
      <c r="N565" s="1037"/>
      <c r="O565" s="1037"/>
      <c r="P565" s="1037"/>
      <c r="Q565" s="1102"/>
      <c r="R565" s="1022"/>
      <c r="S565" s="1130"/>
      <c r="T565" s="1156"/>
    </row>
    <row r="566" spans="1:20" ht="145.19999999999999" x14ac:dyDescent="0.25">
      <c r="A566" s="1013">
        <v>2022560</v>
      </c>
      <c r="B566" s="1075" t="s">
        <v>459</v>
      </c>
      <c r="C566" s="1075"/>
      <c r="D566" s="1045" t="s">
        <v>689</v>
      </c>
      <c r="E566" s="1107" t="s">
        <v>1162</v>
      </c>
      <c r="F566" s="1074" t="s">
        <v>1163</v>
      </c>
      <c r="G566" s="1096" t="s">
        <v>1637</v>
      </c>
      <c r="H566" s="1096" t="s">
        <v>1637</v>
      </c>
      <c r="I566" s="1096" t="s">
        <v>1664</v>
      </c>
      <c r="J566" s="1096" t="s">
        <v>1665</v>
      </c>
      <c r="K566" s="1017" t="s">
        <v>43</v>
      </c>
      <c r="L566" s="1100"/>
      <c r="M566" s="1101">
        <v>79500000</v>
      </c>
      <c r="N566" s="1037"/>
      <c r="O566" s="1037"/>
      <c r="P566" s="1037"/>
      <c r="Q566" s="1102"/>
      <c r="R566" s="1022"/>
      <c r="S566" s="1130"/>
      <c r="T566" s="1156"/>
    </row>
    <row r="567" spans="1:20" ht="171.6" x14ac:dyDescent="0.25">
      <c r="A567" s="1013">
        <v>2022561</v>
      </c>
      <c r="B567" s="1075" t="s">
        <v>459</v>
      </c>
      <c r="C567" s="1075"/>
      <c r="D567" s="1045" t="s">
        <v>689</v>
      </c>
      <c r="E567" s="1107" t="s">
        <v>1162</v>
      </c>
      <c r="F567" s="1074" t="s">
        <v>1164</v>
      </c>
      <c r="G567" s="1096" t="s">
        <v>1624</v>
      </c>
      <c r="H567" s="1096" t="s">
        <v>1624</v>
      </c>
      <c r="I567" s="1096" t="s">
        <v>1666</v>
      </c>
      <c r="J567" s="1096" t="s">
        <v>1665</v>
      </c>
      <c r="K567" s="1017" t="s">
        <v>43</v>
      </c>
      <c r="L567" s="1100"/>
      <c r="M567" s="1101">
        <v>41500000</v>
      </c>
      <c r="N567" s="1037"/>
      <c r="O567" s="1037"/>
      <c r="P567" s="1037"/>
      <c r="Q567" s="1102"/>
      <c r="R567" s="1022"/>
      <c r="S567" s="1130"/>
      <c r="T567" s="1156"/>
    </row>
    <row r="568" spans="1:20" ht="39.6" x14ac:dyDescent="0.25">
      <c r="A568" s="1013">
        <v>2022562</v>
      </c>
      <c r="B568" s="1075" t="s">
        <v>459</v>
      </c>
      <c r="C568" s="1075"/>
      <c r="D568" s="1045" t="s">
        <v>689</v>
      </c>
      <c r="E568" s="1099" t="s">
        <v>1165</v>
      </c>
      <c r="F568" s="1074" t="s">
        <v>1166</v>
      </c>
      <c r="G568" s="1096" t="s">
        <v>1624</v>
      </c>
      <c r="H568" s="1096" t="s">
        <v>1624</v>
      </c>
      <c r="I568" s="1096" t="s">
        <v>1667</v>
      </c>
      <c r="J568" s="1096" t="s">
        <v>1668</v>
      </c>
      <c r="K568" s="1017" t="s">
        <v>43</v>
      </c>
      <c r="L568" s="1100"/>
      <c r="M568" s="1101">
        <v>1500000000</v>
      </c>
      <c r="N568" s="1037"/>
      <c r="O568" s="1037"/>
      <c r="P568" s="1037"/>
      <c r="Q568" s="1102"/>
      <c r="R568" s="1022"/>
      <c r="S568" s="1130"/>
      <c r="T568" s="1156"/>
    </row>
    <row r="569" spans="1:20" ht="39.6" x14ac:dyDescent="0.25">
      <c r="A569" s="1013">
        <v>2022563</v>
      </c>
      <c r="B569" s="1075" t="s">
        <v>459</v>
      </c>
      <c r="C569" s="1075"/>
      <c r="D569" s="1045" t="s">
        <v>689</v>
      </c>
      <c r="E569" s="1099" t="s">
        <v>1165</v>
      </c>
      <c r="F569" s="1074" t="s">
        <v>1166</v>
      </c>
      <c r="G569" s="1096" t="s">
        <v>1624</v>
      </c>
      <c r="H569" s="1096" t="s">
        <v>1624</v>
      </c>
      <c r="I569" s="1096" t="s">
        <v>1667</v>
      </c>
      <c r="J569" s="1096" t="s">
        <v>1668</v>
      </c>
      <c r="K569" s="1017" t="s">
        <v>43</v>
      </c>
      <c r="L569" s="1100"/>
      <c r="M569" s="1101">
        <v>550000000</v>
      </c>
      <c r="N569" s="1037"/>
      <c r="O569" s="1037"/>
      <c r="P569" s="1037"/>
      <c r="Q569" s="1102"/>
      <c r="R569" s="1022"/>
      <c r="S569" s="1130"/>
      <c r="T569" s="1156"/>
    </row>
    <row r="570" spans="1:20" ht="39.6" x14ac:dyDescent="0.25">
      <c r="A570" s="1013">
        <v>2022564</v>
      </c>
      <c r="B570" s="1075" t="s">
        <v>459</v>
      </c>
      <c r="C570" s="1075"/>
      <c r="D570" s="1045" t="s">
        <v>689</v>
      </c>
      <c r="E570" s="1099" t="s">
        <v>1165</v>
      </c>
      <c r="F570" s="1074" t="s">
        <v>1166</v>
      </c>
      <c r="G570" s="1096" t="s">
        <v>1624</v>
      </c>
      <c r="H570" s="1096" t="s">
        <v>1624</v>
      </c>
      <c r="I570" s="1096" t="s">
        <v>1667</v>
      </c>
      <c r="J570" s="1096" t="s">
        <v>1668</v>
      </c>
      <c r="K570" s="1017" t="s">
        <v>43</v>
      </c>
      <c r="L570" s="1100"/>
      <c r="M570" s="1101">
        <v>733000000</v>
      </c>
      <c r="N570" s="1037"/>
      <c r="O570" s="1037"/>
      <c r="P570" s="1037"/>
      <c r="Q570" s="1102"/>
      <c r="R570" s="1022"/>
      <c r="S570" s="1130"/>
      <c r="T570" s="1156"/>
    </row>
    <row r="571" spans="1:20" ht="39.6" x14ac:dyDescent="0.25">
      <c r="A571" s="1013">
        <v>2022565</v>
      </c>
      <c r="B571" s="1075" t="s">
        <v>459</v>
      </c>
      <c r="C571" s="1075"/>
      <c r="D571" s="1045" t="s">
        <v>689</v>
      </c>
      <c r="E571" s="1099" t="s">
        <v>1165</v>
      </c>
      <c r="F571" s="1074" t="s">
        <v>1166</v>
      </c>
      <c r="G571" s="1096" t="s">
        <v>1624</v>
      </c>
      <c r="H571" s="1096" t="s">
        <v>1624</v>
      </c>
      <c r="I571" s="1096" t="s">
        <v>1667</v>
      </c>
      <c r="J571" s="1096" t="s">
        <v>1668</v>
      </c>
      <c r="K571" s="1017" t="s">
        <v>43</v>
      </c>
      <c r="L571" s="1100"/>
      <c r="M571" s="1101">
        <v>150000000</v>
      </c>
      <c r="N571" s="1037"/>
      <c r="O571" s="1037"/>
      <c r="P571" s="1037"/>
      <c r="Q571" s="1102"/>
      <c r="R571" s="1022"/>
      <c r="S571" s="1130"/>
      <c r="T571" s="1156"/>
    </row>
    <row r="572" spans="1:20" ht="39.6" x14ac:dyDescent="0.25">
      <c r="A572" s="1013">
        <v>2022566</v>
      </c>
      <c r="B572" s="1075" t="s">
        <v>459</v>
      </c>
      <c r="C572" s="1075"/>
      <c r="D572" s="1045" t="s">
        <v>689</v>
      </c>
      <c r="E572" s="1099" t="s">
        <v>1165</v>
      </c>
      <c r="F572" s="1074" t="s">
        <v>1166</v>
      </c>
      <c r="G572" s="1096" t="s">
        <v>1624</v>
      </c>
      <c r="H572" s="1096" t="s">
        <v>1624</v>
      </c>
      <c r="I572" s="1096" t="s">
        <v>1667</v>
      </c>
      <c r="J572" s="1096" t="s">
        <v>1668</v>
      </c>
      <c r="K572" s="1017" t="s">
        <v>43</v>
      </c>
      <c r="L572" s="1100"/>
      <c r="M572" s="1101">
        <v>300000000</v>
      </c>
      <c r="N572" s="1037"/>
      <c r="O572" s="1037"/>
      <c r="P572" s="1037"/>
      <c r="Q572" s="1102"/>
      <c r="R572" s="1022"/>
      <c r="S572" s="1130"/>
      <c r="T572" s="1156"/>
    </row>
    <row r="573" spans="1:20" ht="39.6" x14ac:dyDescent="0.25">
      <c r="A573" s="1013">
        <v>2022567</v>
      </c>
      <c r="B573" s="1075" t="s">
        <v>459</v>
      </c>
      <c r="C573" s="1075"/>
      <c r="D573" s="1045" t="s">
        <v>689</v>
      </c>
      <c r="E573" s="1099" t="s">
        <v>1165</v>
      </c>
      <c r="F573" s="1074" t="s">
        <v>1166</v>
      </c>
      <c r="G573" s="1096" t="s">
        <v>1624</v>
      </c>
      <c r="H573" s="1096" t="s">
        <v>1624</v>
      </c>
      <c r="I573" s="1096" t="s">
        <v>1667</v>
      </c>
      <c r="J573" s="1096" t="s">
        <v>1668</v>
      </c>
      <c r="K573" s="1017" t="s">
        <v>43</v>
      </c>
      <c r="L573" s="1100"/>
      <c r="M573" s="1101">
        <v>67000000</v>
      </c>
      <c r="N573" s="1037"/>
      <c r="O573" s="1037"/>
      <c r="P573" s="1037"/>
      <c r="Q573" s="1102"/>
      <c r="R573" s="1022"/>
      <c r="S573" s="1130"/>
      <c r="T573" s="1156"/>
    </row>
    <row r="574" spans="1:20" ht="39.6" x14ac:dyDescent="0.25">
      <c r="A574" s="1013">
        <v>2022568</v>
      </c>
      <c r="B574" s="1075" t="s">
        <v>459</v>
      </c>
      <c r="C574" s="1075"/>
      <c r="D574" s="1045" t="s">
        <v>689</v>
      </c>
      <c r="E574" s="1107" t="s">
        <v>1167</v>
      </c>
      <c r="F574" s="1074" t="s">
        <v>1168</v>
      </c>
      <c r="G574" s="1096" t="s">
        <v>1632</v>
      </c>
      <c r="H574" s="1096" t="s">
        <v>1632</v>
      </c>
      <c r="I574" s="1096" t="s">
        <v>1664</v>
      </c>
      <c r="J574" s="1096" t="s">
        <v>1665</v>
      </c>
      <c r="K574" s="1017" t="s">
        <v>43</v>
      </c>
      <c r="L574" s="1100"/>
      <c r="M574" s="1101">
        <v>124000000</v>
      </c>
      <c r="N574" s="1037"/>
      <c r="O574" s="1037"/>
      <c r="P574" s="1037"/>
      <c r="Q574" s="1102"/>
      <c r="R574" s="1022"/>
      <c r="S574" s="1130"/>
      <c r="T574" s="1156"/>
    </row>
    <row r="575" spans="1:20" ht="39.6" x14ac:dyDescent="0.25">
      <c r="A575" s="1013">
        <v>2022569</v>
      </c>
      <c r="B575" s="1075" t="s">
        <v>459</v>
      </c>
      <c r="C575" s="1075"/>
      <c r="D575" s="1045" t="s">
        <v>689</v>
      </c>
      <c r="E575" s="1107" t="s">
        <v>1167</v>
      </c>
      <c r="F575" s="1074" t="s">
        <v>1169</v>
      </c>
      <c r="G575" s="1096" t="s">
        <v>1617</v>
      </c>
      <c r="H575" s="1096" t="s">
        <v>1617</v>
      </c>
      <c r="I575" s="1096" t="s">
        <v>1667</v>
      </c>
      <c r="J575" s="1096" t="s">
        <v>1665</v>
      </c>
      <c r="K575" s="1017" t="s">
        <v>43</v>
      </c>
      <c r="L575" s="1100"/>
      <c r="M575" s="1101">
        <v>109000000</v>
      </c>
      <c r="N575" s="1037"/>
      <c r="O575" s="1037"/>
      <c r="P575" s="1037"/>
      <c r="Q575" s="1102"/>
      <c r="R575" s="1022"/>
      <c r="S575" s="1130"/>
      <c r="T575" s="1156"/>
    </row>
    <row r="576" spans="1:20" ht="52.8" x14ac:dyDescent="0.25">
      <c r="A576" s="1013">
        <v>2022570</v>
      </c>
      <c r="B576" s="1075" t="s">
        <v>459</v>
      </c>
      <c r="C576" s="1075"/>
      <c r="D576" s="1045" t="s">
        <v>689</v>
      </c>
      <c r="E576" s="1107" t="s">
        <v>778</v>
      </c>
      <c r="F576" s="1074" t="s">
        <v>1170</v>
      </c>
      <c r="G576" s="1096" t="s">
        <v>1638</v>
      </c>
      <c r="H576" s="1096" t="s">
        <v>1638</v>
      </c>
      <c r="I576" s="1096" t="s">
        <v>1669</v>
      </c>
      <c r="J576" s="1096" t="s">
        <v>1665</v>
      </c>
      <c r="K576" s="1017" t="s">
        <v>43</v>
      </c>
      <c r="L576" s="1100"/>
      <c r="M576" s="1101">
        <v>350000000</v>
      </c>
      <c r="N576" s="1037"/>
      <c r="O576" s="1037"/>
      <c r="P576" s="1037"/>
      <c r="Q576" s="1102"/>
      <c r="R576" s="1022"/>
      <c r="S576" s="1130"/>
      <c r="T576" s="1156"/>
    </row>
    <row r="577" spans="1:20" ht="66" x14ac:dyDescent="0.25">
      <c r="A577" s="1013">
        <v>2022571</v>
      </c>
      <c r="B577" s="1075" t="s">
        <v>459</v>
      </c>
      <c r="C577" s="1075"/>
      <c r="D577" s="1045" t="s">
        <v>689</v>
      </c>
      <c r="E577" s="1099" t="s">
        <v>965</v>
      </c>
      <c r="F577" s="1074" t="s">
        <v>1171</v>
      </c>
      <c r="G577" s="1096" t="s">
        <v>1625</v>
      </c>
      <c r="H577" s="1096" t="s">
        <v>1625</v>
      </c>
      <c r="I577" s="1096" t="s">
        <v>1670</v>
      </c>
      <c r="J577" s="1096" t="s">
        <v>1668</v>
      </c>
      <c r="K577" s="1017" t="s">
        <v>43</v>
      </c>
      <c r="L577" s="1100"/>
      <c r="M577" s="1101">
        <v>756263000</v>
      </c>
      <c r="N577" s="1037"/>
      <c r="O577" s="1037"/>
      <c r="P577" s="1037"/>
      <c r="Q577" s="1102"/>
      <c r="R577" s="1022"/>
      <c r="S577" s="1130"/>
      <c r="T577" s="1156"/>
    </row>
    <row r="578" spans="1:20" ht="52.8" x14ac:dyDescent="0.25">
      <c r="A578" s="1013">
        <v>2022572</v>
      </c>
      <c r="B578" s="1075" t="s">
        <v>459</v>
      </c>
      <c r="C578" s="1075"/>
      <c r="D578" s="1045" t="s">
        <v>689</v>
      </c>
      <c r="E578" s="1099" t="s">
        <v>1151</v>
      </c>
      <c r="F578" s="1074" t="s">
        <v>1154</v>
      </c>
      <c r="G578" s="1096" t="s">
        <v>1617</v>
      </c>
      <c r="H578" s="1096" t="s">
        <v>1617</v>
      </c>
      <c r="I578" s="1096" t="s">
        <v>1593</v>
      </c>
      <c r="J578" s="1096" t="s">
        <v>1564</v>
      </c>
      <c r="K578" s="1017" t="s">
        <v>43</v>
      </c>
      <c r="L578" s="1100"/>
      <c r="M578" s="1101">
        <v>37063000</v>
      </c>
      <c r="N578" s="1037"/>
      <c r="O578" s="1037"/>
      <c r="P578" s="1037"/>
      <c r="Q578" s="1102"/>
      <c r="R578" s="1022"/>
      <c r="S578" s="1130"/>
      <c r="T578" s="1156"/>
    </row>
    <row r="579" spans="1:20" ht="39.6" x14ac:dyDescent="0.25">
      <c r="A579" s="1013">
        <v>2022573</v>
      </c>
      <c r="B579" s="1075" t="s">
        <v>459</v>
      </c>
      <c r="C579" s="1075"/>
      <c r="D579" s="1045" t="s">
        <v>689</v>
      </c>
      <c r="E579" s="1099" t="s">
        <v>1151</v>
      </c>
      <c r="F579" s="1074" t="s">
        <v>971</v>
      </c>
      <c r="G579" s="1096" t="s">
        <v>1617</v>
      </c>
      <c r="H579" s="1096" t="s">
        <v>1617</v>
      </c>
      <c r="I579" s="1096" t="s">
        <v>1559</v>
      </c>
      <c r="J579" s="1096" t="s">
        <v>1564</v>
      </c>
      <c r="K579" s="1017" t="s">
        <v>43</v>
      </c>
      <c r="L579" s="1100"/>
      <c r="M579" s="1101">
        <v>382937000</v>
      </c>
      <c r="N579" s="1037"/>
      <c r="O579" s="1037"/>
      <c r="P579" s="1037"/>
      <c r="Q579" s="1102"/>
      <c r="R579" s="1022"/>
      <c r="S579" s="1130"/>
      <c r="T579" s="1156"/>
    </row>
    <row r="580" spans="1:20" ht="39.6" x14ac:dyDescent="0.25">
      <c r="A580" s="1013">
        <v>2022574</v>
      </c>
      <c r="B580" s="1075" t="s">
        <v>459</v>
      </c>
      <c r="C580" s="1075"/>
      <c r="D580" s="1045" t="s">
        <v>689</v>
      </c>
      <c r="E580" s="1099" t="s">
        <v>1172</v>
      </c>
      <c r="F580" s="1074" t="s">
        <v>1671</v>
      </c>
      <c r="G580" s="1096" t="s">
        <v>1617</v>
      </c>
      <c r="H580" s="1096" t="s">
        <v>1617</v>
      </c>
      <c r="I580" s="1096" t="s">
        <v>1663</v>
      </c>
      <c r="J580" s="1096" t="s">
        <v>1665</v>
      </c>
      <c r="K580" s="1017" t="s">
        <v>43</v>
      </c>
      <c r="L580" s="1100"/>
      <c r="M580" s="1101">
        <v>4019274</v>
      </c>
      <c r="N580" s="1037"/>
      <c r="O580" s="1037"/>
      <c r="P580" s="1037"/>
      <c r="Q580" s="1102"/>
      <c r="R580" s="1022"/>
      <c r="S580" s="1130"/>
      <c r="T580" s="1156"/>
    </row>
    <row r="581" spans="1:20" ht="52.8" x14ac:dyDescent="0.25">
      <c r="A581" s="1013">
        <v>2022575</v>
      </c>
      <c r="B581" s="1075" t="s">
        <v>459</v>
      </c>
      <c r="C581" s="1075"/>
      <c r="D581" s="1045" t="s">
        <v>689</v>
      </c>
      <c r="E581" s="1107" t="s">
        <v>1174</v>
      </c>
      <c r="F581" s="1074" t="s">
        <v>1175</v>
      </c>
      <c r="G581" s="1096" t="s">
        <v>1617</v>
      </c>
      <c r="H581" s="1096" t="s">
        <v>1617</v>
      </c>
      <c r="I581" s="1096" t="s">
        <v>1672</v>
      </c>
      <c r="J581" s="1096" t="s">
        <v>1665</v>
      </c>
      <c r="K581" s="1017" t="s">
        <v>43</v>
      </c>
      <c r="L581" s="1100"/>
      <c r="M581" s="1101">
        <v>8664250</v>
      </c>
      <c r="N581" s="1037"/>
      <c r="O581" s="1037"/>
      <c r="P581" s="1037"/>
      <c r="Q581" s="1102"/>
      <c r="R581" s="1022"/>
      <c r="S581" s="1130"/>
      <c r="T581" s="1156"/>
    </row>
    <row r="582" spans="1:20" ht="39.6" x14ac:dyDescent="0.25">
      <c r="A582" s="1013">
        <v>2022576</v>
      </c>
      <c r="B582" s="1075" t="s">
        <v>459</v>
      </c>
      <c r="C582" s="1075"/>
      <c r="D582" s="1045" t="s">
        <v>689</v>
      </c>
      <c r="E582" s="1107" t="s">
        <v>1172</v>
      </c>
      <c r="F582" s="1074" t="s">
        <v>1176</v>
      </c>
      <c r="G582" s="1096" t="s">
        <v>1632</v>
      </c>
      <c r="H582" s="1096" t="s">
        <v>1632</v>
      </c>
      <c r="I582" s="1096" t="s">
        <v>1673</v>
      </c>
      <c r="J582" s="1096" t="s">
        <v>1665</v>
      </c>
      <c r="K582" s="1017" t="s">
        <v>43</v>
      </c>
      <c r="L582" s="1100"/>
      <c r="M582" s="1101">
        <v>13335750</v>
      </c>
      <c r="N582" s="1037"/>
      <c r="O582" s="1037"/>
      <c r="P582" s="1037"/>
      <c r="Q582" s="1102"/>
      <c r="R582" s="1022"/>
      <c r="S582" s="1130"/>
      <c r="T582" s="1156"/>
    </row>
    <row r="583" spans="1:20" ht="39.6" x14ac:dyDescent="0.25">
      <c r="A583" s="1013">
        <v>2022577</v>
      </c>
      <c r="B583" s="1075" t="s">
        <v>459</v>
      </c>
      <c r="C583" s="1075"/>
      <c r="D583" s="1045" t="s">
        <v>689</v>
      </c>
      <c r="E583" s="1107" t="s">
        <v>1174</v>
      </c>
      <c r="F583" s="1074" t="s">
        <v>1173</v>
      </c>
      <c r="G583" s="1096" t="s">
        <v>1635</v>
      </c>
      <c r="H583" s="1096" t="s">
        <v>1635</v>
      </c>
      <c r="I583" s="1096" t="s">
        <v>1663</v>
      </c>
      <c r="J583" s="1096" t="s">
        <v>1665</v>
      </c>
      <c r="K583" s="1017" t="s">
        <v>43</v>
      </c>
      <c r="L583" s="1100"/>
      <c r="M583" s="1101">
        <v>3980726</v>
      </c>
      <c r="N583" s="1037"/>
      <c r="O583" s="1037"/>
      <c r="P583" s="1037"/>
      <c r="Q583" s="1102"/>
      <c r="R583" s="1022"/>
      <c r="S583" s="1130"/>
      <c r="T583" s="1156"/>
    </row>
    <row r="584" spans="1:20" ht="66" x14ac:dyDescent="0.25">
      <c r="A584" s="1013">
        <v>2022578</v>
      </c>
      <c r="B584" s="1075" t="s">
        <v>459</v>
      </c>
      <c r="C584" s="1075"/>
      <c r="D584" s="1045" t="s">
        <v>689</v>
      </c>
      <c r="E584" s="1099" t="s">
        <v>803</v>
      </c>
      <c r="F584" s="1074" t="s">
        <v>804</v>
      </c>
      <c r="G584" s="1096" t="s">
        <v>1617</v>
      </c>
      <c r="H584" s="1096" t="s">
        <v>1617</v>
      </c>
      <c r="I584" s="1096">
        <v>0</v>
      </c>
      <c r="J584" s="1096" t="s">
        <v>1674</v>
      </c>
      <c r="K584" s="1017" t="s">
        <v>43</v>
      </c>
      <c r="L584" s="1100"/>
      <c r="M584" s="1101">
        <v>20000000</v>
      </c>
      <c r="N584" s="1037"/>
      <c r="O584" s="1037"/>
      <c r="P584" s="1037"/>
      <c r="Q584" s="1102"/>
      <c r="R584" s="1022"/>
      <c r="S584" s="1130"/>
      <c r="T584" s="1156"/>
    </row>
    <row r="585" spans="1:20" ht="52.8" x14ac:dyDescent="0.25">
      <c r="A585" s="1013">
        <v>2022579</v>
      </c>
      <c r="B585" s="1075" t="s">
        <v>459</v>
      </c>
      <c r="C585" s="1075"/>
      <c r="D585" s="1045" t="s">
        <v>689</v>
      </c>
      <c r="E585" s="1099" t="s">
        <v>803</v>
      </c>
      <c r="F585" s="1074" t="s">
        <v>1177</v>
      </c>
      <c r="G585" s="1096" t="s">
        <v>1617</v>
      </c>
      <c r="H585" s="1096" t="s">
        <v>1617</v>
      </c>
      <c r="I585" s="1096" t="s">
        <v>1675</v>
      </c>
      <c r="J585" s="1096" t="s">
        <v>1674</v>
      </c>
      <c r="K585" s="1017" t="s">
        <v>43</v>
      </c>
      <c r="L585" s="1100"/>
      <c r="M585" s="1101">
        <v>130000000</v>
      </c>
      <c r="N585" s="1037"/>
      <c r="O585" s="1037"/>
      <c r="P585" s="1037"/>
      <c r="Q585" s="1102"/>
      <c r="R585" s="1022"/>
      <c r="S585" s="1130"/>
      <c r="T585" s="1156"/>
    </row>
    <row r="586" spans="1:20" ht="39.6" x14ac:dyDescent="0.25">
      <c r="A586" s="1013">
        <v>2022580</v>
      </c>
      <c r="B586" s="1075" t="s">
        <v>459</v>
      </c>
      <c r="C586" s="1075"/>
      <c r="D586" s="1045" t="s">
        <v>682</v>
      </c>
      <c r="E586" s="1096" t="s">
        <v>778</v>
      </c>
      <c r="F586" s="1074" t="s">
        <v>1178</v>
      </c>
      <c r="G586" s="1081" t="s">
        <v>1617</v>
      </c>
      <c r="H586" s="1081" t="s">
        <v>1617</v>
      </c>
      <c r="I586" s="1096" t="s">
        <v>1676</v>
      </c>
      <c r="J586" s="1096" t="s">
        <v>1665</v>
      </c>
      <c r="K586" s="1017" t="s">
        <v>43</v>
      </c>
      <c r="L586" s="1100"/>
      <c r="M586" s="1101">
        <v>85650000</v>
      </c>
      <c r="N586" s="1037"/>
      <c r="O586" s="1037"/>
      <c r="P586" s="1037"/>
      <c r="Q586" s="1102"/>
      <c r="R586" s="1022"/>
      <c r="S586" s="1130"/>
      <c r="T586" s="1156"/>
    </row>
    <row r="587" spans="1:20" ht="52.8" x14ac:dyDescent="0.25">
      <c r="A587" s="1013">
        <v>2022581</v>
      </c>
      <c r="B587" s="1075" t="s">
        <v>459</v>
      </c>
      <c r="C587" s="1075"/>
      <c r="D587" s="1045" t="s">
        <v>682</v>
      </c>
      <c r="E587" s="1096" t="s">
        <v>778</v>
      </c>
      <c r="F587" s="1074" t="s">
        <v>1179</v>
      </c>
      <c r="G587" s="1081" t="s">
        <v>1617</v>
      </c>
      <c r="H587" s="1081" t="s">
        <v>1617</v>
      </c>
      <c r="I587" s="1096" t="s">
        <v>1676</v>
      </c>
      <c r="J587" s="1096" t="s">
        <v>1665</v>
      </c>
      <c r="K587" s="1017" t="s">
        <v>43</v>
      </c>
      <c r="L587" s="1100"/>
      <c r="M587" s="1101">
        <v>55350000</v>
      </c>
      <c r="N587" s="1037"/>
      <c r="O587" s="1037"/>
      <c r="P587" s="1037"/>
      <c r="Q587" s="1102"/>
      <c r="R587" s="1022"/>
      <c r="S587" s="1130"/>
      <c r="T587" s="1156"/>
    </row>
    <row r="588" spans="1:20" ht="52.8" x14ac:dyDescent="0.25">
      <c r="A588" s="1013">
        <v>2022582</v>
      </c>
      <c r="B588" s="1075" t="s">
        <v>459</v>
      </c>
      <c r="C588" s="1075"/>
      <c r="D588" s="1045" t="s">
        <v>682</v>
      </c>
      <c r="E588" s="1096" t="s">
        <v>778</v>
      </c>
      <c r="F588" s="1074" t="s">
        <v>1180</v>
      </c>
      <c r="G588" s="1081" t="s">
        <v>1617</v>
      </c>
      <c r="H588" s="1081" t="s">
        <v>1617</v>
      </c>
      <c r="I588" s="1096" t="s">
        <v>1563</v>
      </c>
      <c r="J588" s="1096" t="s">
        <v>1665</v>
      </c>
      <c r="K588" s="1017" t="s">
        <v>43</v>
      </c>
      <c r="L588" s="1100"/>
      <c r="M588" s="1101">
        <v>99000000</v>
      </c>
      <c r="N588" s="1037"/>
      <c r="O588" s="1037"/>
      <c r="P588" s="1037"/>
      <c r="Q588" s="1102"/>
      <c r="R588" s="1022"/>
      <c r="S588" s="1130"/>
      <c r="T588" s="1156"/>
    </row>
    <row r="589" spans="1:20" ht="105.6" x14ac:dyDescent="0.25">
      <c r="A589" s="1013">
        <v>2022583</v>
      </c>
      <c r="B589" s="1075" t="s">
        <v>459</v>
      </c>
      <c r="C589" s="1075"/>
      <c r="D589" s="1045" t="s">
        <v>698</v>
      </c>
      <c r="E589" s="1096" t="s">
        <v>1181</v>
      </c>
      <c r="F589" s="1074" t="s">
        <v>1182</v>
      </c>
      <c r="G589" s="1081" t="s">
        <v>1617</v>
      </c>
      <c r="H589" s="1081" t="s">
        <v>1617</v>
      </c>
      <c r="I589" s="1096" t="s">
        <v>1543</v>
      </c>
      <c r="J589" s="1096" t="s">
        <v>1677</v>
      </c>
      <c r="K589" s="1017" t="s">
        <v>43</v>
      </c>
      <c r="L589" s="1100"/>
      <c r="M589" s="1101">
        <v>22000000</v>
      </c>
      <c r="N589" s="1037"/>
      <c r="O589" s="1037"/>
      <c r="P589" s="1037"/>
      <c r="Q589" s="1102"/>
      <c r="R589" s="1022"/>
      <c r="S589" s="1130"/>
      <c r="T589" s="1156"/>
    </row>
    <row r="590" spans="1:20" ht="26.4" x14ac:dyDescent="0.25">
      <c r="A590" s="1013">
        <v>2022584</v>
      </c>
      <c r="B590" s="1075" t="s">
        <v>459</v>
      </c>
      <c r="C590" s="1075"/>
      <c r="D590" s="1045" t="s">
        <v>701</v>
      </c>
      <c r="E590" s="1108" t="s">
        <v>1183</v>
      </c>
      <c r="F590" s="1074" t="s">
        <v>1184</v>
      </c>
      <c r="G590" s="1096" t="s">
        <v>1624</v>
      </c>
      <c r="H590" s="1096" t="s">
        <v>1624</v>
      </c>
      <c r="I590" s="1096" t="s">
        <v>1663</v>
      </c>
      <c r="J590" s="1096" t="s">
        <v>1665</v>
      </c>
      <c r="K590" s="1017" t="s">
        <v>43</v>
      </c>
      <c r="L590" s="1100"/>
      <c r="M590" s="1101">
        <v>700102000</v>
      </c>
      <c r="N590" s="1037"/>
      <c r="O590" s="1037"/>
      <c r="P590" s="1037"/>
      <c r="Q590" s="1102"/>
      <c r="R590" s="1022"/>
      <c r="S590" s="1130"/>
      <c r="T590" s="1156"/>
    </row>
    <row r="591" spans="1:20" ht="224.4" x14ac:dyDescent="0.25">
      <c r="A591" s="1013">
        <v>2022585</v>
      </c>
      <c r="B591" s="1075" t="s">
        <v>459</v>
      </c>
      <c r="C591" s="1075"/>
      <c r="D591" s="1045" t="s">
        <v>695</v>
      </c>
      <c r="E591" s="1099" t="s">
        <v>1678</v>
      </c>
      <c r="F591" s="1074" t="s">
        <v>1679</v>
      </c>
      <c r="G591" s="1096" t="s">
        <v>1632</v>
      </c>
      <c r="H591" s="1096" t="s">
        <v>1632</v>
      </c>
      <c r="I591" s="1096" t="s">
        <v>1663</v>
      </c>
      <c r="J591" s="1096" t="s">
        <v>1668</v>
      </c>
      <c r="K591" s="1017" t="s">
        <v>43</v>
      </c>
      <c r="L591" s="1100"/>
      <c r="M591" s="1101">
        <v>40000000</v>
      </c>
      <c r="N591" s="1037"/>
      <c r="O591" s="1037"/>
      <c r="P591" s="1037"/>
      <c r="Q591" s="1102"/>
      <c r="R591" s="1022"/>
      <c r="S591" s="1130"/>
      <c r="T591" s="1156"/>
    </row>
    <row r="592" spans="1:20" ht="52.8" x14ac:dyDescent="0.25">
      <c r="A592" s="1013">
        <v>2022586</v>
      </c>
      <c r="B592" s="1075" t="s">
        <v>459</v>
      </c>
      <c r="C592" s="1075"/>
      <c r="D592" s="1045" t="s">
        <v>695</v>
      </c>
      <c r="E592" s="1108" t="s">
        <v>1185</v>
      </c>
      <c r="F592" s="1074" t="s">
        <v>1186</v>
      </c>
      <c r="G592" s="1096" t="s">
        <v>1618</v>
      </c>
      <c r="H592" s="1096" t="s">
        <v>1618</v>
      </c>
      <c r="I592" s="1096" t="s">
        <v>1673</v>
      </c>
      <c r="J592" s="1096" t="s">
        <v>1668</v>
      </c>
      <c r="K592" s="1017" t="s">
        <v>43</v>
      </c>
      <c r="L592" s="1100"/>
      <c r="M592" s="1101">
        <v>870000000</v>
      </c>
      <c r="N592" s="1037"/>
      <c r="O592" s="1037"/>
      <c r="P592" s="1037"/>
      <c r="Q592" s="1102"/>
      <c r="R592" s="1022"/>
      <c r="S592" s="1130"/>
      <c r="T592" s="1156"/>
    </row>
    <row r="593" spans="1:20" ht="26.4" x14ac:dyDescent="0.25">
      <c r="A593" s="1013">
        <v>2022587</v>
      </c>
      <c r="B593" s="1075" t="s">
        <v>459</v>
      </c>
      <c r="C593" s="1075"/>
      <c r="D593" s="1045" t="s">
        <v>695</v>
      </c>
      <c r="E593" s="1096" t="s">
        <v>1187</v>
      </c>
      <c r="F593" s="1074" t="s">
        <v>1188</v>
      </c>
      <c r="G593" s="1096" t="s">
        <v>1680</v>
      </c>
      <c r="H593" s="1096" t="s">
        <v>1680</v>
      </c>
      <c r="I593" s="1096" t="s">
        <v>1189</v>
      </c>
      <c r="J593" s="1096"/>
      <c r="K593" s="1017" t="s">
        <v>43</v>
      </c>
      <c r="L593" s="1100"/>
      <c r="M593" s="1101">
        <v>150000000</v>
      </c>
      <c r="N593" s="1037"/>
      <c r="O593" s="1037"/>
      <c r="P593" s="1037"/>
      <c r="Q593" s="1102"/>
      <c r="R593" s="1022"/>
      <c r="S593" s="1130"/>
      <c r="T593" s="1156"/>
    </row>
    <row r="594" spans="1:20" ht="26.4" x14ac:dyDescent="0.25">
      <c r="A594" s="1013">
        <v>2022588</v>
      </c>
      <c r="B594" s="1075" t="s">
        <v>459</v>
      </c>
      <c r="C594" s="1075"/>
      <c r="D594" s="1045" t="s">
        <v>695</v>
      </c>
      <c r="E594" s="1099" t="s">
        <v>1190</v>
      </c>
      <c r="F594" s="1074" t="s">
        <v>1191</v>
      </c>
      <c r="G594" s="1096" t="s">
        <v>1637</v>
      </c>
      <c r="H594" s="1096" t="s">
        <v>1637</v>
      </c>
      <c r="I594" s="1096" t="s">
        <v>1664</v>
      </c>
      <c r="J594" s="1096" t="s">
        <v>1674</v>
      </c>
      <c r="K594" s="1017" t="s">
        <v>43</v>
      </c>
      <c r="L594" s="1100"/>
      <c r="M594" s="1101">
        <v>250000000</v>
      </c>
      <c r="N594" s="1037"/>
      <c r="O594" s="1037"/>
      <c r="P594" s="1037"/>
      <c r="Q594" s="1102"/>
      <c r="R594" s="1022"/>
      <c r="S594" s="1130"/>
      <c r="T594" s="1156"/>
    </row>
    <row r="595" spans="1:20" ht="92.4" x14ac:dyDescent="0.25">
      <c r="A595" s="1013">
        <v>2022589</v>
      </c>
      <c r="B595" s="1075" t="s">
        <v>459</v>
      </c>
      <c r="C595" s="1075"/>
      <c r="D595" s="1045" t="s">
        <v>695</v>
      </c>
      <c r="E595" s="1099" t="s">
        <v>1192</v>
      </c>
      <c r="F595" s="1074" t="s">
        <v>1193</v>
      </c>
      <c r="G595" s="1096" t="s">
        <v>1618</v>
      </c>
      <c r="H595" s="1096" t="s">
        <v>1618</v>
      </c>
      <c r="I595" s="1096" t="s">
        <v>1673</v>
      </c>
      <c r="J595" s="1096" t="s">
        <v>1677</v>
      </c>
      <c r="K595" s="1017" t="s">
        <v>43</v>
      </c>
      <c r="L595" s="1100"/>
      <c r="M595" s="1101">
        <v>50000000</v>
      </c>
      <c r="N595" s="1037"/>
      <c r="O595" s="1037"/>
      <c r="P595" s="1037"/>
      <c r="Q595" s="1102"/>
      <c r="R595" s="1022"/>
      <c r="S595" s="1130"/>
      <c r="T595" s="1156"/>
    </row>
    <row r="596" spans="1:20" ht="79.2" x14ac:dyDescent="0.25">
      <c r="A596" s="1013">
        <v>2022590</v>
      </c>
      <c r="B596" s="1075" t="s">
        <v>459</v>
      </c>
      <c r="C596" s="1075"/>
      <c r="D596" s="1045" t="s">
        <v>695</v>
      </c>
      <c r="E596" s="1096" t="s">
        <v>1189</v>
      </c>
      <c r="F596" s="1074" t="s">
        <v>1194</v>
      </c>
      <c r="G596" s="1096" t="s">
        <v>1624</v>
      </c>
      <c r="H596" s="1096" t="s">
        <v>1624</v>
      </c>
      <c r="I596" s="1096" t="s">
        <v>1667</v>
      </c>
      <c r="J596" s="1096" t="s">
        <v>1681</v>
      </c>
      <c r="K596" s="1017" t="s">
        <v>43</v>
      </c>
      <c r="L596" s="1104"/>
      <c r="M596" s="1105">
        <v>2476000000</v>
      </c>
      <c r="N596" s="1037"/>
      <c r="O596" s="1037"/>
      <c r="P596" s="1037"/>
      <c r="Q596" s="1102"/>
      <c r="R596" s="1022"/>
      <c r="S596" s="1130"/>
      <c r="T596" s="1156"/>
    </row>
    <row r="597" spans="1:20" ht="84" customHeight="1" x14ac:dyDescent="0.25">
      <c r="A597" s="1013">
        <v>2022591</v>
      </c>
      <c r="B597" s="1075" t="s">
        <v>459</v>
      </c>
      <c r="C597" s="1075"/>
      <c r="D597" s="1014" t="s">
        <v>671</v>
      </c>
      <c r="E597" s="1096" t="s">
        <v>1195</v>
      </c>
      <c r="F597" s="1074" t="s">
        <v>1682</v>
      </c>
      <c r="G597" s="1096" t="s">
        <v>1617</v>
      </c>
      <c r="H597" s="1096" t="s">
        <v>1617</v>
      </c>
      <c r="I597" s="1096" t="s">
        <v>1683</v>
      </c>
      <c r="J597" s="1096" t="s">
        <v>1665</v>
      </c>
      <c r="K597" s="1017" t="s">
        <v>43</v>
      </c>
      <c r="L597" s="1104"/>
      <c r="M597" s="1105">
        <v>35000000</v>
      </c>
      <c r="N597" s="1037"/>
      <c r="O597" s="1037"/>
      <c r="P597" s="1037"/>
      <c r="Q597" s="1047">
        <v>44600</v>
      </c>
      <c r="R597" s="1022"/>
      <c r="S597" s="1130"/>
      <c r="T597" s="1156"/>
    </row>
    <row r="598" spans="1:20" ht="52.8" x14ac:dyDescent="0.25">
      <c r="A598" s="1013">
        <v>2022592</v>
      </c>
      <c r="B598" s="1075" t="s">
        <v>459</v>
      </c>
      <c r="C598" s="1075"/>
      <c r="D598" s="1014" t="s">
        <v>671</v>
      </c>
      <c r="E598" s="1096" t="s">
        <v>1195</v>
      </c>
      <c r="F598" s="1074" t="s">
        <v>1197</v>
      </c>
      <c r="G598" s="1096" t="s">
        <v>1617</v>
      </c>
      <c r="H598" s="1096" t="s">
        <v>1617</v>
      </c>
      <c r="I598" s="1096" t="s">
        <v>1683</v>
      </c>
      <c r="J598" s="1096" t="s">
        <v>1684</v>
      </c>
      <c r="K598" s="1017" t="s">
        <v>43</v>
      </c>
      <c r="L598" s="1104"/>
      <c r="M598" s="1105">
        <v>19810000</v>
      </c>
      <c r="N598" s="1037"/>
      <c r="O598" s="1037"/>
      <c r="P598" s="1037"/>
      <c r="Q598" s="1047">
        <v>44600</v>
      </c>
      <c r="R598" s="1022"/>
      <c r="S598" s="1130"/>
      <c r="T598" s="1156"/>
    </row>
    <row r="599" spans="1:20" ht="66" x14ac:dyDescent="0.25">
      <c r="A599" s="1013">
        <v>2022593</v>
      </c>
      <c r="B599" s="1075" t="s">
        <v>459</v>
      </c>
      <c r="C599" s="1075"/>
      <c r="D599" s="1014" t="s">
        <v>671</v>
      </c>
      <c r="E599" s="1099" t="s">
        <v>1198</v>
      </c>
      <c r="F599" s="1074" t="s">
        <v>1199</v>
      </c>
      <c r="G599" s="1096" t="s">
        <v>1617</v>
      </c>
      <c r="H599" s="1096" t="s">
        <v>1617</v>
      </c>
      <c r="I599" s="1096" t="s">
        <v>1685</v>
      </c>
      <c r="J599" s="1096" t="s">
        <v>1665</v>
      </c>
      <c r="K599" s="1017" t="s">
        <v>43</v>
      </c>
      <c r="L599" s="1104"/>
      <c r="M599" s="1105">
        <v>10000000</v>
      </c>
      <c r="N599" s="1037"/>
      <c r="O599" s="1037"/>
      <c r="P599" s="1037"/>
      <c r="Q599" s="1102"/>
      <c r="R599" s="1022"/>
      <c r="S599" s="1130"/>
      <c r="T599" s="1156"/>
    </row>
    <row r="600" spans="1:20" ht="39.6" x14ac:dyDescent="0.25">
      <c r="A600" s="1013">
        <v>2022594</v>
      </c>
      <c r="B600" s="1075" t="s">
        <v>459</v>
      </c>
      <c r="C600" s="1075"/>
      <c r="D600" s="1014" t="s">
        <v>671</v>
      </c>
      <c r="E600" s="1099" t="s">
        <v>1200</v>
      </c>
      <c r="F600" s="1074" t="s">
        <v>1686</v>
      </c>
      <c r="G600" s="1096" t="s">
        <v>1617</v>
      </c>
      <c r="H600" s="1096" t="s">
        <v>1617</v>
      </c>
      <c r="I600" s="1096" t="s">
        <v>1663</v>
      </c>
      <c r="J600" s="1096" t="s">
        <v>1665</v>
      </c>
      <c r="K600" s="1017" t="s">
        <v>43</v>
      </c>
      <c r="L600" s="1104"/>
      <c r="M600" s="1105">
        <v>8386190</v>
      </c>
      <c r="N600" s="1037"/>
      <c r="O600" s="1037"/>
      <c r="P600" s="1037"/>
      <c r="Q600" s="1102"/>
      <c r="R600" s="1022"/>
      <c r="S600" s="1130"/>
      <c r="T600" s="1156"/>
    </row>
    <row r="601" spans="1:20" ht="39.6" x14ac:dyDescent="0.25">
      <c r="A601" s="1013">
        <v>2022595</v>
      </c>
      <c r="B601" s="1075" t="s">
        <v>459</v>
      </c>
      <c r="C601" s="1075"/>
      <c r="D601" s="1014" t="s">
        <v>671</v>
      </c>
      <c r="E601" s="1099" t="s">
        <v>1202</v>
      </c>
      <c r="F601" s="1074" t="s">
        <v>1203</v>
      </c>
      <c r="G601" s="1096" t="s">
        <v>1638</v>
      </c>
      <c r="H601" s="1096" t="s">
        <v>1638</v>
      </c>
      <c r="I601" s="1096" t="s">
        <v>1667</v>
      </c>
      <c r="J601" s="1096" t="s">
        <v>1665</v>
      </c>
      <c r="K601" s="1017" t="s">
        <v>43</v>
      </c>
      <c r="L601" s="1104"/>
      <c r="M601" s="1105">
        <v>35000000</v>
      </c>
      <c r="N601" s="1037"/>
      <c r="O601" s="1037"/>
      <c r="P601" s="1037"/>
      <c r="Q601" s="1102"/>
      <c r="R601" s="1022"/>
      <c r="S601" s="1130"/>
      <c r="T601" s="1156"/>
    </row>
    <row r="602" spans="1:20" ht="39.6" x14ac:dyDescent="0.25">
      <c r="A602" s="1013">
        <v>2022596</v>
      </c>
      <c r="B602" s="1075" t="s">
        <v>459</v>
      </c>
      <c r="C602" s="1075"/>
      <c r="D602" s="1014" t="s">
        <v>671</v>
      </c>
      <c r="E602" s="1099" t="s">
        <v>1204</v>
      </c>
      <c r="F602" s="1074" t="s">
        <v>1687</v>
      </c>
      <c r="G602" s="1096" t="s">
        <v>1637</v>
      </c>
      <c r="H602" s="1096" t="s">
        <v>1637</v>
      </c>
      <c r="I602" s="1096" t="s">
        <v>1683</v>
      </c>
      <c r="J602" s="1096" t="s">
        <v>1564</v>
      </c>
      <c r="K602" s="1017" t="s">
        <v>43</v>
      </c>
      <c r="L602" s="1104"/>
      <c r="M602" s="1105">
        <v>35000000</v>
      </c>
      <c r="N602" s="1037"/>
      <c r="O602" s="1037"/>
      <c r="P602" s="1037"/>
      <c r="Q602" s="1102"/>
      <c r="R602" s="1022"/>
      <c r="S602" s="1130"/>
      <c r="T602" s="1156"/>
    </row>
    <row r="603" spans="1:20" ht="105.6" x14ac:dyDescent="0.25">
      <c r="A603" s="1013">
        <v>2022597</v>
      </c>
      <c r="B603" s="1075" t="s">
        <v>459</v>
      </c>
      <c r="C603" s="1075"/>
      <c r="D603" s="1014" t="s">
        <v>671</v>
      </c>
      <c r="E603" s="1096" t="s">
        <v>1206</v>
      </c>
      <c r="F603" s="1074" t="s">
        <v>1688</v>
      </c>
      <c r="G603" s="1096" t="s">
        <v>1617</v>
      </c>
      <c r="H603" s="1096" t="s">
        <v>1617</v>
      </c>
      <c r="I603" s="1096" t="s">
        <v>1689</v>
      </c>
      <c r="J603" s="1096" t="s">
        <v>1564</v>
      </c>
      <c r="K603" s="1017" t="s">
        <v>43</v>
      </c>
      <c r="L603" s="1104"/>
      <c r="M603" s="1105">
        <f>300000000-81890487</f>
        <v>218109513</v>
      </c>
      <c r="N603" s="1037"/>
      <c r="O603" s="1037"/>
      <c r="P603" s="1037"/>
      <c r="Q603" s="1047">
        <v>44600</v>
      </c>
      <c r="R603" s="1022"/>
      <c r="S603" s="1130"/>
      <c r="T603" s="1156"/>
    </row>
    <row r="604" spans="1:20" ht="66" x14ac:dyDescent="0.25">
      <c r="A604" s="1013">
        <v>2022598</v>
      </c>
      <c r="B604" s="1075" t="s">
        <v>459</v>
      </c>
      <c r="C604" s="1075"/>
      <c r="D604" s="1014" t="s">
        <v>671</v>
      </c>
      <c r="E604" s="1096" t="s">
        <v>1208</v>
      </c>
      <c r="F604" s="1074" t="s">
        <v>1209</v>
      </c>
      <c r="G604" s="1096" t="s">
        <v>1617</v>
      </c>
      <c r="H604" s="1096" t="s">
        <v>1617</v>
      </c>
      <c r="I604" s="1096" t="s">
        <v>1689</v>
      </c>
      <c r="J604" s="1096" t="s">
        <v>1665</v>
      </c>
      <c r="K604" s="1017" t="s">
        <v>43</v>
      </c>
      <c r="L604" s="1104"/>
      <c r="M604" s="1105">
        <v>120473160</v>
      </c>
      <c r="N604" s="1037"/>
      <c r="O604" s="1037"/>
      <c r="P604" s="1037"/>
      <c r="Q604" s="1102"/>
      <c r="R604" s="1022"/>
      <c r="S604" s="1130"/>
      <c r="T604" s="1156"/>
    </row>
    <row r="605" spans="1:20" ht="52.8" x14ac:dyDescent="0.25">
      <c r="A605" s="1013">
        <v>2022599</v>
      </c>
      <c r="B605" s="1075" t="s">
        <v>459</v>
      </c>
      <c r="C605" s="1075"/>
      <c r="D605" s="1014" t="s">
        <v>671</v>
      </c>
      <c r="E605" s="1096" t="s">
        <v>1208</v>
      </c>
      <c r="F605" s="1074" t="s">
        <v>1211</v>
      </c>
      <c r="G605" s="1096" t="s">
        <v>1632</v>
      </c>
      <c r="H605" s="1096" t="s">
        <v>1632</v>
      </c>
      <c r="I605" s="1096" t="s">
        <v>1690</v>
      </c>
      <c r="J605" s="1096" t="s">
        <v>1665</v>
      </c>
      <c r="K605" s="1017" t="s">
        <v>43</v>
      </c>
      <c r="L605" s="1104"/>
      <c r="M605" s="1105">
        <v>171518585</v>
      </c>
      <c r="N605" s="1037"/>
      <c r="O605" s="1037"/>
      <c r="P605" s="1037"/>
      <c r="Q605" s="1102"/>
      <c r="R605" s="1022"/>
      <c r="S605" s="1130"/>
      <c r="T605" s="1156"/>
    </row>
    <row r="606" spans="1:20" ht="26.4" x14ac:dyDescent="0.25">
      <c r="A606" s="1013">
        <v>2022600</v>
      </c>
      <c r="B606" s="1075" t="s">
        <v>459</v>
      </c>
      <c r="C606" s="1075"/>
      <c r="D606" s="1014" t="s">
        <v>671</v>
      </c>
      <c r="E606" s="1096" t="s">
        <v>1189</v>
      </c>
      <c r="F606" s="1074" t="s">
        <v>1212</v>
      </c>
      <c r="G606" s="1096" t="s">
        <v>1189</v>
      </c>
      <c r="H606" s="1096" t="s">
        <v>1189</v>
      </c>
      <c r="I606" s="1096" t="s">
        <v>1189</v>
      </c>
      <c r="J606" s="1096" t="s">
        <v>1189</v>
      </c>
      <c r="K606" s="1017"/>
      <c r="L606" s="1104"/>
      <c r="M606" s="1105">
        <v>1613810</v>
      </c>
      <c r="N606" s="1037"/>
      <c r="O606" s="1037"/>
      <c r="P606" s="1037"/>
      <c r="Q606" s="1102"/>
      <c r="R606" s="1022"/>
      <c r="S606" s="1130"/>
      <c r="T606" s="1156"/>
    </row>
    <row r="607" spans="1:20" ht="26.4" x14ac:dyDescent="0.25">
      <c r="A607" s="1013">
        <v>2022601</v>
      </c>
      <c r="B607" s="1075" t="s">
        <v>459</v>
      </c>
      <c r="C607" s="1075"/>
      <c r="D607" s="1014" t="s">
        <v>671</v>
      </c>
      <c r="E607" s="1096" t="s">
        <v>1189</v>
      </c>
      <c r="F607" s="1074" t="s">
        <v>1213</v>
      </c>
      <c r="G607" s="1096" t="s">
        <v>1189</v>
      </c>
      <c r="H607" s="1096" t="s">
        <v>1189</v>
      </c>
      <c r="I607" s="1096" t="s">
        <v>1189</v>
      </c>
      <c r="J607" s="1096" t="s">
        <v>1189</v>
      </c>
      <c r="K607" s="1017"/>
      <c r="L607" s="1104"/>
      <c r="M607" s="1105">
        <v>8008255</v>
      </c>
      <c r="N607" s="1037"/>
      <c r="O607" s="1037"/>
      <c r="P607" s="1037"/>
      <c r="Q607" s="1102"/>
      <c r="R607" s="1022"/>
      <c r="S607" s="1130"/>
      <c r="T607" s="1156"/>
    </row>
    <row r="608" spans="1:20" s="1110" customFormat="1" ht="145.19999999999999" x14ac:dyDescent="0.3">
      <c r="A608" s="1013">
        <v>2022602</v>
      </c>
      <c r="B608" s="1096">
        <v>7637</v>
      </c>
      <c r="C608" s="1013" t="s">
        <v>643</v>
      </c>
      <c r="D608" s="1014" t="s">
        <v>671</v>
      </c>
      <c r="E608" s="1096">
        <v>80111600</v>
      </c>
      <c r="F608" s="1074" t="s">
        <v>1214</v>
      </c>
      <c r="G608" s="1096" t="s">
        <v>1495</v>
      </c>
      <c r="H608" s="1096" t="s">
        <v>1495</v>
      </c>
      <c r="I608" s="1096" t="s">
        <v>1691</v>
      </c>
      <c r="J608" s="1096" t="s">
        <v>1535</v>
      </c>
      <c r="K608" s="1017" t="s">
        <v>674</v>
      </c>
      <c r="L608" s="1109" t="s">
        <v>675</v>
      </c>
      <c r="M608" s="1105">
        <v>3500000</v>
      </c>
      <c r="N608" s="1037" t="s">
        <v>732</v>
      </c>
      <c r="O608" s="1037" t="s">
        <v>1497</v>
      </c>
      <c r="P608" s="1037"/>
      <c r="Q608" s="977"/>
      <c r="R608" s="1022"/>
      <c r="S608" s="1130"/>
      <c r="T608" s="1156"/>
    </row>
    <row r="609" spans="1:20" ht="105.6" x14ac:dyDescent="0.25">
      <c r="A609" s="1111">
        <v>2022603</v>
      </c>
      <c r="B609" s="1111">
        <v>7655</v>
      </c>
      <c r="C609" s="1111" t="s">
        <v>668</v>
      </c>
      <c r="D609" s="1112" t="s">
        <v>671</v>
      </c>
      <c r="E609" s="1111">
        <v>80111600</v>
      </c>
      <c r="F609" s="1068" t="s">
        <v>1215</v>
      </c>
      <c r="G609" s="1078" t="s">
        <v>1495</v>
      </c>
      <c r="H609" s="1054" t="s">
        <v>1495</v>
      </c>
      <c r="I609" s="1113" t="s">
        <v>1537</v>
      </c>
      <c r="J609" s="1114" t="s">
        <v>1535</v>
      </c>
      <c r="K609" s="1098" t="s">
        <v>674</v>
      </c>
      <c r="L609" s="1098" t="s">
        <v>675</v>
      </c>
      <c r="M609" s="1115">
        <v>42000000</v>
      </c>
      <c r="N609" s="1116" t="s">
        <v>726</v>
      </c>
      <c r="O609" s="1056" t="s">
        <v>1536</v>
      </c>
      <c r="P609" s="1056"/>
      <c r="Q609" s="1117"/>
      <c r="R609" s="1022"/>
      <c r="S609" s="1130">
        <v>453</v>
      </c>
      <c r="T609" s="1156">
        <v>42000000</v>
      </c>
    </row>
    <row r="610" spans="1:20" ht="60.6" customHeight="1" x14ac:dyDescent="0.25">
      <c r="A610" s="1111">
        <v>2022604</v>
      </c>
      <c r="B610" s="1111">
        <v>7655</v>
      </c>
      <c r="C610" s="1111" t="s">
        <v>668</v>
      </c>
      <c r="D610" s="1112" t="s">
        <v>682</v>
      </c>
      <c r="E610" s="1111">
        <v>80111600</v>
      </c>
      <c r="F610" s="1068" t="s">
        <v>1216</v>
      </c>
      <c r="G610" s="1078">
        <v>44578</v>
      </c>
      <c r="H610" s="1078">
        <v>44578</v>
      </c>
      <c r="I610" s="1118" t="s">
        <v>1692</v>
      </c>
      <c r="J610" s="1114" t="s">
        <v>1535</v>
      </c>
      <c r="K610" s="1098" t="s">
        <v>674</v>
      </c>
      <c r="L610" s="1098" t="s">
        <v>675</v>
      </c>
      <c r="M610" s="1115">
        <v>28175000</v>
      </c>
      <c r="N610" s="1044" t="s">
        <v>730</v>
      </c>
      <c r="O610" s="1044" t="s">
        <v>1536</v>
      </c>
      <c r="P610" s="1044"/>
      <c r="Q610" s="1117"/>
      <c r="R610" s="1022"/>
      <c r="S610" s="1130">
        <v>407</v>
      </c>
      <c r="T610" s="1156">
        <v>28175000</v>
      </c>
    </row>
    <row r="611" spans="1:20" ht="66" x14ac:dyDescent="0.25">
      <c r="A611" s="1023">
        <v>2022605</v>
      </c>
      <c r="B611" s="1023">
        <v>7655</v>
      </c>
      <c r="C611" s="1023" t="s">
        <v>668</v>
      </c>
      <c r="D611" s="1039" t="s">
        <v>671</v>
      </c>
      <c r="E611" s="1023">
        <v>80111600</v>
      </c>
      <c r="F611" s="1026" t="s">
        <v>1217</v>
      </c>
      <c r="G611" s="1041" t="s">
        <v>1495</v>
      </c>
      <c r="H611" s="1028" t="s">
        <v>1495</v>
      </c>
      <c r="I611" s="1119" t="s">
        <v>1541</v>
      </c>
      <c r="J611" s="1043" t="s">
        <v>1535</v>
      </c>
      <c r="K611" s="1027" t="s">
        <v>674</v>
      </c>
      <c r="L611" s="1027" t="s">
        <v>675</v>
      </c>
      <c r="M611" s="1030">
        <f>10*4500000</f>
        <v>45000000</v>
      </c>
      <c r="N611" s="1044" t="s">
        <v>730</v>
      </c>
      <c r="O611" s="1056" t="s">
        <v>1536</v>
      </c>
      <c r="P611" s="1056"/>
      <c r="Q611" s="1117"/>
      <c r="R611" s="1022"/>
      <c r="S611" s="1130">
        <v>464</v>
      </c>
      <c r="T611" s="1156">
        <v>36000000</v>
      </c>
    </row>
    <row r="612" spans="1:20" ht="66" x14ac:dyDescent="0.25">
      <c r="A612" s="1111">
        <v>2022606</v>
      </c>
      <c r="B612" s="1111">
        <v>7655</v>
      </c>
      <c r="C612" s="1111" t="s">
        <v>668</v>
      </c>
      <c r="D612" s="1112" t="s">
        <v>682</v>
      </c>
      <c r="E612" s="1111">
        <v>80111600</v>
      </c>
      <c r="F612" s="1068" t="s">
        <v>1218</v>
      </c>
      <c r="G612" s="1120">
        <v>44582</v>
      </c>
      <c r="H612" s="1120">
        <v>44582</v>
      </c>
      <c r="I612" s="1098" t="s">
        <v>1663</v>
      </c>
      <c r="J612" s="1114" t="s">
        <v>1535</v>
      </c>
      <c r="K612" s="1098" t="s">
        <v>674</v>
      </c>
      <c r="L612" s="1098" t="s">
        <v>675</v>
      </c>
      <c r="M612" s="1115">
        <v>19200000</v>
      </c>
      <c r="N612" s="1044" t="s">
        <v>730</v>
      </c>
      <c r="O612" s="1056" t="s">
        <v>1536</v>
      </c>
      <c r="P612" s="1056"/>
      <c r="Q612" s="1117"/>
      <c r="R612" s="1022"/>
      <c r="S612" s="1130">
        <v>444</v>
      </c>
      <c r="T612" s="1156">
        <v>19200000</v>
      </c>
    </row>
    <row r="613" spans="1:20" s="1106" customFormat="1" ht="132" x14ac:dyDescent="0.25">
      <c r="A613" s="1013">
        <v>2022607</v>
      </c>
      <c r="B613" s="1096" t="s">
        <v>97</v>
      </c>
      <c r="C613" s="1096" t="s">
        <v>97</v>
      </c>
      <c r="D613" s="1045" t="s">
        <v>689</v>
      </c>
      <c r="E613" s="1099" t="s">
        <v>1219</v>
      </c>
      <c r="F613" s="1074" t="s">
        <v>1220</v>
      </c>
      <c r="G613" s="1081">
        <v>44606</v>
      </c>
      <c r="H613" s="1096"/>
      <c r="I613" s="1096" t="s">
        <v>1693</v>
      </c>
      <c r="J613" s="1096" t="s">
        <v>1694</v>
      </c>
      <c r="K613" s="1017" t="s">
        <v>97</v>
      </c>
      <c r="L613" s="1104" t="s">
        <v>97</v>
      </c>
      <c r="M613" s="1105">
        <v>0</v>
      </c>
      <c r="N613" s="1037" t="s">
        <v>97</v>
      </c>
      <c r="O613" s="1037" t="s">
        <v>97</v>
      </c>
      <c r="P613" s="1037"/>
      <c r="Q613" s="1102"/>
      <c r="R613" s="1022"/>
      <c r="S613" s="1130"/>
      <c r="T613" s="1156"/>
    </row>
    <row r="614" spans="1:20" ht="92.4" x14ac:dyDescent="0.25">
      <c r="A614" s="1023">
        <v>2022608</v>
      </c>
      <c r="B614" s="1023">
        <v>7637</v>
      </c>
      <c r="C614" s="1023" t="s">
        <v>643</v>
      </c>
      <c r="D614" s="1024" t="s">
        <v>671</v>
      </c>
      <c r="E614" s="1031">
        <v>80111600</v>
      </c>
      <c r="F614" s="1024" t="s">
        <v>1221</v>
      </c>
      <c r="G614" s="1027" t="s">
        <v>1495</v>
      </c>
      <c r="H614" s="1027" t="s">
        <v>1495</v>
      </c>
      <c r="I614" s="1027">
        <v>10</v>
      </c>
      <c r="J614" s="1027" t="s">
        <v>1496</v>
      </c>
      <c r="K614" s="1027" t="s">
        <v>674</v>
      </c>
      <c r="L614" s="1029" t="s">
        <v>675</v>
      </c>
      <c r="M614" s="1030">
        <v>23400000</v>
      </c>
      <c r="N614" s="1044" t="s">
        <v>732</v>
      </c>
      <c r="O614" s="1044" t="s">
        <v>1497</v>
      </c>
      <c r="P614" s="1044"/>
      <c r="Q614" s="1117"/>
      <c r="R614" s="1022"/>
      <c r="S614" s="1130">
        <v>437</v>
      </c>
      <c r="T614" s="1156">
        <v>23400000</v>
      </c>
    </row>
    <row r="615" spans="1:20" s="1124" customFormat="1" ht="105.6" x14ac:dyDescent="0.3">
      <c r="A615" s="1121">
        <v>2022609</v>
      </c>
      <c r="B615" s="1121">
        <v>7658</v>
      </c>
      <c r="C615" s="1121" t="s">
        <v>679</v>
      </c>
      <c r="D615" s="1121" t="s">
        <v>692</v>
      </c>
      <c r="E615" s="1122" t="s">
        <v>1528</v>
      </c>
      <c r="F615" s="1121" t="s">
        <v>763</v>
      </c>
      <c r="G615" s="1121" t="s">
        <v>1495</v>
      </c>
      <c r="H615" s="1121" t="s">
        <v>1495</v>
      </c>
      <c r="I615" s="1121" t="s">
        <v>1695</v>
      </c>
      <c r="J615" s="1121" t="s">
        <v>1518</v>
      </c>
      <c r="K615" s="1121" t="s">
        <v>674</v>
      </c>
      <c r="L615" s="1121" t="s">
        <v>675</v>
      </c>
      <c r="M615" s="1123">
        <f>181080376-104794000</f>
        <v>76286376</v>
      </c>
      <c r="N615" s="1121" t="s">
        <v>741</v>
      </c>
      <c r="O615" s="1121" t="s">
        <v>1620</v>
      </c>
      <c r="P615" s="1121"/>
      <c r="Q615" s="1081">
        <v>44600</v>
      </c>
      <c r="R615" s="1022"/>
      <c r="S615" s="1130"/>
      <c r="T615" s="1156"/>
    </row>
    <row r="616" spans="1:20" ht="132" x14ac:dyDescent="0.25">
      <c r="A616" s="1013">
        <v>2022610</v>
      </c>
      <c r="B616" s="1075" t="s">
        <v>459</v>
      </c>
      <c r="C616" s="1075"/>
      <c r="D616" s="1014" t="s">
        <v>671</v>
      </c>
      <c r="E616" s="1013" t="s">
        <v>1206</v>
      </c>
      <c r="F616" s="1074" t="s">
        <v>1224</v>
      </c>
      <c r="G616" s="1096" t="s">
        <v>1624</v>
      </c>
      <c r="H616" s="1096" t="s">
        <v>1624</v>
      </c>
      <c r="I616" s="1125" t="s">
        <v>1696</v>
      </c>
      <c r="J616" s="1096" t="s">
        <v>1564</v>
      </c>
      <c r="K616" s="1017" t="s">
        <v>43</v>
      </c>
      <c r="L616" s="1104"/>
      <c r="M616" s="1105">
        <v>81890487</v>
      </c>
      <c r="N616" s="1037"/>
      <c r="O616" s="1037"/>
      <c r="P616" s="1037"/>
      <c r="Q616" s="1047">
        <v>44600</v>
      </c>
      <c r="R616" s="1022"/>
      <c r="S616" s="1130"/>
      <c r="T616" s="1156"/>
    </row>
    <row r="619" spans="1:20" x14ac:dyDescent="0.25">
      <c r="M619" s="1128">
        <f>SUBTOTAL(9,M7:M618)</f>
        <v>67248064999.699997</v>
      </c>
      <c r="T619" s="1128">
        <f>SUBTOTAL(9,T7:T618)</f>
        <v>20624701535</v>
      </c>
    </row>
    <row r="621" spans="1:20" x14ac:dyDescent="0.25">
      <c r="M621" s="1129"/>
    </row>
    <row r="623" spans="1:20" x14ac:dyDescent="0.25">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800-000000000000}">
      <formula1>tec</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289DFB-B309-452E-A882-026C7499B430}">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E37AFD5D-F000-4BAE-BE0C-AB98017F49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SEGUIMIENTO CON PAA </vt:lpstr>
      <vt:lpstr>EN PLATAFORMA</vt:lpstr>
      <vt:lpstr>Tras 1</vt:lpstr>
      <vt:lpstr>Tras 3</vt:lpstr>
      <vt:lpstr>Tras 5</vt:lpstr>
      <vt:lpstr>PPTO 2021 REPROGRAMACION (2)</vt:lpstr>
      <vt:lpstr>PPTO 2021 REPROGRAMACION</vt:lpstr>
      <vt:lpstr>PAA V23</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jfesc</cp:lastModifiedBy>
  <cp:revision/>
  <dcterms:created xsi:type="dcterms:W3CDTF">2020-09-23T17:41:29Z</dcterms:created>
  <dcterms:modified xsi:type="dcterms:W3CDTF">2022-09-30T21:24:34Z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